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activeTab="4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13" hidden="1">'2023 Scoring'!$A$7:$AB$7</definedName>
    <definedName name="_xlnm._FilterDatabase" localSheetId="11" hidden="1">'Assess Freq'!$A$6:$BM$6</definedName>
    <definedName name="_xlnm._FilterDatabase" localSheetId="2" hidden="1">Commercial!$A$6:$G$6</definedName>
    <definedName name="_xlnm._FilterDatabase" localSheetId="5" hidden="1">'Const Demand'!$A$6:$BB$6</definedName>
    <definedName name="_xlnm._FilterDatabase" localSheetId="9" hidden="1">Ecosystem!$A$6:$AB$6</definedName>
    <definedName name="_xlnm._FilterDatabase" localSheetId="1" hidden="1">'Factor Summary'!$A$7:$AH$7</definedName>
    <definedName name="_xlnm._FilterDatabase" localSheetId="8" hidden="1">'Fishing mortality'!$A$6:$I$6</definedName>
    <definedName name="_xlnm._FilterDatabase" localSheetId="10" hidden="1">'New Information'!$A$6:$O$6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Status'!$A$6:$N$6</definedName>
    <definedName name="_xlnm._FilterDatabase" localSheetId="4" hidden="1">Tribal!$A$6:$J$6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4" l="1"/>
  <c r="B64" i="14"/>
  <c r="B59" i="14"/>
  <c r="B51" i="14"/>
  <c r="B52" i="14"/>
  <c r="B48" i="14"/>
  <c r="B36" i="14"/>
  <c r="B23" i="14"/>
  <c r="G70" i="13"/>
  <c r="H70" i="13"/>
  <c r="G65" i="13"/>
  <c r="H65" i="13" s="1"/>
  <c r="G59" i="13"/>
  <c r="H59" i="13" s="1"/>
  <c r="G51" i="13"/>
  <c r="H51" i="13" s="1"/>
  <c r="G52" i="13"/>
  <c r="H52" i="13"/>
  <c r="G48" i="13"/>
  <c r="H48" i="13"/>
  <c r="G36" i="13"/>
  <c r="H36" i="13"/>
  <c r="G23" i="13"/>
  <c r="H23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D70" i="34"/>
  <c r="C70" i="34" s="1"/>
  <c r="D65" i="34"/>
  <c r="C65" i="34" s="1"/>
  <c r="D59" i="34"/>
  <c r="C59" i="34" s="1"/>
  <c r="C51" i="34"/>
  <c r="D51" i="34"/>
  <c r="D52" i="34"/>
  <c r="C52" i="34" s="1"/>
  <c r="D48" i="34"/>
  <c r="D36" i="34"/>
  <c r="D23" i="34"/>
  <c r="C23" i="34" s="1"/>
  <c r="C71" i="4"/>
  <c r="C66" i="4"/>
  <c r="C60" i="4"/>
  <c r="C52" i="4"/>
  <c r="C53" i="4"/>
  <c r="C49" i="4"/>
  <c r="C24" i="4"/>
  <c r="S71" i="4"/>
  <c r="T71" i="4"/>
  <c r="U71" i="4"/>
  <c r="V71" i="4"/>
  <c r="W71" i="4"/>
  <c r="X71" i="4"/>
  <c r="Y71" i="4"/>
  <c r="Z71" i="4"/>
  <c r="AA71" i="4"/>
  <c r="AB71" i="4"/>
  <c r="S66" i="4"/>
  <c r="T66" i="4"/>
  <c r="U66" i="4"/>
  <c r="V66" i="4"/>
  <c r="W66" i="4"/>
  <c r="X66" i="4"/>
  <c r="Y66" i="4"/>
  <c r="Z66" i="4"/>
  <c r="AD66" i="4" s="1"/>
  <c r="AA66" i="4"/>
  <c r="AB66" i="4"/>
  <c r="S60" i="4"/>
  <c r="T60" i="4"/>
  <c r="U60" i="4"/>
  <c r="V60" i="4"/>
  <c r="W60" i="4"/>
  <c r="X60" i="4"/>
  <c r="Y60" i="4"/>
  <c r="Z60" i="4"/>
  <c r="AA60" i="4"/>
  <c r="AB60" i="4"/>
  <c r="S52" i="4"/>
  <c r="T52" i="4"/>
  <c r="U52" i="4"/>
  <c r="V52" i="4"/>
  <c r="W52" i="4"/>
  <c r="X52" i="4"/>
  <c r="Y52" i="4"/>
  <c r="Z52" i="4"/>
  <c r="AA52" i="4"/>
  <c r="AB52" i="4"/>
  <c r="S53" i="4"/>
  <c r="AD53" i="4" s="1"/>
  <c r="T53" i="4"/>
  <c r="U53" i="4"/>
  <c r="V53" i="4"/>
  <c r="W53" i="4"/>
  <c r="X53" i="4"/>
  <c r="Y53" i="4"/>
  <c r="Z53" i="4"/>
  <c r="AA53" i="4"/>
  <c r="AB53" i="4"/>
  <c r="S49" i="4"/>
  <c r="T49" i="4"/>
  <c r="AD49" i="4" s="1"/>
  <c r="U49" i="4"/>
  <c r="V49" i="4"/>
  <c r="W49" i="4"/>
  <c r="X49" i="4"/>
  <c r="Y49" i="4"/>
  <c r="Z49" i="4"/>
  <c r="AA49" i="4"/>
  <c r="AB49" i="4"/>
  <c r="S37" i="4"/>
  <c r="T37" i="4"/>
  <c r="V37" i="4"/>
  <c r="W37" i="4"/>
  <c r="X37" i="4"/>
  <c r="Y37" i="4"/>
  <c r="Z37" i="4"/>
  <c r="AA37" i="4"/>
  <c r="AB37" i="4"/>
  <c r="S24" i="4"/>
  <c r="T24" i="4"/>
  <c r="U24" i="4"/>
  <c r="V24" i="4"/>
  <c r="W24" i="4"/>
  <c r="X24" i="4"/>
  <c r="Y24" i="4"/>
  <c r="Z24" i="4"/>
  <c r="AA24" i="4"/>
  <c r="AB24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U58" i="4"/>
  <c r="AD60" i="4"/>
  <c r="AD58" i="4"/>
  <c r="AD52" i="4"/>
  <c r="AD24" i="4"/>
  <c r="C8" i="4"/>
  <c r="B70" i="11"/>
  <c r="B65" i="11"/>
  <c r="B59" i="11"/>
  <c r="B52" i="11"/>
  <c r="B51" i="11"/>
  <c r="B48" i="11"/>
  <c r="B36" i="11"/>
  <c r="B23" i="11"/>
  <c r="C70" i="8"/>
  <c r="C65" i="8"/>
  <c r="C59" i="8"/>
  <c r="C51" i="8"/>
  <c r="C52" i="8"/>
  <c r="C48" i="8"/>
  <c r="C36" i="8"/>
  <c r="C23" i="8"/>
  <c r="G59" i="7"/>
  <c r="G70" i="7"/>
  <c r="G65" i="7"/>
  <c r="G51" i="7"/>
  <c r="G52" i="7"/>
  <c r="G48" i="7"/>
  <c r="G36" i="7"/>
  <c r="G23" i="7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7" i="6"/>
  <c r="E70" i="6"/>
  <c r="E65" i="6"/>
  <c r="E57" i="6"/>
  <c r="E51" i="6"/>
  <c r="E52" i="6"/>
  <c r="E48" i="6"/>
  <c r="E36" i="6"/>
  <c r="E23" i="6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G24" i="7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B70" i="50"/>
  <c r="B71" i="50"/>
  <c r="C48" i="34" l="1"/>
  <c r="C36" i="34"/>
  <c r="AD71" i="4"/>
  <c r="AC13" i="8"/>
  <c r="W13" i="8"/>
  <c r="M8" i="4" l="1"/>
  <c r="G7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9" i="6"/>
  <c r="E50" i="6"/>
  <c r="E53" i="6"/>
  <c r="E54" i="6"/>
  <c r="E55" i="6"/>
  <c r="E56" i="6"/>
  <c r="E58" i="6"/>
  <c r="E59" i="6"/>
  <c r="E60" i="6"/>
  <c r="E61" i="6"/>
  <c r="E62" i="6"/>
  <c r="E63" i="6"/>
  <c r="E64" i="6"/>
  <c r="E66" i="6"/>
  <c r="E67" i="6"/>
  <c r="E68" i="6"/>
  <c r="E69" i="6"/>
  <c r="E7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9" i="6"/>
  <c r="N50" i="6"/>
  <c r="N53" i="6"/>
  <c r="N54" i="6"/>
  <c r="N55" i="6"/>
  <c r="N56" i="6"/>
  <c r="N58" i="6"/>
  <c r="N59" i="6"/>
  <c r="N60" i="6"/>
  <c r="N61" i="6"/>
  <c r="N62" i="6"/>
  <c r="N63" i="6"/>
  <c r="N64" i="6"/>
  <c r="N66" i="6"/>
  <c r="N67" i="6"/>
  <c r="N68" i="6"/>
  <c r="N69" i="6"/>
  <c r="N71" i="6"/>
  <c r="N7" i="6"/>
  <c r="B7" i="5" l="1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7" i="49"/>
  <c r="I38" i="49"/>
  <c r="I39" i="49"/>
  <c r="I40" i="49"/>
  <c r="I41" i="49"/>
  <c r="I42" i="49"/>
  <c r="I43" i="49"/>
  <c r="I44" i="49"/>
  <c r="I45" i="49"/>
  <c r="I46" i="49"/>
  <c r="I47" i="49"/>
  <c r="I49" i="49"/>
  <c r="I50" i="49"/>
  <c r="I53" i="49"/>
  <c r="I54" i="49"/>
  <c r="I55" i="49"/>
  <c r="I56" i="49"/>
  <c r="I57" i="49"/>
  <c r="I58" i="49"/>
  <c r="I60" i="49"/>
  <c r="I61" i="49"/>
  <c r="I62" i="49"/>
  <c r="I63" i="49"/>
  <c r="I64" i="49"/>
  <c r="I66" i="49"/>
  <c r="I67" i="49"/>
  <c r="I68" i="49"/>
  <c r="I69" i="49"/>
  <c r="I71" i="49"/>
  <c r="I7" i="49"/>
  <c r="O62" i="14"/>
  <c r="O46" i="14"/>
  <c r="O21" i="14"/>
  <c r="D25" i="34"/>
  <c r="B9" i="11" l="1"/>
  <c r="B46" i="11"/>
  <c r="B47" i="11"/>
  <c r="B57" i="11"/>
  <c r="B60" i="11"/>
  <c r="B67" i="11"/>
  <c r="B31" i="11"/>
  <c r="B69" i="11"/>
  <c r="B11" i="11"/>
  <c r="B12" i="11"/>
  <c r="B13" i="11"/>
  <c r="B15" i="11"/>
  <c r="B24" i="11"/>
  <c r="B27" i="11"/>
  <c r="B29" i="11"/>
  <c r="B30" i="11"/>
  <c r="B33" i="11"/>
  <c r="B40" i="11"/>
  <c r="B54" i="11"/>
  <c r="B62" i="11"/>
  <c r="B14" i="11"/>
  <c r="B16" i="11"/>
  <c r="B17" i="11"/>
  <c r="B18" i="11"/>
  <c r="B20" i="11"/>
  <c r="B21" i="11"/>
  <c r="B22" i="11"/>
  <c r="B28" i="11"/>
  <c r="B35" i="11"/>
  <c r="B37" i="11"/>
  <c r="B38" i="11"/>
  <c r="B41" i="11"/>
  <c r="B43" i="11"/>
  <c r="B50" i="11"/>
  <c r="B53" i="11"/>
  <c r="B55" i="11"/>
  <c r="B63" i="11"/>
  <c r="B64" i="11"/>
  <c r="B66" i="11"/>
  <c r="B8" i="11"/>
  <c r="B10" i="11"/>
  <c r="B19" i="11"/>
  <c r="B39" i="11"/>
  <c r="B42" i="11"/>
  <c r="B44" i="11"/>
  <c r="B45" i="11"/>
  <c r="B49" i="11"/>
  <c r="B56" i="11"/>
  <c r="B58" i="11"/>
  <c r="B61" i="11"/>
  <c r="B71" i="11"/>
  <c r="B7" i="11"/>
  <c r="B25" i="11"/>
  <c r="B26" i="11"/>
  <c r="B32" i="11"/>
  <c r="B34" i="11"/>
  <c r="B68" i="11"/>
  <c r="U72" i="51" l="1"/>
  <c r="O72" i="51"/>
  <c r="P72" i="51" s="1"/>
  <c r="N72" i="51"/>
  <c r="J72" i="51"/>
  <c r="K72" i="51" s="1"/>
  <c r="L72" i="51" s="1"/>
  <c r="U70" i="51"/>
  <c r="O70" i="51"/>
  <c r="P70" i="51" s="1"/>
  <c r="N70" i="51"/>
  <c r="J70" i="51"/>
  <c r="K70" i="51" s="1"/>
  <c r="L70" i="51" s="1"/>
  <c r="U69" i="51"/>
  <c r="O69" i="51"/>
  <c r="P69" i="51" s="1"/>
  <c r="N69" i="51"/>
  <c r="J69" i="51"/>
  <c r="K69" i="51" s="1"/>
  <c r="L69" i="51" s="1"/>
  <c r="U68" i="51"/>
  <c r="N68" i="51"/>
  <c r="O68" i="51" s="1"/>
  <c r="P68" i="51" s="1"/>
  <c r="J68" i="51"/>
  <c r="K68" i="51" s="1"/>
  <c r="L68" i="51" s="1"/>
  <c r="U67" i="51"/>
  <c r="O67" i="51"/>
  <c r="P67" i="51" s="1"/>
  <c r="N67" i="51"/>
  <c r="J67" i="51"/>
  <c r="K67" i="51" s="1"/>
  <c r="L67" i="51" s="1"/>
  <c r="U65" i="51"/>
  <c r="O65" i="51"/>
  <c r="P65" i="51" s="1"/>
  <c r="N65" i="51"/>
  <c r="J65" i="51"/>
  <c r="K65" i="51" s="1"/>
  <c r="L65" i="51" s="1"/>
  <c r="U64" i="5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O61" i="51"/>
  <c r="P61" i="51" s="1"/>
  <c r="N61" i="51"/>
  <c r="J61" i="51"/>
  <c r="K61" i="51" s="1"/>
  <c r="L61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Q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Q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K29" i="51"/>
  <c r="L29" i="51" s="1"/>
  <c r="J29" i="51"/>
  <c r="U28" i="51"/>
  <c r="O28" i="51"/>
  <c r="P28" i="51" s="1"/>
  <c r="N28" i="51"/>
  <c r="J28" i="51"/>
  <c r="K28" i="51" s="1"/>
  <c r="L28" i="51" s="1"/>
  <c r="U27" i="51"/>
  <c r="O27" i="51"/>
  <c r="P27" i="51" s="1"/>
  <c r="N27" i="51"/>
  <c r="J27" i="51"/>
  <c r="K27" i="51" s="1"/>
  <c r="L27" i="51" s="1"/>
  <c r="U26" i="51"/>
  <c r="N26" i="51"/>
  <c r="O26" i="51" s="1"/>
  <c r="P26" i="51" s="1"/>
  <c r="J26" i="51"/>
  <c r="K26" i="51" s="1"/>
  <c r="L26" i="51" s="1"/>
  <c r="U25" i="51"/>
  <c r="O25" i="51"/>
  <c r="P25" i="51" s="1"/>
  <c r="N25" i="51"/>
  <c r="J25" i="51"/>
  <c r="K25" i="51" s="1"/>
  <c r="L25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K22" i="51"/>
  <c r="L22" i="51" s="1"/>
  <c r="J22" i="5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K14" i="51"/>
  <c r="L14" i="51" s="1"/>
  <c r="J14" i="5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J8" i="51"/>
  <c r="K8" i="51" s="1"/>
  <c r="L8" i="51" s="1"/>
  <c r="L71" i="49"/>
  <c r="H71" i="49"/>
  <c r="G71" i="49"/>
  <c r="F71" i="49"/>
  <c r="K71" i="49" s="1"/>
  <c r="L69" i="49"/>
  <c r="H69" i="49"/>
  <c r="G69" i="49"/>
  <c r="F69" i="49"/>
  <c r="L68" i="49"/>
  <c r="H68" i="49"/>
  <c r="G68" i="49"/>
  <c r="F68" i="49"/>
  <c r="L67" i="49"/>
  <c r="H67" i="49"/>
  <c r="G67" i="49"/>
  <c r="F67" i="49"/>
  <c r="L66" i="49"/>
  <c r="H66" i="49"/>
  <c r="G66" i="49"/>
  <c r="F66" i="49"/>
  <c r="L64" i="49"/>
  <c r="H64" i="49"/>
  <c r="G64" i="49"/>
  <c r="K64" i="49" s="1"/>
  <c r="F64" i="49"/>
  <c r="L63" i="49"/>
  <c r="H63" i="49"/>
  <c r="G63" i="49"/>
  <c r="F63" i="49"/>
  <c r="L62" i="49"/>
  <c r="H62" i="49"/>
  <c r="G62" i="49"/>
  <c r="F62" i="49"/>
  <c r="L61" i="49"/>
  <c r="H61" i="49"/>
  <c r="G61" i="49"/>
  <c r="F61" i="49"/>
  <c r="L60" i="49"/>
  <c r="H60" i="49"/>
  <c r="G60" i="49"/>
  <c r="K60" i="49" s="1"/>
  <c r="F60" i="49"/>
  <c r="L58" i="49"/>
  <c r="H58" i="49"/>
  <c r="G58" i="49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F54" i="49"/>
  <c r="L53" i="49"/>
  <c r="H53" i="49"/>
  <c r="G53" i="49"/>
  <c r="F53" i="49"/>
  <c r="L50" i="49"/>
  <c r="H50" i="49"/>
  <c r="G50" i="49"/>
  <c r="F50" i="49"/>
  <c r="L49" i="49"/>
  <c r="H49" i="49"/>
  <c r="G49" i="49"/>
  <c r="K49" i="49" s="1"/>
  <c r="F49" i="49"/>
  <c r="L47" i="49"/>
  <c r="H47" i="49"/>
  <c r="G47" i="49"/>
  <c r="F47" i="49"/>
  <c r="L46" i="49"/>
  <c r="H46" i="49"/>
  <c r="G46" i="49"/>
  <c r="F46" i="49"/>
  <c r="L45" i="49"/>
  <c r="H45" i="49"/>
  <c r="G45" i="49"/>
  <c r="F45" i="49"/>
  <c r="K45" i="49" s="1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L35" i="49"/>
  <c r="H35" i="49"/>
  <c r="G35" i="49"/>
  <c r="F35" i="49"/>
  <c r="K35" i="49" s="1"/>
  <c r="L34" i="49"/>
  <c r="H34" i="49"/>
  <c r="G34" i="49"/>
  <c r="F34" i="49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K29" i="49" s="1"/>
  <c r="L28" i="49"/>
  <c r="H28" i="49"/>
  <c r="G28" i="49"/>
  <c r="F28" i="49"/>
  <c r="L27" i="49"/>
  <c r="H27" i="49"/>
  <c r="G27" i="49"/>
  <c r="F27" i="49"/>
  <c r="K27" i="49" s="1"/>
  <c r="L26" i="49"/>
  <c r="H26" i="49"/>
  <c r="G26" i="49"/>
  <c r="F26" i="49"/>
  <c r="L25" i="49"/>
  <c r="H25" i="49"/>
  <c r="G25" i="49"/>
  <c r="F25" i="49"/>
  <c r="K25" i="49" s="1"/>
  <c r="L24" i="49"/>
  <c r="H24" i="49"/>
  <c r="G24" i="49"/>
  <c r="F24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71" i="14"/>
  <c r="R71" i="14" s="1"/>
  <c r="H71" i="14"/>
  <c r="K71" i="14" s="1"/>
  <c r="G71" i="14"/>
  <c r="O69" i="14"/>
  <c r="R69" i="14" s="1"/>
  <c r="H69" i="14"/>
  <c r="K69" i="14" s="1"/>
  <c r="G69" i="14"/>
  <c r="O68" i="14"/>
  <c r="R68" i="14" s="1"/>
  <c r="H68" i="14"/>
  <c r="K68" i="14" s="1"/>
  <c r="G68" i="14"/>
  <c r="T67" i="14"/>
  <c r="R67" i="14"/>
  <c r="P67" i="14"/>
  <c r="K67" i="14"/>
  <c r="Q67" i="14" s="1"/>
  <c r="T66" i="14"/>
  <c r="R66" i="14"/>
  <c r="P66" i="14"/>
  <c r="K66" i="14"/>
  <c r="Q66" i="14" s="1"/>
  <c r="T65" i="14"/>
  <c r="R65" i="14"/>
  <c r="P65" i="14"/>
  <c r="K65" i="14"/>
  <c r="Q65" i="14" s="1"/>
  <c r="T63" i="14"/>
  <c r="R63" i="14"/>
  <c r="P63" i="14"/>
  <c r="K63" i="14"/>
  <c r="Q63" i="14" s="1"/>
  <c r="T62" i="14"/>
  <c r="R62" i="14"/>
  <c r="P62" i="14"/>
  <c r="K62" i="14"/>
  <c r="Q62" i="14" s="1"/>
  <c r="O61" i="14"/>
  <c r="H61" i="14"/>
  <c r="K61" i="14" s="1"/>
  <c r="G61" i="14"/>
  <c r="T60" i="14"/>
  <c r="R60" i="14"/>
  <c r="P60" i="14"/>
  <c r="K60" i="14"/>
  <c r="Q60" i="14" s="1"/>
  <c r="O58" i="14"/>
  <c r="R58" i="14" s="1"/>
  <c r="H58" i="14"/>
  <c r="K58" i="14" s="1"/>
  <c r="G58" i="14"/>
  <c r="T57" i="14"/>
  <c r="R57" i="14"/>
  <c r="P57" i="14"/>
  <c r="K57" i="14"/>
  <c r="Q57" i="14" s="1"/>
  <c r="O56" i="14"/>
  <c r="H56" i="14"/>
  <c r="K56" i="14" s="1"/>
  <c r="G56" i="14"/>
  <c r="T55" i="14"/>
  <c r="R55" i="14"/>
  <c r="P55" i="14"/>
  <c r="K55" i="14"/>
  <c r="Q55" i="14" s="1"/>
  <c r="O54" i="14"/>
  <c r="R54" i="14" s="1"/>
  <c r="H54" i="14"/>
  <c r="K54" i="14" s="1"/>
  <c r="G54" i="14"/>
  <c r="O53" i="14"/>
  <c r="R53" i="14" s="1"/>
  <c r="H53" i="14"/>
  <c r="K53" i="14" s="1"/>
  <c r="G53" i="14"/>
  <c r="T50" i="14"/>
  <c r="R50" i="14"/>
  <c r="P50" i="14"/>
  <c r="K50" i="14"/>
  <c r="Q50" i="14" s="1"/>
  <c r="O49" i="14"/>
  <c r="R49" i="14" s="1"/>
  <c r="H49" i="14"/>
  <c r="K49" i="14" s="1"/>
  <c r="G49" i="14"/>
  <c r="T47" i="14"/>
  <c r="R47" i="14"/>
  <c r="P47" i="14"/>
  <c r="K47" i="14"/>
  <c r="Q47" i="14" s="1"/>
  <c r="T46" i="14"/>
  <c r="R46" i="14"/>
  <c r="P46" i="14"/>
  <c r="K46" i="14"/>
  <c r="Q46" i="14" s="1"/>
  <c r="O45" i="14"/>
  <c r="S45" i="14" s="1"/>
  <c r="H45" i="14"/>
  <c r="K45" i="14" s="1"/>
  <c r="G45" i="14"/>
  <c r="O44" i="14"/>
  <c r="R44" i="14" s="1"/>
  <c r="H44" i="14"/>
  <c r="K44" i="14" s="1"/>
  <c r="G44" i="14"/>
  <c r="T43" i="14"/>
  <c r="R43" i="14"/>
  <c r="P43" i="14"/>
  <c r="K43" i="14"/>
  <c r="Q43" i="14" s="1"/>
  <c r="O42" i="14"/>
  <c r="R42" i="14" s="1"/>
  <c r="H42" i="14"/>
  <c r="K42" i="14" s="1"/>
  <c r="G42" i="14"/>
  <c r="T41" i="14"/>
  <c r="R41" i="14"/>
  <c r="P41" i="14"/>
  <c r="K41" i="14"/>
  <c r="Q41" i="14" s="1"/>
  <c r="T40" i="14"/>
  <c r="R40" i="14"/>
  <c r="P40" i="14"/>
  <c r="K40" i="14"/>
  <c r="Q40" i="14" s="1"/>
  <c r="O39" i="14"/>
  <c r="R39" i="14" s="1"/>
  <c r="H39" i="14"/>
  <c r="K39" i="14" s="1"/>
  <c r="G39" i="14"/>
  <c r="O38" i="14"/>
  <c r="R38" i="14" s="1"/>
  <c r="K38" i="14"/>
  <c r="G38" i="14"/>
  <c r="O37" i="14"/>
  <c r="R37" i="14" s="1"/>
  <c r="H37" i="14"/>
  <c r="K37" i="14" s="1"/>
  <c r="G37" i="14"/>
  <c r="T35" i="14"/>
  <c r="R35" i="14"/>
  <c r="P35" i="14"/>
  <c r="K35" i="14"/>
  <c r="Q35" i="14" s="1"/>
  <c r="O34" i="14"/>
  <c r="R34" i="14" s="1"/>
  <c r="H34" i="14"/>
  <c r="K34" i="14" s="1"/>
  <c r="G34" i="14"/>
  <c r="T33" i="14"/>
  <c r="R33" i="14"/>
  <c r="P33" i="14"/>
  <c r="K33" i="14"/>
  <c r="Q33" i="14" s="1"/>
  <c r="O32" i="14"/>
  <c r="R32" i="14" s="1"/>
  <c r="H32" i="14"/>
  <c r="K32" i="14" s="1"/>
  <c r="G32" i="14"/>
  <c r="O31" i="14"/>
  <c r="R31" i="14" s="1"/>
  <c r="H31" i="14"/>
  <c r="K31" i="14" s="1"/>
  <c r="G31" i="14"/>
  <c r="T30" i="14"/>
  <c r="R30" i="14"/>
  <c r="P30" i="14"/>
  <c r="K30" i="14"/>
  <c r="Q30" i="14" s="1"/>
  <c r="O29" i="14"/>
  <c r="R29" i="14" s="1"/>
  <c r="H29" i="14"/>
  <c r="K29" i="14" s="1"/>
  <c r="G29" i="14"/>
  <c r="T28" i="14"/>
  <c r="R28" i="14"/>
  <c r="P28" i="14"/>
  <c r="K28" i="14"/>
  <c r="Q28" i="14" s="1"/>
  <c r="T27" i="14"/>
  <c r="R27" i="14"/>
  <c r="P27" i="14"/>
  <c r="K27" i="14"/>
  <c r="Q27" i="14" s="1"/>
  <c r="O26" i="14"/>
  <c r="R26" i="14" s="1"/>
  <c r="H26" i="14"/>
  <c r="K26" i="14" s="1"/>
  <c r="G26" i="14"/>
  <c r="O25" i="14"/>
  <c r="R25" i="14" s="1"/>
  <c r="H25" i="14"/>
  <c r="K25" i="14" s="1"/>
  <c r="G25" i="14"/>
  <c r="O24" i="14"/>
  <c r="R24" i="14" s="1"/>
  <c r="H24" i="14"/>
  <c r="K24" i="14" s="1"/>
  <c r="G24" i="14"/>
  <c r="O22" i="14"/>
  <c r="R22" i="14" s="1"/>
  <c r="K22" i="14"/>
  <c r="G22" i="14"/>
  <c r="T21" i="14"/>
  <c r="P21" i="14"/>
  <c r="K21" i="14"/>
  <c r="Q21" i="14" s="1"/>
  <c r="O20" i="14"/>
  <c r="H20" i="14"/>
  <c r="K20" i="14" s="1"/>
  <c r="G20" i="14"/>
  <c r="O19" i="14"/>
  <c r="H19" i="14"/>
  <c r="K19" i="14" s="1"/>
  <c r="G19" i="14"/>
  <c r="O18" i="14"/>
  <c r="H18" i="14"/>
  <c r="K18" i="14" s="1"/>
  <c r="G18" i="14"/>
  <c r="O17" i="14"/>
  <c r="S17" i="14" s="1"/>
  <c r="H17" i="14"/>
  <c r="K17" i="14" s="1"/>
  <c r="G17" i="14"/>
  <c r="O16" i="14"/>
  <c r="H16" i="14"/>
  <c r="K16" i="14" s="1"/>
  <c r="G16" i="14"/>
  <c r="T15" i="14"/>
  <c r="P15" i="14"/>
  <c r="K15" i="14"/>
  <c r="Q15" i="14" s="1"/>
  <c r="O14" i="14"/>
  <c r="S14" i="14" s="1"/>
  <c r="H14" i="14"/>
  <c r="K14" i="14" s="1"/>
  <c r="G14" i="14"/>
  <c r="O13" i="14"/>
  <c r="S13" i="14" s="1"/>
  <c r="H13" i="14"/>
  <c r="K13" i="14" s="1"/>
  <c r="G13" i="14"/>
  <c r="O12" i="14"/>
  <c r="S12" i="14" s="1"/>
  <c r="H12" i="14"/>
  <c r="K12" i="14" s="1"/>
  <c r="G12" i="14"/>
  <c r="O11" i="14"/>
  <c r="H11" i="14"/>
  <c r="K11" i="14" s="1"/>
  <c r="G11" i="14"/>
  <c r="O10" i="14"/>
  <c r="K10" i="14"/>
  <c r="G10" i="14"/>
  <c r="T9" i="14"/>
  <c r="P9" i="14"/>
  <c r="K9" i="14"/>
  <c r="Q9" i="14" s="1"/>
  <c r="O8" i="14"/>
  <c r="H8" i="14"/>
  <c r="K8" i="14" s="1"/>
  <c r="G8" i="14"/>
  <c r="O7" i="14"/>
  <c r="H7" i="14"/>
  <c r="K7" i="14" s="1"/>
  <c r="G7" i="14"/>
  <c r="G71" i="13"/>
  <c r="G69" i="13"/>
  <c r="G68" i="13"/>
  <c r="G67" i="13"/>
  <c r="G66" i="13"/>
  <c r="G64" i="13"/>
  <c r="G63" i="13"/>
  <c r="G62" i="13"/>
  <c r="G61" i="13"/>
  <c r="G58" i="13"/>
  <c r="G57" i="13"/>
  <c r="G56" i="13"/>
  <c r="G55" i="13"/>
  <c r="G54" i="13"/>
  <c r="G53" i="13"/>
  <c r="G50" i="13"/>
  <c r="G49" i="13"/>
  <c r="G47" i="13"/>
  <c r="G46" i="13"/>
  <c r="G45" i="13"/>
  <c r="G44" i="13"/>
  <c r="G43" i="13"/>
  <c r="G42" i="13"/>
  <c r="G41" i="13"/>
  <c r="G40" i="13"/>
  <c r="G39" i="13"/>
  <c r="G38" i="13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7" i="13"/>
  <c r="B7" i="50"/>
  <c r="H15" i="13" l="1"/>
  <c r="H28" i="13"/>
  <c r="H41" i="13"/>
  <c r="H56" i="13"/>
  <c r="H71" i="13"/>
  <c r="H39" i="13"/>
  <c r="H16" i="13"/>
  <c r="H29" i="13"/>
  <c r="H42" i="13"/>
  <c r="H57" i="13"/>
  <c r="H10" i="13"/>
  <c r="H53" i="13"/>
  <c r="H55" i="13"/>
  <c r="H17" i="13"/>
  <c r="H30" i="13"/>
  <c r="H43" i="13"/>
  <c r="H58" i="13"/>
  <c r="H11" i="13"/>
  <c r="H67" i="13"/>
  <c r="H27" i="13"/>
  <c r="H18" i="13"/>
  <c r="H31" i="13"/>
  <c r="H44" i="13"/>
  <c r="H60" i="13"/>
  <c r="H12" i="13"/>
  <c r="H8" i="13"/>
  <c r="H54" i="13"/>
  <c r="H19" i="13"/>
  <c r="H32" i="13"/>
  <c r="H45" i="13"/>
  <c r="H61" i="13"/>
  <c r="H13" i="13"/>
  <c r="H68" i="13"/>
  <c r="H20" i="13"/>
  <c r="H33" i="13"/>
  <c r="H46" i="13"/>
  <c r="H62" i="13"/>
  <c r="H14" i="13"/>
  <c r="H69" i="13"/>
  <c r="H21" i="13"/>
  <c r="H34" i="13"/>
  <c r="H47" i="13"/>
  <c r="H63" i="13"/>
  <c r="H7" i="13"/>
  <c r="H64" i="13"/>
  <c r="H26" i="13"/>
  <c r="H22" i="13"/>
  <c r="H35" i="13"/>
  <c r="H49" i="13"/>
  <c r="H24" i="13"/>
  <c r="H37" i="13"/>
  <c r="H50" i="13"/>
  <c r="H66" i="13"/>
  <c r="H38" i="13"/>
  <c r="H40" i="13"/>
  <c r="H25" i="13"/>
  <c r="K55" i="49"/>
  <c r="K69" i="49"/>
  <c r="K28" i="49"/>
  <c r="Q13" i="51"/>
  <c r="R13" i="51" s="1"/>
  <c r="Q30" i="51"/>
  <c r="Q57" i="51"/>
  <c r="L71" i="14"/>
  <c r="M71" i="14" s="1"/>
  <c r="K18" i="49"/>
  <c r="K44" i="49"/>
  <c r="K46" i="49"/>
  <c r="K67" i="49"/>
  <c r="L10" i="14"/>
  <c r="M10" i="14" s="1"/>
  <c r="T10" i="14" s="1"/>
  <c r="V10" i="14" s="1"/>
  <c r="L19" i="14"/>
  <c r="M19" i="14" s="1"/>
  <c r="T19" i="14" s="1"/>
  <c r="L38" i="14"/>
  <c r="M38" i="14" s="1"/>
  <c r="T38" i="14" s="1"/>
  <c r="V38" i="14" s="1"/>
  <c r="V67" i="14"/>
  <c r="K20" i="49"/>
  <c r="K30" i="49"/>
  <c r="K32" i="49"/>
  <c r="K33" i="49"/>
  <c r="K34" i="49"/>
  <c r="K68" i="49"/>
  <c r="Q64" i="51"/>
  <c r="Q65" i="51"/>
  <c r="R65" i="51" s="1"/>
  <c r="V28" i="14"/>
  <c r="L68" i="14"/>
  <c r="M68" i="14" s="1"/>
  <c r="T68" i="14" s="1"/>
  <c r="V68" i="14" s="1"/>
  <c r="L26" i="14"/>
  <c r="M26" i="14" s="1"/>
  <c r="T26" i="14" s="1"/>
  <c r="S69" i="14"/>
  <c r="K7" i="49"/>
  <c r="K9" i="49"/>
  <c r="K10" i="49"/>
  <c r="K12" i="49"/>
  <c r="K15" i="49"/>
  <c r="K16" i="49"/>
  <c r="K17" i="49"/>
  <c r="K38" i="49"/>
  <c r="K40" i="49"/>
  <c r="K57" i="49"/>
  <c r="K58" i="49"/>
  <c r="K61" i="49"/>
  <c r="K63" i="49"/>
  <c r="Q48" i="51"/>
  <c r="V9" i="14"/>
  <c r="L16" i="14"/>
  <c r="M16" i="14" s="1"/>
  <c r="T16" i="14" s="1"/>
  <c r="V16" i="14" s="1"/>
  <c r="S24" i="14"/>
  <c r="V27" i="14"/>
  <c r="K13" i="49"/>
  <c r="K19" i="49"/>
  <c r="K31" i="49"/>
  <c r="K47" i="49"/>
  <c r="K50" i="49"/>
  <c r="K54" i="49"/>
  <c r="V50" i="14"/>
  <c r="L54" i="14"/>
  <c r="M54" i="14" s="1"/>
  <c r="T54" i="14" s="1"/>
  <c r="V54" i="14" s="1"/>
  <c r="K8" i="49"/>
  <c r="K21" i="49"/>
  <c r="K24" i="49"/>
  <c r="K26" i="49"/>
  <c r="K42" i="49"/>
  <c r="K56" i="49"/>
  <c r="G74" i="49"/>
  <c r="G75" i="49" s="1"/>
  <c r="G76" i="49" s="1"/>
  <c r="G77" i="49" s="1"/>
  <c r="G78" i="49" s="1"/>
  <c r="Q22" i="51"/>
  <c r="R22" i="51" s="1"/>
  <c r="L34" i="14"/>
  <c r="M34" i="14" s="1"/>
  <c r="P34" i="14" s="1"/>
  <c r="G79" i="49"/>
  <c r="L39" i="14"/>
  <c r="M39" i="14" s="1"/>
  <c r="T39" i="14" s="1"/>
  <c r="V41" i="14"/>
  <c r="K66" i="49"/>
  <c r="L8" i="14"/>
  <c r="M8" i="14" s="1"/>
  <c r="T8" i="14" s="1"/>
  <c r="K14" i="49"/>
  <c r="K37" i="49"/>
  <c r="K53" i="49"/>
  <c r="Q45" i="51"/>
  <c r="R45" i="51" s="1"/>
  <c r="V57" i="14"/>
  <c r="V62" i="14"/>
  <c r="K11" i="49"/>
  <c r="K22" i="49"/>
  <c r="K62" i="49"/>
  <c r="Q16" i="51"/>
  <c r="V21" i="14"/>
  <c r="Q42" i="51"/>
  <c r="R42" i="51" s="1"/>
  <c r="L13" i="14"/>
  <c r="M13" i="14" s="1"/>
  <c r="T13" i="14" s="1"/>
  <c r="V43" i="14"/>
  <c r="P68" i="14"/>
  <c r="V15" i="14"/>
  <c r="L20" i="14"/>
  <c r="M20" i="14" s="1"/>
  <c r="T20" i="14" s="1"/>
  <c r="L31" i="14"/>
  <c r="M31" i="14" s="1"/>
  <c r="T31" i="14" s="1"/>
  <c r="V33" i="14"/>
  <c r="S37" i="14"/>
  <c r="L45" i="14"/>
  <c r="M45" i="14" s="1"/>
  <c r="T45" i="14" s="1"/>
  <c r="S68" i="14"/>
  <c r="L24" i="14"/>
  <c r="M24" i="14" s="1"/>
  <c r="P24" i="14" s="1"/>
  <c r="V35" i="14"/>
  <c r="L42" i="14"/>
  <c r="M42" i="14" s="1"/>
  <c r="L69" i="14"/>
  <c r="M69" i="14" s="1"/>
  <c r="T69" i="14" s="1"/>
  <c r="L11" i="14"/>
  <c r="M11" i="14" s="1"/>
  <c r="T11" i="14" s="1"/>
  <c r="L29" i="14"/>
  <c r="M29" i="14" s="1"/>
  <c r="T29" i="14" s="1"/>
  <c r="V29" i="14" s="1"/>
  <c r="V65" i="14"/>
  <c r="L7" i="14"/>
  <c r="M7" i="14" s="1"/>
  <c r="T7" i="14" s="1"/>
  <c r="L12" i="14"/>
  <c r="M12" i="14" s="1"/>
  <c r="P12" i="14" s="1"/>
  <c r="L14" i="14"/>
  <c r="M14" i="14" s="1"/>
  <c r="P14" i="14" s="1"/>
  <c r="L18" i="14"/>
  <c r="M18" i="14" s="1"/>
  <c r="T18" i="14" s="1"/>
  <c r="L32" i="14"/>
  <c r="M32" i="14" s="1"/>
  <c r="T32" i="14" s="1"/>
  <c r="V40" i="14"/>
  <c r="R45" i="14"/>
  <c r="L56" i="14"/>
  <c r="M56" i="14" s="1"/>
  <c r="T56" i="14" s="1"/>
  <c r="L58" i="14"/>
  <c r="M58" i="14" s="1"/>
  <c r="T58" i="14" s="1"/>
  <c r="L61" i="14"/>
  <c r="M61" i="14" s="1"/>
  <c r="T61" i="14" s="1"/>
  <c r="S71" i="14"/>
  <c r="L25" i="14"/>
  <c r="M25" i="14" s="1"/>
  <c r="P25" i="14" s="1"/>
  <c r="V30" i="14"/>
  <c r="L44" i="14"/>
  <c r="M44" i="14" s="1"/>
  <c r="T44" i="14" s="1"/>
  <c r="V66" i="14"/>
  <c r="L37" i="14"/>
  <c r="M37" i="14" s="1"/>
  <c r="P37" i="14" s="1"/>
  <c r="V46" i="14"/>
  <c r="L49" i="14"/>
  <c r="M49" i="14" s="1"/>
  <c r="T49" i="14" s="1"/>
  <c r="L53" i="14"/>
  <c r="M53" i="14" s="1"/>
  <c r="T53" i="14" s="1"/>
  <c r="R56" i="14"/>
  <c r="R61" i="14"/>
  <c r="L17" i="14"/>
  <c r="M17" i="14" s="1"/>
  <c r="T17" i="14" s="1"/>
  <c r="L22" i="14"/>
  <c r="M22" i="14" s="1"/>
  <c r="T22" i="14" s="1"/>
  <c r="V22" i="14" s="1"/>
  <c r="V55" i="14"/>
  <c r="V60" i="14"/>
  <c r="Q33" i="51"/>
  <c r="R33" i="51" s="1"/>
  <c r="Q51" i="51"/>
  <c r="Q55" i="51"/>
  <c r="R55" i="51" s="1"/>
  <c r="Q62" i="51"/>
  <c r="R62" i="51" s="1"/>
  <c r="Q54" i="51"/>
  <c r="R54" i="51" s="1"/>
  <c r="Q69" i="51"/>
  <c r="R69" i="51" s="1"/>
  <c r="Q27" i="51"/>
  <c r="R27" i="51" s="1"/>
  <c r="Q9" i="51"/>
  <c r="R9" i="51" s="1"/>
  <c r="Q35" i="51"/>
  <c r="R35" i="51" s="1"/>
  <c r="Q61" i="51"/>
  <c r="R61" i="51" s="1"/>
  <c r="Q72" i="51"/>
  <c r="R72" i="51" s="1"/>
  <c r="Q10" i="51"/>
  <c r="R10" i="51" s="1"/>
  <c r="Q25" i="51"/>
  <c r="R25" i="51" s="1"/>
  <c r="Q18" i="51"/>
  <c r="R18" i="51" s="1"/>
  <c r="Q29" i="51"/>
  <c r="R29" i="51" s="1"/>
  <c r="Q44" i="51"/>
  <c r="R44" i="51" s="1"/>
  <c r="Q38" i="51"/>
  <c r="R38" i="51" s="1"/>
  <c r="Q63" i="51"/>
  <c r="R63" i="51" s="1"/>
  <c r="Q20" i="51"/>
  <c r="R20" i="51" s="1"/>
  <c r="Q34" i="51"/>
  <c r="R34" i="51" s="1"/>
  <c r="Q46" i="51"/>
  <c r="R46" i="51" s="1"/>
  <c r="Q59" i="51"/>
  <c r="Q67" i="51"/>
  <c r="R67" i="51" s="1"/>
  <c r="Q8" i="51"/>
  <c r="R8" i="51" s="1"/>
  <c r="Q17" i="51"/>
  <c r="R17" i="51" s="1"/>
  <c r="Q26" i="51"/>
  <c r="R26" i="51" s="1"/>
  <c r="Q28" i="51"/>
  <c r="R28" i="51" s="1"/>
  <c r="Q43" i="51"/>
  <c r="R43" i="51" s="1"/>
  <c r="Q50" i="51"/>
  <c r="R50" i="51" s="1"/>
  <c r="Q70" i="51"/>
  <c r="Q15" i="51"/>
  <c r="Q31" i="51"/>
  <c r="Q36" i="51"/>
  <c r="Q19" i="51"/>
  <c r="R40" i="51"/>
  <c r="R58" i="51"/>
  <c r="R12" i="51"/>
  <c r="R48" i="51"/>
  <c r="R57" i="51"/>
  <c r="R30" i="51"/>
  <c r="Q14" i="51"/>
  <c r="R16" i="51"/>
  <c r="Q32" i="51"/>
  <c r="Q39" i="51"/>
  <c r="R51" i="51"/>
  <c r="R64" i="51"/>
  <c r="Q11" i="51"/>
  <c r="Q21" i="51"/>
  <c r="Q23" i="51"/>
  <c r="Q41" i="51"/>
  <c r="Q47" i="51"/>
  <c r="Q56" i="51"/>
  <c r="Q68" i="51"/>
  <c r="T71" i="14"/>
  <c r="P71" i="14"/>
  <c r="V47" i="14"/>
  <c r="T24" i="14"/>
  <c r="T42" i="14"/>
  <c r="P42" i="14"/>
  <c r="T12" i="14"/>
  <c r="T14" i="14"/>
  <c r="V63" i="14"/>
  <c r="P45" i="14"/>
  <c r="P49" i="14"/>
  <c r="V49" i="14" s="1"/>
  <c r="P58" i="14"/>
  <c r="V58" i="14" s="1"/>
  <c r="T35" i="34"/>
  <c r="D35" i="34"/>
  <c r="T28" i="34"/>
  <c r="D28" i="34"/>
  <c r="T57" i="34"/>
  <c r="D57" i="34"/>
  <c r="T50" i="34"/>
  <c r="D50" i="34"/>
  <c r="T46" i="34"/>
  <c r="D46" i="34"/>
  <c r="T66" i="34"/>
  <c r="D66" i="34"/>
  <c r="T47" i="34"/>
  <c r="D47" i="34"/>
  <c r="T8" i="34"/>
  <c r="D8" i="34"/>
  <c r="T67" i="34"/>
  <c r="D67" i="34"/>
  <c r="T33" i="34"/>
  <c r="D33" i="34"/>
  <c r="T62" i="34"/>
  <c r="D62" i="34"/>
  <c r="T22" i="34"/>
  <c r="D22" i="34"/>
  <c r="T30" i="34"/>
  <c r="D30" i="34"/>
  <c r="T12" i="34"/>
  <c r="D12" i="34"/>
  <c r="T53" i="34"/>
  <c r="D53" i="34"/>
  <c r="T31" i="34"/>
  <c r="D31" i="34"/>
  <c r="T27" i="34"/>
  <c r="D27" i="34"/>
  <c r="T55" i="34"/>
  <c r="D55" i="34"/>
  <c r="T34" i="34"/>
  <c r="D34" i="34"/>
  <c r="T56" i="34"/>
  <c r="D56" i="34"/>
  <c r="T60" i="34"/>
  <c r="D60" i="34"/>
  <c r="T15" i="34"/>
  <c r="D15" i="34"/>
  <c r="T20" i="34"/>
  <c r="D20" i="34"/>
  <c r="T40" i="34"/>
  <c r="D40" i="34"/>
  <c r="D9" i="34"/>
  <c r="T21" i="34"/>
  <c r="D21" i="34"/>
  <c r="T24" i="34"/>
  <c r="D24" i="34"/>
  <c r="T64" i="34"/>
  <c r="D64" i="34"/>
  <c r="T63" i="34"/>
  <c r="D63" i="34"/>
  <c r="T13" i="34"/>
  <c r="D13" i="34"/>
  <c r="T18" i="34"/>
  <c r="D18" i="34"/>
  <c r="T42" i="34"/>
  <c r="D42" i="34"/>
  <c r="T32" i="34"/>
  <c r="D32" i="34"/>
  <c r="T69" i="34"/>
  <c r="D69" i="34"/>
  <c r="T49" i="34"/>
  <c r="D49" i="34"/>
  <c r="T43" i="34"/>
  <c r="D43" i="34"/>
  <c r="T29" i="34"/>
  <c r="D29" i="34"/>
  <c r="T16" i="34"/>
  <c r="D16" i="34"/>
  <c r="T61" i="34"/>
  <c r="D61" i="34"/>
  <c r="T26" i="34"/>
  <c r="D26" i="34"/>
  <c r="T39" i="34"/>
  <c r="D39" i="34"/>
  <c r="T10" i="34"/>
  <c r="D10" i="34"/>
  <c r="T41" i="34"/>
  <c r="D41" i="34"/>
  <c r="T17" i="34"/>
  <c r="D17" i="34"/>
  <c r="T68" i="34"/>
  <c r="D68" i="34"/>
  <c r="T45" i="34"/>
  <c r="D45" i="34"/>
  <c r="T14" i="34"/>
  <c r="D14" i="34"/>
  <c r="T11" i="34"/>
  <c r="D11" i="34"/>
  <c r="T19" i="34"/>
  <c r="D19" i="34"/>
  <c r="T25" i="34"/>
  <c r="T38" i="34"/>
  <c r="D38" i="34"/>
  <c r="T71" i="34"/>
  <c r="D71" i="34"/>
  <c r="T58" i="34"/>
  <c r="D58" i="34"/>
  <c r="T37" i="34"/>
  <c r="D37" i="34"/>
  <c r="T7" i="34"/>
  <c r="D7" i="34"/>
  <c r="T54" i="34"/>
  <c r="D54" i="34"/>
  <c r="T44" i="34"/>
  <c r="D44" i="34"/>
  <c r="P39" i="14" l="1"/>
  <c r="V39" i="14" s="1"/>
  <c r="P31" i="14"/>
  <c r="V31" i="14" s="1"/>
  <c r="T25" i="14"/>
  <c r="P7" i="14"/>
  <c r="P26" i="14"/>
  <c r="V26" i="14" s="1"/>
  <c r="T34" i="14"/>
  <c r="V34" i="14" s="1"/>
  <c r="P19" i="14"/>
  <c r="P17" i="14"/>
  <c r="V17" i="14" s="1"/>
  <c r="P56" i="14"/>
  <c r="V56" i="14" s="1"/>
  <c r="V45" i="14"/>
  <c r="V19" i="14"/>
  <c r="P18" i="14"/>
  <c r="V18" i="14" s="1"/>
  <c r="P53" i="14"/>
  <c r="V53" i="14" s="1"/>
  <c r="P8" i="14"/>
  <c r="V8" i="14" s="1"/>
  <c r="T37" i="14"/>
  <c r="V37" i="14" s="1"/>
  <c r="V14" i="14"/>
  <c r="S70" i="51"/>
  <c r="T70" i="51" s="1"/>
  <c r="S59" i="51"/>
  <c r="T59" i="51" s="1"/>
  <c r="V42" i="14"/>
  <c r="P20" i="14"/>
  <c r="V20" i="14" s="1"/>
  <c r="V7" i="14"/>
  <c r="P44" i="14"/>
  <c r="V44" i="14" s="1"/>
  <c r="P69" i="14"/>
  <c r="V69" i="14" s="1"/>
  <c r="P11" i="14"/>
  <c r="V11" i="14" s="1"/>
  <c r="P13" i="14"/>
  <c r="V13" i="14" s="1"/>
  <c r="P32" i="14"/>
  <c r="V32" i="14" s="1"/>
  <c r="P61" i="14"/>
  <c r="V61" i="14" s="1"/>
  <c r="V24" i="14"/>
  <c r="S30" i="51"/>
  <c r="T30" i="51" s="1"/>
  <c r="S63" i="51"/>
  <c r="T63" i="51" s="1"/>
  <c r="S46" i="51"/>
  <c r="T46" i="51" s="1"/>
  <c r="R70" i="51"/>
  <c r="R59" i="51"/>
  <c r="S10" i="51"/>
  <c r="T10" i="51" s="1"/>
  <c r="S17" i="51"/>
  <c r="T17" i="51" s="1"/>
  <c r="S11" i="51"/>
  <c r="T11" i="51" s="1"/>
  <c r="R11" i="51"/>
  <c r="S62" i="51"/>
  <c r="T62" i="51" s="1"/>
  <c r="S50" i="51"/>
  <c r="T50" i="51" s="1"/>
  <c r="S56" i="51"/>
  <c r="T56" i="51" s="1"/>
  <c r="R56" i="51"/>
  <c r="S43" i="51"/>
  <c r="T43" i="51" s="1"/>
  <c r="S34" i="51"/>
  <c r="T34" i="51" s="1"/>
  <c r="S47" i="51"/>
  <c r="T47" i="51" s="1"/>
  <c r="R47" i="51"/>
  <c r="S64" i="51"/>
  <c r="T64" i="51" s="1"/>
  <c r="S55" i="51"/>
  <c r="T55" i="51" s="1"/>
  <c r="S8" i="51"/>
  <c r="T8" i="51" s="1"/>
  <c r="S41" i="51"/>
  <c r="T41" i="51" s="1"/>
  <c r="R41" i="51"/>
  <c r="S18" i="51"/>
  <c r="T18" i="51" s="1"/>
  <c r="S61" i="51"/>
  <c r="T61" i="51" s="1"/>
  <c r="S69" i="51"/>
  <c r="T69" i="51" s="1"/>
  <c r="S27" i="51"/>
  <c r="T27" i="51" s="1"/>
  <c r="S65" i="51"/>
  <c r="T65" i="51" s="1"/>
  <c r="S40" i="51"/>
  <c r="T40" i="51" s="1"/>
  <c r="S36" i="51"/>
  <c r="T36" i="51" s="1"/>
  <c r="R36" i="51"/>
  <c r="S39" i="51"/>
  <c r="T39" i="51" s="1"/>
  <c r="R39" i="51"/>
  <c r="S48" i="51"/>
  <c r="T48" i="51" s="1"/>
  <c r="S9" i="51"/>
  <c r="T9" i="51" s="1"/>
  <c r="S29" i="51"/>
  <c r="T29" i="51" s="1"/>
  <c r="S13" i="51"/>
  <c r="T13" i="51" s="1"/>
  <c r="S51" i="51"/>
  <c r="T51" i="51" s="1"/>
  <c r="S28" i="51"/>
  <c r="T28" i="51" s="1"/>
  <c r="S67" i="51"/>
  <c r="T67" i="51" s="1"/>
  <c r="S38" i="51"/>
  <c r="T38" i="51" s="1"/>
  <c r="S35" i="51"/>
  <c r="T35" i="51" s="1"/>
  <c r="S22" i="51"/>
  <c r="T22" i="51" s="1"/>
  <c r="S58" i="51"/>
  <c r="T58" i="51" s="1"/>
  <c r="S33" i="51"/>
  <c r="T33" i="51" s="1"/>
  <c r="S15" i="51"/>
  <c r="T15" i="51" s="1"/>
  <c r="R15" i="51"/>
  <c r="S21" i="51"/>
  <c r="T21" i="51" s="1"/>
  <c r="R21" i="51"/>
  <c r="S14" i="51"/>
  <c r="T14" i="51" s="1"/>
  <c r="R14" i="51"/>
  <c r="S25" i="51"/>
  <c r="T25" i="51" s="1"/>
  <c r="S32" i="51"/>
  <c r="T32" i="51" s="1"/>
  <c r="R32" i="51"/>
  <c r="S12" i="51"/>
  <c r="T12" i="51" s="1"/>
  <c r="S72" i="51"/>
  <c r="T72" i="51" s="1"/>
  <c r="S42" i="51"/>
  <c r="T42" i="51" s="1"/>
  <c r="S45" i="51"/>
  <c r="T45" i="51" s="1"/>
  <c r="S20" i="51"/>
  <c r="T20" i="51" s="1"/>
  <c r="S57" i="51"/>
  <c r="T57" i="51" s="1"/>
  <c r="S31" i="51"/>
  <c r="T31" i="51" s="1"/>
  <c r="R31" i="51"/>
  <c r="S26" i="51"/>
  <c r="T26" i="51" s="1"/>
  <c r="S68" i="51"/>
  <c r="T68" i="51" s="1"/>
  <c r="R68" i="51"/>
  <c r="S23" i="51"/>
  <c r="T23" i="51" s="1"/>
  <c r="R23" i="51"/>
  <c r="S44" i="51"/>
  <c r="T44" i="51" s="1"/>
  <c r="S16" i="51"/>
  <c r="T16" i="51" s="1"/>
  <c r="S54" i="51"/>
  <c r="T54" i="51" s="1"/>
  <c r="S19" i="51"/>
  <c r="T19" i="51" s="1"/>
  <c r="R19" i="51"/>
  <c r="G80" i="49"/>
  <c r="V71" i="14"/>
  <c r="V12" i="14"/>
  <c r="V25" i="14"/>
  <c r="C29" i="34"/>
  <c r="C11" i="34"/>
  <c r="C71" i="34"/>
  <c r="C20" i="34"/>
  <c r="C34" i="34"/>
  <c r="C53" i="34"/>
  <c r="C62" i="34"/>
  <c r="C50" i="34"/>
  <c r="C18" i="34"/>
  <c r="C24" i="34"/>
  <c r="C37" i="34"/>
  <c r="C25" i="34"/>
  <c r="C45" i="34"/>
  <c r="C10" i="34"/>
  <c r="C16" i="34"/>
  <c r="C69" i="34"/>
  <c r="C13" i="34"/>
  <c r="C21" i="34"/>
  <c r="C14" i="34"/>
  <c r="C40" i="34"/>
  <c r="C56" i="34"/>
  <c r="C31" i="34"/>
  <c r="C22" i="34"/>
  <c r="C8" i="34"/>
  <c r="C46" i="34"/>
  <c r="C35" i="34"/>
  <c r="C17" i="34"/>
  <c r="C26" i="34"/>
  <c r="C43" i="34"/>
  <c r="C42" i="34"/>
  <c r="C64" i="34"/>
  <c r="C60" i="34"/>
  <c r="C27" i="34"/>
  <c r="C28" i="34"/>
  <c r="C68" i="34"/>
  <c r="C39" i="34"/>
  <c r="C15" i="34"/>
  <c r="C55" i="34"/>
  <c r="C12" i="34"/>
  <c r="C33" i="34"/>
  <c r="C47" i="34"/>
  <c r="C57" i="34"/>
  <c r="C44" i="34"/>
  <c r="C58" i="34"/>
  <c r="C63" i="34"/>
  <c r="C30" i="34"/>
  <c r="C67" i="34"/>
  <c r="C19" i="34"/>
  <c r="C32" i="34"/>
  <c r="C9" i="34"/>
  <c r="C7" i="34"/>
  <c r="C38" i="34"/>
  <c r="C41" i="34"/>
  <c r="C61" i="34"/>
  <c r="C49" i="34"/>
  <c r="C54" i="34"/>
  <c r="C66" i="34"/>
  <c r="B70" i="34" l="1"/>
  <c r="E70" i="34"/>
  <c r="F70" i="34" s="1"/>
  <c r="B65" i="34"/>
  <c r="E65" i="34"/>
  <c r="F65" i="34" s="1"/>
  <c r="E59" i="34"/>
  <c r="F59" i="34" s="1"/>
  <c r="B59" i="34"/>
  <c r="B52" i="34"/>
  <c r="B51" i="34"/>
  <c r="E52" i="34"/>
  <c r="F52" i="34" s="1"/>
  <c r="E51" i="34"/>
  <c r="F51" i="34" s="1"/>
  <c r="B48" i="34"/>
  <c r="E48" i="34"/>
  <c r="F48" i="34" s="1"/>
  <c r="B36" i="34"/>
  <c r="E36" i="34"/>
  <c r="F36" i="34" s="1"/>
  <c r="B23" i="34"/>
  <c r="E23" i="34"/>
  <c r="F23" i="34" s="1"/>
  <c r="B21" i="14"/>
  <c r="B60" i="14"/>
  <c r="B39" i="14"/>
  <c r="B34" i="14"/>
  <c r="B22" i="14"/>
  <c r="B25" i="14"/>
  <c r="B49" i="14"/>
  <c r="B16" i="14"/>
  <c r="B46" i="14"/>
  <c r="B15" i="14"/>
  <c r="B68" i="14"/>
  <c r="B17" i="14"/>
  <c r="B26" i="14"/>
  <c r="B19" i="14"/>
  <c r="B28" i="14"/>
  <c r="B8" i="14"/>
  <c r="B67" i="14"/>
  <c r="B69" i="14"/>
  <c r="B14" i="14"/>
  <c r="B71" i="14"/>
  <c r="B47" i="14"/>
  <c r="B12" i="14"/>
  <c r="B65" i="14"/>
  <c r="B45" i="14"/>
  <c r="B66" i="14"/>
  <c r="B24" i="14"/>
  <c r="B62" i="14"/>
  <c r="B58" i="14"/>
  <c r="B57" i="14"/>
  <c r="B56" i="14"/>
  <c r="B27" i="14"/>
  <c r="B50" i="14"/>
  <c r="B29" i="14"/>
  <c r="B33" i="14"/>
  <c r="B10" i="14"/>
  <c r="B30" i="14"/>
  <c r="B63" i="14"/>
  <c r="B38" i="14"/>
  <c r="B18" i="14"/>
  <c r="B37" i="14"/>
  <c r="B13" i="14"/>
  <c r="B41" i="14"/>
  <c r="B54" i="14"/>
  <c r="B43" i="14"/>
  <c r="B40" i="14"/>
  <c r="B20" i="14"/>
  <c r="B42" i="14"/>
  <c r="B32" i="14"/>
  <c r="B35" i="14"/>
  <c r="B11" i="14"/>
  <c r="B53" i="14"/>
  <c r="B31" i="14"/>
  <c r="B61" i="14"/>
  <c r="B9" i="14"/>
  <c r="B55" i="14"/>
  <c r="B44" i="14"/>
  <c r="B7" i="14"/>
  <c r="E53" i="34"/>
  <c r="F53" i="34" s="1"/>
  <c r="E45" i="34"/>
  <c r="F45" i="34" s="1"/>
  <c r="E49" i="34"/>
  <c r="F49" i="34" s="1"/>
  <c r="B49" i="34"/>
  <c r="E31" i="34"/>
  <c r="F31" i="34" s="1"/>
  <c r="B18" i="34"/>
  <c r="B17" i="34"/>
  <c r="E18" i="34"/>
  <c r="F18" i="34" s="1"/>
  <c r="E41" i="34"/>
  <c r="F41" i="34" s="1"/>
  <c r="B41" i="34"/>
  <c r="B63" i="34"/>
  <c r="E63" i="34"/>
  <c r="F63" i="34" s="1"/>
  <c r="E15" i="34"/>
  <c r="F15" i="34" s="1"/>
  <c r="B15" i="34"/>
  <c r="E42" i="34"/>
  <c r="F42" i="34" s="1"/>
  <c r="E46" i="34"/>
  <c r="F46" i="34" s="1"/>
  <c r="B37" i="34"/>
  <c r="B21" i="34"/>
  <c r="E29" i="34"/>
  <c r="F29" i="34" s="1"/>
  <c r="B50" i="34"/>
  <c r="B24" i="34"/>
  <c r="B53" i="34"/>
  <c r="E64" i="34"/>
  <c r="F64" i="34" s="1"/>
  <c r="B30" i="34"/>
  <c r="E30" i="34"/>
  <c r="F30" i="34" s="1"/>
  <c r="B40" i="34"/>
  <c r="E38" i="34"/>
  <c r="F38" i="34" s="1"/>
  <c r="B38" i="34"/>
  <c r="B58" i="34"/>
  <c r="E58" i="34"/>
  <c r="F58" i="34" s="1"/>
  <c r="B39" i="34"/>
  <c r="E39" i="34"/>
  <c r="F39" i="34" s="1"/>
  <c r="B42" i="34"/>
  <c r="B46" i="34"/>
  <c r="E37" i="34"/>
  <c r="F37" i="34" s="1"/>
  <c r="E21" i="34"/>
  <c r="F21" i="34" s="1"/>
  <c r="B29" i="34"/>
  <c r="E50" i="34"/>
  <c r="F50" i="34" s="1"/>
  <c r="E24" i="34"/>
  <c r="F24" i="34" s="1"/>
  <c r="B67" i="34"/>
  <c r="E67" i="34"/>
  <c r="F67" i="34" s="1"/>
  <c r="B45" i="34"/>
  <c r="B64" i="34"/>
  <c r="B7" i="34"/>
  <c r="E7" i="34"/>
  <c r="F7" i="34" s="1"/>
  <c r="E44" i="34"/>
  <c r="F44" i="34" s="1"/>
  <c r="B44" i="34"/>
  <c r="B68" i="34"/>
  <c r="E68" i="34"/>
  <c r="F68" i="34" s="1"/>
  <c r="E43" i="34"/>
  <c r="F43" i="34" s="1"/>
  <c r="B14" i="34"/>
  <c r="B62" i="34"/>
  <c r="B16" i="34"/>
  <c r="E56" i="34"/>
  <c r="F56" i="34" s="1"/>
  <c r="B20" i="34"/>
  <c r="B34" i="34"/>
  <c r="E71" i="34"/>
  <c r="F71" i="34" s="1"/>
  <c r="B12" i="34"/>
  <c r="E12" i="34"/>
  <c r="F12" i="34" s="1"/>
  <c r="E55" i="34"/>
  <c r="F55" i="34" s="1"/>
  <c r="B55" i="34"/>
  <c r="E9" i="34"/>
  <c r="F9" i="34" s="1"/>
  <c r="B9" i="34"/>
  <c r="E57" i="34"/>
  <c r="F57" i="34" s="1"/>
  <c r="B57" i="34"/>
  <c r="B28" i="34"/>
  <c r="E28" i="34"/>
  <c r="F28" i="34" s="1"/>
  <c r="B43" i="34"/>
  <c r="E14" i="34"/>
  <c r="F14" i="34" s="1"/>
  <c r="E62" i="34"/>
  <c r="F62" i="34" s="1"/>
  <c r="E16" i="34"/>
  <c r="F16" i="34" s="1"/>
  <c r="B56" i="34"/>
  <c r="E20" i="34"/>
  <c r="F20" i="34" s="1"/>
  <c r="E34" i="34"/>
  <c r="F34" i="34" s="1"/>
  <c r="B71" i="34"/>
  <c r="B10" i="34"/>
  <c r="E61" i="34"/>
  <c r="F61" i="34" s="1"/>
  <c r="B61" i="34"/>
  <c r="B31" i="34"/>
  <c r="B66" i="34"/>
  <c r="E66" i="34"/>
  <c r="F66" i="34" s="1"/>
  <c r="B32" i="34"/>
  <c r="E32" i="34"/>
  <c r="F32" i="34" s="1"/>
  <c r="E47" i="34"/>
  <c r="F47" i="34" s="1"/>
  <c r="B47" i="34"/>
  <c r="B27" i="34"/>
  <c r="E27" i="34"/>
  <c r="F27" i="34" s="1"/>
  <c r="E26" i="34"/>
  <c r="F26" i="34" s="1"/>
  <c r="B69" i="34"/>
  <c r="E11" i="34"/>
  <c r="F11" i="34" s="1"/>
  <c r="B25" i="34"/>
  <c r="B13" i="34"/>
  <c r="B35" i="34"/>
  <c r="B22" i="34"/>
  <c r="E8" i="34"/>
  <c r="F8" i="34" s="1"/>
  <c r="E17" i="34"/>
  <c r="F17" i="34" s="1"/>
  <c r="E40" i="34"/>
  <c r="F40" i="34" s="1"/>
  <c r="E10" i="34"/>
  <c r="F10" i="34" s="1"/>
  <c r="B54" i="34"/>
  <c r="E54" i="34"/>
  <c r="F54" i="34" s="1"/>
  <c r="E19" i="34"/>
  <c r="F19" i="34" s="1"/>
  <c r="B19" i="34"/>
  <c r="B33" i="34"/>
  <c r="E33" i="34"/>
  <c r="F33" i="34" s="1"/>
  <c r="B60" i="34"/>
  <c r="E60" i="34"/>
  <c r="F60" i="34" s="1"/>
  <c r="B26" i="34"/>
  <c r="E69" i="34"/>
  <c r="F69" i="34" s="1"/>
  <c r="B11" i="34"/>
  <c r="E25" i="34"/>
  <c r="F25" i="34" s="1"/>
  <c r="E13" i="34"/>
  <c r="F13" i="34" s="1"/>
  <c r="E35" i="34"/>
  <c r="F35" i="34" s="1"/>
  <c r="E22" i="34"/>
  <c r="F22" i="34" s="1"/>
  <c r="B8" i="34"/>
  <c r="D6" i="6" l="1"/>
  <c r="C17" i="6" l="1"/>
  <c r="C25" i="6"/>
  <c r="C35" i="6"/>
  <c r="I36" i="4" s="1"/>
  <c r="C43" i="6"/>
  <c r="C63" i="6"/>
  <c r="I64" i="4" s="1"/>
  <c r="C52" i="6"/>
  <c r="C8" i="6"/>
  <c r="I9" i="4" s="1"/>
  <c r="C26" i="6"/>
  <c r="I27" i="4" s="1"/>
  <c r="C44" i="6"/>
  <c r="C54" i="6"/>
  <c r="I55" i="4" s="1"/>
  <c r="C64" i="6"/>
  <c r="C24" i="6"/>
  <c r="B24" i="6" s="1"/>
  <c r="C9" i="6"/>
  <c r="C18" i="6"/>
  <c r="C27" i="6"/>
  <c r="C36" i="6"/>
  <c r="C45" i="6"/>
  <c r="I46" i="4" s="1"/>
  <c r="C65" i="6"/>
  <c r="C33" i="6"/>
  <c r="I34" i="4" s="1"/>
  <c r="C10" i="6"/>
  <c r="C28" i="6"/>
  <c r="C46" i="6"/>
  <c r="C55" i="6"/>
  <c r="C66" i="6"/>
  <c r="B66" i="6" s="1"/>
  <c r="C61" i="6"/>
  <c r="C11" i="6"/>
  <c r="C19" i="6"/>
  <c r="C29" i="6"/>
  <c r="I30" i="4" s="1"/>
  <c r="C37" i="6"/>
  <c r="C47" i="6"/>
  <c r="C56" i="6"/>
  <c r="I57" i="4" s="1"/>
  <c r="C20" i="6"/>
  <c r="I21" i="4" s="1"/>
  <c r="C38" i="6"/>
  <c r="I39" i="4" s="1"/>
  <c r="C48" i="6"/>
  <c r="C57" i="6"/>
  <c r="C67" i="6"/>
  <c r="B67" i="6" s="1"/>
  <c r="C58" i="6"/>
  <c r="C42" i="6"/>
  <c r="C12" i="6"/>
  <c r="C21" i="6"/>
  <c r="I22" i="4" s="1"/>
  <c r="C30" i="6"/>
  <c r="I31" i="4" s="1"/>
  <c r="C39" i="6"/>
  <c r="I40" i="4" s="1"/>
  <c r="C68" i="6"/>
  <c r="C22" i="6"/>
  <c r="I23" i="4" s="1"/>
  <c r="C40" i="6"/>
  <c r="I41" i="4" s="1"/>
  <c r="C49" i="6"/>
  <c r="I50" i="4" s="1"/>
  <c r="C59" i="6"/>
  <c r="C69" i="6"/>
  <c r="B69" i="6" s="1"/>
  <c r="C15" i="6"/>
  <c r="C13" i="6"/>
  <c r="C23" i="6"/>
  <c r="C31" i="6"/>
  <c r="I32" i="4" s="1"/>
  <c r="C41" i="6"/>
  <c r="I42" i="4" s="1"/>
  <c r="C50" i="6"/>
  <c r="I51" i="4" s="1"/>
  <c r="C60" i="6"/>
  <c r="C70" i="6"/>
  <c r="C14" i="6"/>
  <c r="I15" i="4" s="1"/>
  <c r="C32" i="6"/>
  <c r="I33" i="4" s="1"/>
  <c r="C51" i="6"/>
  <c r="C71" i="6"/>
  <c r="B71" i="6" s="1"/>
  <c r="C16" i="6"/>
  <c r="C34" i="6"/>
  <c r="C53" i="6"/>
  <c r="C62" i="6"/>
  <c r="C7" i="6"/>
  <c r="I8" i="4" s="1"/>
  <c r="I54" i="4"/>
  <c r="I48" i="4"/>
  <c r="I10" i="4"/>
  <c r="I62" i="4"/>
  <c r="I35" i="4"/>
  <c r="I29" i="4"/>
  <c r="I18" i="4"/>
  <c r="I28" i="4"/>
  <c r="I13" i="4"/>
  <c r="I19" i="4"/>
  <c r="I59" i="4"/>
  <c r="I38" i="4"/>
  <c r="I63" i="4"/>
  <c r="I44" i="4"/>
  <c r="I26" i="4"/>
  <c r="I14" i="4"/>
  <c r="I16" i="4"/>
  <c r="I12" i="4"/>
  <c r="I43" i="4"/>
  <c r="I20" i="4"/>
  <c r="I17" i="4"/>
  <c r="B59" i="6" l="1"/>
  <c r="B55" i="6"/>
  <c r="B64" i="6"/>
  <c r="I49" i="4"/>
  <c r="B48" i="6"/>
  <c r="B46" i="6"/>
  <c r="B54" i="6"/>
  <c r="B57" i="6"/>
  <c r="I58" i="4"/>
  <c r="B38" i="6"/>
  <c r="B28" i="6"/>
  <c r="B44" i="6"/>
  <c r="I56" i="4"/>
  <c r="B22" i="6"/>
  <c r="B20" i="6"/>
  <c r="B10" i="6"/>
  <c r="B26" i="6"/>
  <c r="B68" i="6"/>
  <c r="B8" i="6"/>
  <c r="B14" i="6"/>
  <c r="I47" i="4"/>
  <c r="B56" i="6"/>
  <c r="B33" i="6"/>
  <c r="I65" i="4"/>
  <c r="I70" i="4"/>
  <c r="B50" i="6"/>
  <c r="B39" i="6"/>
  <c r="B47" i="6"/>
  <c r="I66" i="4"/>
  <c r="B65" i="6"/>
  <c r="B52" i="6"/>
  <c r="I53" i="4"/>
  <c r="B32" i="6"/>
  <c r="B41" i="6"/>
  <c r="B30" i="6"/>
  <c r="B37" i="6"/>
  <c r="B45" i="6"/>
  <c r="B63" i="6"/>
  <c r="B49" i="6"/>
  <c r="B62" i="6"/>
  <c r="B31" i="6"/>
  <c r="B21" i="6"/>
  <c r="B29" i="6"/>
  <c r="B36" i="6"/>
  <c r="I37" i="4"/>
  <c r="B43" i="6"/>
  <c r="B51" i="6"/>
  <c r="I52" i="4"/>
  <c r="B60" i="6"/>
  <c r="I45" i="4"/>
  <c r="B53" i="6"/>
  <c r="B23" i="6"/>
  <c r="I24" i="4"/>
  <c r="B12" i="6"/>
  <c r="B19" i="6"/>
  <c r="B27" i="6"/>
  <c r="B35" i="6"/>
  <c r="B40" i="6"/>
  <c r="I60" i="4"/>
  <c r="I61" i="4"/>
  <c r="B34" i="6"/>
  <c r="B13" i="6"/>
  <c r="B42" i="6"/>
  <c r="B11" i="6"/>
  <c r="B18" i="6"/>
  <c r="B25" i="6"/>
  <c r="B70" i="6"/>
  <c r="I71" i="4"/>
  <c r="I68" i="4"/>
  <c r="I72" i="4"/>
  <c r="I67" i="4"/>
  <c r="I11" i="4"/>
  <c r="I25" i="4"/>
  <c r="I69" i="4"/>
  <c r="B16" i="6"/>
  <c r="B15" i="6"/>
  <c r="B58" i="6"/>
  <c r="B61" i="6"/>
  <c r="B9" i="6"/>
  <c r="B17" i="6"/>
  <c r="B7" i="6"/>
  <c r="G71" i="7" l="1"/>
  <c r="G69" i="7"/>
  <c r="G68" i="7"/>
  <c r="G67" i="7"/>
  <c r="G66" i="7"/>
  <c r="G64" i="7"/>
  <c r="G63" i="7"/>
  <c r="G62" i="7"/>
  <c r="G61" i="7"/>
  <c r="G60" i="7"/>
  <c r="G58" i="7"/>
  <c r="G57" i="7"/>
  <c r="G56" i="7"/>
  <c r="G55" i="7"/>
  <c r="G54" i="7"/>
  <c r="G53" i="7"/>
  <c r="G50" i="7"/>
  <c r="G49" i="7"/>
  <c r="G47" i="7"/>
  <c r="G46" i="7"/>
  <c r="G45" i="7"/>
  <c r="G44" i="7"/>
  <c r="G43" i="7"/>
  <c r="G42" i="7"/>
  <c r="G41" i="7"/>
  <c r="G40" i="7"/>
  <c r="G39" i="7"/>
  <c r="G38" i="7"/>
  <c r="G37" i="7"/>
  <c r="G35" i="7"/>
  <c r="G34" i="7"/>
  <c r="G33" i="7"/>
  <c r="G32" i="7"/>
  <c r="G31" i="7"/>
  <c r="G30" i="7"/>
  <c r="G29" i="7"/>
  <c r="G28" i="7"/>
  <c r="G27" i="7"/>
  <c r="G26" i="7"/>
  <c r="G25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D7" i="5"/>
  <c r="F70" i="7" l="1"/>
  <c r="C70" i="7" s="1"/>
  <c r="F59" i="7"/>
  <c r="C59" i="7" s="1"/>
  <c r="F65" i="7"/>
  <c r="C65" i="7" s="1"/>
  <c r="F51" i="7"/>
  <c r="C51" i="7" s="1"/>
  <c r="F52" i="7"/>
  <c r="C52" i="7" s="1"/>
  <c r="F36" i="7"/>
  <c r="F48" i="7"/>
  <c r="C48" i="7" s="1"/>
  <c r="F24" i="7"/>
  <c r="F23" i="7"/>
  <c r="C23" i="7" s="1"/>
  <c r="F42" i="7"/>
  <c r="F7" i="7"/>
  <c r="D6" i="5"/>
  <c r="F43" i="7"/>
  <c r="F69" i="7"/>
  <c r="F58" i="7"/>
  <c r="F47" i="7"/>
  <c r="F19" i="7"/>
  <c r="F62" i="7"/>
  <c r="F31" i="7"/>
  <c r="F53" i="7"/>
  <c r="F45" i="7"/>
  <c r="F67" i="7"/>
  <c r="F64" i="7"/>
  <c r="F56" i="7"/>
  <c r="F38" i="7"/>
  <c r="F30" i="7"/>
  <c r="F28" i="7"/>
  <c r="F26" i="7"/>
  <c r="F16" i="7"/>
  <c r="F14" i="7"/>
  <c r="F12" i="7"/>
  <c r="F10" i="7"/>
  <c r="F18" i="7"/>
  <c r="F9" i="7"/>
  <c r="F60" i="7"/>
  <c r="F54" i="7"/>
  <c r="F41" i="7"/>
  <c r="F40" i="7"/>
  <c r="C40" i="7" s="1"/>
  <c r="F22" i="7"/>
  <c r="F35" i="7"/>
  <c r="F33" i="7"/>
  <c r="F20" i="7"/>
  <c r="F66" i="7"/>
  <c r="F63" i="7"/>
  <c r="F44" i="7"/>
  <c r="F29" i="7"/>
  <c r="F17" i="7"/>
  <c r="F15" i="7"/>
  <c r="F13" i="7"/>
  <c r="F50" i="7"/>
  <c r="F27" i="7"/>
  <c r="F8" i="7"/>
  <c r="C8" i="7" s="1"/>
  <c r="F34" i="7"/>
  <c r="F37" i="7"/>
  <c r="F25" i="7"/>
  <c r="F68" i="7"/>
  <c r="F57" i="7"/>
  <c r="F71" i="7"/>
  <c r="F39" i="7"/>
  <c r="F61" i="7"/>
  <c r="F11" i="7"/>
  <c r="F55" i="7"/>
  <c r="F21" i="7"/>
  <c r="F32" i="7"/>
  <c r="F49" i="7"/>
  <c r="F46" i="7"/>
  <c r="C39" i="7" l="1"/>
  <c r="J40" i="4" s="1"/>
  <c r="C61" i="7"/>
  <c r="C7" i="7"/>
  <c r="C63" i="7"/>
  <c r="C25" i="7"/>
  <c r="C12" i="7"/>
  <c r="J13" i="4" s="1"/>
  <c r="C37" i="7"/>
  <c r="J38" i="4" s="1"/>
  <c r="C36" i="7"/>
  <c r="J37" i="4" s="1"/>
  <c r="U37" i="4" s="1"/>
  <c r="C60" i="7"/>
  <c r="C44" i="7"/>
  <c r="J45" i="4" s="1"/>
  <c r="C54" i="7"/>
  <c r="C71" i="7"/>
  <c r="C67" i="7"/>
  <c r="C53" i="7"/>
  <c r="J54" i="4" s="1"/>
  <c r="C42" i="7"/>
  <c r="J43" i="4" s="1"/>
  <c r="C14" i="7"/>
  <c r="J15" i="4" s="1"/>
  <c r="C16" i="7"/>
  <c r="J17" i="4" s="1"/>
  <c r="C27" i="7"/>
  <c r="J28" i="4" s="1"/>
  <c r="C56" i="7"/>
  <c r="J57" i="4" s="1"/>
  <c r="C17" i="7"/>
  <c r="J18" i="4" s="1"/>
  <c r="C9" i="7"/>
  <c r="J10" i="4" s="1"/>
  <c r="C57" i="7"/>
  <c r="C45" i="7"/>
  <c r="C68" i="7"/>
  <c r="C10" i="7"/>
  <c r="J11" i="4" s="1"/>
  <c r="C24" i="7"/>
  <c r="J25" i="4" s="1"/>
  <c r="C66" i="7"/>
  <c r="C31" i="7"/>
  <c r="J32" i="4" s="1"/>
  <c r="C20" i="7"/>
  <c r="C34" i="7"/>
  <c r="J35" i="4" s="1"/>
  <c r="C55" i="7"/>
  <c r="J56" i="4" s="1"/>
  <c r="C15" i="7"/>
  <c r="J16" i="4" s="1"/>
  <c r="C64" i="7"/>
  <c r="C29" i="7"/>
  <c r="J30" i="4" s="1"/>
  <c r="C18" i="7"/>
  <c r="J47" i="4"/>
  <c r="C46" i="7"/>
  <c r="C62" i="7"/>
  <c r="C49" i="7"/>
  <c r="J50" i="4" s="1"/>
  <c r="C33" i="7"/>
  <c r="J34" i="4" s="1"/>
  <c r="C19" i="7"/>
  <c r="J20" i="4" s="1"/>
  <c r="C32" i="7"/>
  <c r="J33" i="4" s="1"/>
  <c r="C35" i="7"/>
  <c r="J36" i="4" s="1"/>
  <c r="C26" i="7"/>
  <c r="J27" i="4" s="1"/>
  <c r="C47" i="7"/>
  <c r="J48" i="4" s="1"/>
  <c r="C21" i="7"/>
  <c r="J22" i="4" s="1"/>
  <c r="C22" i="7"/>
  <c r="J23" i="4" s="1"/>
  <c r="C28" i="7"/>
  <c r="J29" i="4" s="1"/>
  <c r="C58" i="7"/>
  <c r="C50" i="7"/>
  <c r="J51" i="4" s="1"/>
  <c r="C30" i="7"/>
  <c r="J31" i="4" s="1"/>
  <c r="C69" i="7"/>
  <c r="C11" i="7"/>
  <c r="C13" i="7"/>
  <c r="C41" i="7"/>
  <c r="J42" i="4" s="1"/>
  <c r="C38" i="7"/>
  <c r="J39" i="4" s="1"/>
  <c r="C43" i="7"/>
  <c r="J44" i="4" s="1"/>
  <c r="J41" i="4"/>
  <c r="J53" i="4"/>
  <c r="J52" i="4"/>
  <c r="J49" i="4"/>
  <c r="J24" i="4"/>
  <c r="J9" i="4"/>
  <c r="U9" i="4" s="1"/>
  <c r="C15" i="5"/>
  <c r="C38" i="5"/>
  <c r="C62" i="5"/>
  <c r="C16" i="5"/>
  <c r="C50" i="5"/>
  <c r="C17" i="5"/>
  <c r="C34" i="5"/>
  <c r="C12" i="5"/>
  <c r="H13" i="4" s="1"/>
  <c r="C18" i="5"/>
  <c r="H19" i="4" s="1"/>
  <c r="C20" i="5"/>
  <c r="H21" i="4" s="1"/>
  <c r="C42" i="5"/>
  <c r="H43" i="4" s="1"/>
  <c r="C70" i="5"/>
  <c r="H71" i="4" s="1"/>
  <c r="C19" i="5"/>
  <c r="C46" i="5"/>
  <c r="C8" i="5"/>
  <c r="C26" i="5"/>
  <c r="C9" i="5"/>
  <c r="H10" i="4" s="1"/>
  <c r="C21" i="5"/>
  <c r="H22" i="4" s="1"/>
  <c r="C58" i="5"/>
  <c r="H59" i="4" s="1"/>
  <c r="C10" i="5"/>
  <c r="H11" i="4" s="1"/>
  <c r="C22" i="5"/>
  <c r="H23" i="4" s="1"/>
  <c r="C11" i="5"/>
  <c r="H12" i="4" s="1"/>
  <c r="C30" i="5"/>
  <c r="H31" i="4" s="1"/>
  <c r="C66" i="5"/>
  <c r="H67" i="4" s="1"/>
  <c r="C14" i="5"/>
  <c r="C54" i="5"/>
  <c r="C13" i="5"/>
  <c r="C60" i="5"/>
  <c r="C65" i="5"/>
  <c r="H66" i="4" s="1"/>
  <c r="C53" i="5"/>
  <c r="H54" i="4" s="1"/>
  <c r="C25" i="5"/>
  <c r="H26" i="4" s="1"/>
  <c r="C29" i="5"/>
  <c r="C56" i="5"/>
  <c r="H57" i="4" s="1"/>
  <c r="C59" i="5"/>
  <c r="H60" i="4" s="1"/>
  <c r="C63" i="5"/>
  <c r="H64" i="4" s="1"/>
  <c r="C35" i="5"/>
  <c r="H36" i="4" s="1"/>
  <c r="C67" i="5"/>
  <c r="C45" i="5"/>
  <c r="C40" i="5"/>
  <c r="C28" i="5"/>
  <c r="H29" i="4" s="1"/>
  <c r="C24" i="5"/>
  <c r="C48" i="5"/>
  <c r="H49" i="4" s="1"/>
  <c r="C41" i="5"/>
  <c r="H42" i="4" s="1"/>
  <c r="C68" i="5"/>
  <c r="H69" i="4" s="1"/>
  <c r="C69" i="5"/>
  <c r="H70" i="4" s="1"/>
  <c r="C47" i="5"/>
  <c r="H48" i="4" s="1"/>
  <c r="C57" i="5"/>
  <c r="H58" i="4" s="1"/>
  <c r="C51" i="5"/>
  <c r="H52" i="4" s="1"/>
  <c r="C64" i="5"/>
  <c r="C55" i="5"/>
  <c r="C49" i="5"/>
  <c r="C33" i="5"/>
  <c r="C27" i="5"/>
  <c r="C31" i="5"/>
  <c r="H32" i="4" s="1"/>
  <c r="C71" i="5"/>
  <c r="C32" i="5"/>
  <c r="H33" i="4" s="1"/>
  <c r="C23" i="5"/>
  <c r="H24" i="4" s="1"/>
  <c r="C61" i="5"/>
  <c r="H62" i="4" s="1"/>
  <c r="C52" i="5"/>
  <c r="H53" i="4" s="1"/>
  <c r="C39" i="5"/>
  <c r="H40" i="4" s="1"/>
  <c r="C43" i="5"/>
  <c r="C37" i="5"/>
  <c r="C44" i="5"/>
  <c r="C36" i="5"/>
  <c r="H37" i="4" s="1"/>
  <c r="H38" i="4"/>
  <c r="C7" i="5"/>
  <c r="H30" i="4"/>
  <c r="H18" i="4"/>
  <c r="H47" i="4"/>
  <c r="H39" i="4"/>
  <c r="H34" i="4"/>
  <c r="H63" i="4"/>
  <c r="H14" i="4"/>
  <c r="H15" i="4"/>
  <c r="H20" i="4"/>
  <c r="H35" i="4"/>
  <c r="H46" i="4"/>
  <c r="H56" i="4"/>
  <c r="H44" i="4"/>
  <c r="H16" i="4"/>
  <c r="H55" i="4"/>
  <c r="H28" i="4"/>
  <c r="H9" i="4"/>
  <c r="H61" i="4"/>
  <c r="H41" i="4"/>
  <c r="H25" i="4"/>
  <c r="H17" i="4"/>
  <c r="H65" i="4"/>
  <c r="H51" i="4"/>
  <c r="H45" i="4"/>
  <c r="H50" i="4"/>
  <c r="H27" i="4"/>
  <c r="H72" i="4"/>
  <c r="C37" i="4" l="1"/>
  <c r="AD37" i="4"/>
  <c r="B59" i="7"/>
  <c r="B26" i="7"/>
  <c r="B28" i="7"/>
  <c r="B9" i="7"/>
  <c r="B54" i="7"/>
  <c r="B61" i="7"/>
  <c r="B12" i="7"/>
  <c r="B63" i="7"/>
  <c r="B20" i="7"/>
  <c r="B22" i="7"/>
  <c r="B24" i="7"/>
  <c r="B46" i="7"/>
  <c r="B25" i="7"/>
  <c r="B16" i="7"/>
  <c r="B51" i="7"/>
  <c r="B70" i="7"/>
  <c r="B34" i="7"/>
  <c r="B32" i="7"/>
  <c r="B41" i="7"/>
  <c r="B48" i="7"/>
  <c r="B58" i="7"/>
  <c r="B21" i="7"/>
  <c r="B68" i="7"/>
  <c r="B13" i="7"/>
  <c r="B45" i="7"/>
  <c r="B71" i="7"/>
  <c r="B64" i="7"/>
  <c r="B42" i="7"/>
  <c r="B53" i="7"/>
  <c r="B31" i="7"/>
  <c r="B60" i="7"/>
  <c r="B35" i="7"/>
  <c r="B57" i="7"/>
  <c r="U72" i="4"/>
  <c r="B52" i="7"/>
  <c r="J14" i="4"/>
  <c r="U14" i="4" s="1"/>
  <c r="J19" i="4"/>
  <c r="U19" i="4" s="1"/>
  <c r="J21" i="4"/>
  <c r="J46" i="4"/>
  <c r="U46" i="4" s="1"/>
  <c r="J55" i="4"/>
  <c r="U55" i="4" s="1"/>
  <c r="J26" i="4"/>
  <c r="B69" i="7"/>
  <c r="B38" i="7"/>
  <c r="B14" i="7"/>
  <c r="B18" i="7"/>
  <c r="B50" i="7"/>
  <c r="J12" i="4"/>
  <c r="U12" i="4" s="1"/>
  <c r="U59" i="4"/>
  <c r="AD59" i="4" s="1"/>
  <c r="B66" i="7"/>
  <c r="B33" i="7"/>
  <c r="B67" i="7"/>
  <c r="B65" i="7"/>
  <c r="J8" i="4"/>
  <c r="U8" i="4" s="1"/>
  <c r="B29" i="7"/>
  <c r="B39" i="7"/>
  <c r="B44" i="7"/>
  <c r="B10" i="7"/>
  <c r="B7" i="7"/>
  <c r="B23" i="7"/>
  <c r="B19" i="7"/>
  <c r="B55" i="7"/>
  <c r="B56" i="7"/>
  <c r="B8" i="7"/>
  <c r="B11" i="7"/>
  <c r="B62" i="7"/>
  <c r="B36" i="7"/>
  <c r="B37" i="7"/>
  <c r="B27" i="7"/>
  <c r="B47" i="7"/>
  <c r="B15" i="7"/>
  <c r="B43" i="7"/>
  <c r="B17" i="7"/>
  <c r="B30" i="7"/>
  <c r="B40" i="7"/>
  <c r="B49" i="7"/>
  <c r="H68" i="4"/>
  <c r="S68" i="4" s="1"/>
  <c r="H8" i="4"/>
  <c r="S8" i="4" s="1"/>
  <c r="C58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69" i="8"/>
  <c r="C24" i="8"/>
  <c r="C42" i="8"/>
  <c r="C41" i="8"/>
  <c r="C68" i="8"/>
  <c r="C26" i="8"/>
  <c r="C38" i="8"/>
  <c r="C49" i="8"/>
  <c r="C50" i="8"/>
  <c r="C56" i="8"/>
  <c r="C60" i="8"/>
  <c r="C66" i="8"/>
  <c r="C67" i="8"/>
  <c r="C71" i="8"/>
  <c r="C25" i="8"/>
  <c r="C28" i="8"/>
  <c r="C29" i="8"/>
  <c r="C30" i="8"/>
  <c r="C32" i="8"/>
  <c r="C39" i="8"/>
  <c r="C43" i="8"/>
  <c r="C45" i="8"/>
  <c r="C46" i="8"/>
  <c r="C47" i="8"/>
  <c r="C53" i="8"/>
  <c r="C54" i="8"/>
  <c r="C55" i="8"/>
  <c r="C61" i="8"/>
  <c r="C63" i="8"/>
  <c r="C27" i="8"/>
  <c r="C31" i="8"/>
  <c r="C33" i="8"/>
  <c r="C34" i="8"/>
  <c r="C35" i="8"/>
  <c r="C37" i="8"/>
  <c r="C40" i="8"/>
  <c r="C44" i="8"/>
  <c r="C57" i="8"/>
  <c r="C62" i="8"/>
  <c r="C64" i="8"/>
  <c r="S72" i="4"/>
  <c r="T72" i="4"/>
  <c r="V72" i="4"/>
  <c r="W72" i="4"/>
  <c r="X72" i="4"/>
  <c r="Y72" i="4"/>
  <c r="Z72" i="4"/>
  <c r="AA72" i="4"/>
  <c r="AB72" i="4"/>
  <c r="S70" i="4"/>
  <c r="T70" i="4"/>
  <c r="U70" i="4"/>
  <c r="V70" i="4"/>
  <c r="W70" i="4"/>
  <c r="X70" i="4"/>
  <c r="Y70" i="4"/>
  <c r="Z70" i="4"/>
  <c r="AA70" i="4"/>
  <c r="AB70" i="4"/>
  <c r="S69" i="4"/>
  <c r="T69" i="4"/>
  <c r="U69" i="4"/>
  <c r="V69" i="4"/>
  <c r="W69" i="4"/>
  <c r="X69" i="4"/>
  <c r="Y69" i="4"/>
  <c r="Z69" i="4"/>
  <c r="AA69" i="4"/>
  <c r="AB69" i="4"/>
  <c r="T68" i="4"/>
  <c r="U68" i="4"/>
  <c r="V68" i="4"/>
  <c r="W68" i="4"/>
  <c r="X68" i="4"/>
  <c r="Y68" i="4"/>
  <c r="Z68" i="4"/>
  <c r="AA68" i="4"/>
  <c r="AB68" i="4"/>
  <c r="S67" i="4"/>
  <c r="T67" i="4"/>
  <c r="U67" i="4"/>
  <c r="V67" i="4"/>
  <c r="W67" i="4"/>
  <c r="X67" i="4"/>
  <c r="Y67" i="4"/>
  <c r="Z67" i="4"/>
  <c r="AA67" i="4"/>
  <c r="AB67" i="4"/>
  <c r="S65" i="4"/>
  <c r="T65" i="4"/>
  <c r="U65" i="4"/>
  <c r="V65" i="4"/>
  <c r="W65" i="4"/>
  <c r="X65" i="4"/>
  <c r="Y65" i="4"/>
  <c r="Z65" i="4"/>
  <c r="AA65" i="4"/>
  <c r="AB65" i="4"/>
  <c r="S64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S61" i="4"/>
  <c r="T61" i="4"/>
  <c r="U61" i="4"/>
  <c r="V61" i="4"/>
  <c r="W61" i="4"/>
  <c r="X61" i="4"/>
  <c r="Y61" i="4"/>
  <c r="Z61" i="4"/>
  <c r="AA61" i="4"/>
  <c r="AB61" i="4"/>
  <c r="S59" i="4"/>
  <c r="T59" i="4"/>
  <c r="V59" i="4"/>
  <c r="W59" i="4"/>
  <c r="X59" i="4"/>
  <c r="Y59" i="4"/>
  <c r="Z59" i="4"/>
  <c r="AA59" i="4"/>
  <c r="AB59" i="4"/>
  <c r="S58" i="4"/>
  <c r="T58" i="4"/>
  <c r="V58" i="4"/>
  <c r="W58" i="4"/>
  <c r="X58" i="4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50" i="4"/>
  <c r="X51" i="4"/>
  <c r="Y54" i="4"/>
  <c r="Z54" i="4"/>
  <c r="AA54" i="4"/>
  <c r="AA39" i="4"/>
  <c r="AA30" i="4"/>
  <c r="AA17" i="4"/>
  <c r="AA23" i="4"/>
  <c r="AA12" i="4"/>
  <c r="AA42" i="4"/>
  <c r="AA16" i="4"/>
  <c r="AA22" i="4"/>
  <c r="AA45" i="4"/>
  <c r="AA26" i="4"/>
  <c r="AA11" i="4"/>
  <c r="AA10" i="4"/>
  <c r="AA46" i="4"/>
  <c r="AA31" i="4"/>
  <c r="AA44" i="4"/>
  <c r="AA38" i="4"/>
  <c r="AA47" i="4"/>
  <c r="AA19" i="4"/>
  <c r="AA41" i="4"/>
  <c r="AA36" i="4"/>
  <c r="AA48" i="4"/>
  <c r="AA29" i="4"/>
  <c r="AA33" i="4"/>
  <c r="AA27" i="4"/>
  <c r="AA51" i="4"/>
  <c r="AA28" i="4"/>
  <c r="AA21" i="4"/>
  <c r="AA20" i="4"/>
  <c r="AA34" i="4"/>
  <c r="AA15" i="4"/>
  <c r="AA50" i="4"/>
  <c r="AA18" i="4"/>
  <c r="AA40" i="4"/>
  <c r="AA14" i="4"/>
  <c r="AA8" i="4"/>
  <c r="AA35" i="4"/>
  <c r="AA32" i="4"/>
  <c r="AA25" i="4"/>
  <c r="AA13" i="4"/>
  <c r="AA9" i="4"/>
  <c r="AA43" i="4"/>
  <c r="AB54" i="4"/>
  <c r="S51" i="4"/>
  <c r="T51" i="4"/>
  <c r="U51" i="4"/>
  <c r="V51" i="4"/>
  <c r="W51" i="4"/>
  <c r="Y51" i="4"/>
  <c r="Z51" i="4"/>
  <c r="AB51" i="4"/>
  <c r="S50" i="4"/>
  <c r="T50" i="4"/>
  <c r="U50" i="4"/>
  <c r="V50" i="4"/>
  <c r="W50" i="4"/>
  <c r="Y50" i="4"/>
  <c r="Z50" i="4"/>
  <c r="AB50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S43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S40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S36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S31" i="4"/>
  <c r="T31" i="4"/>
  <c r="U31" i="4"/>
  <c r="V31" i="4"/>
  <c r="W31" i="4"/>
  <c r="Y31" i="4"/>
  <c r="Z31" i="4"/>
  <c r="AB31" i="4"/>
  <c r="S30" i="4"/>
  <c r="T30" i="4"/>
  <c r="U30" i="4"/>
  <c r="U10" i="4"/>
  <c r="U11" i="4"/>
  <c r="S12" i="4"/>
  <c r="T12" i="4"/>
  <c r="V12" i="4"/>
  <c r="W12" i="4"/>
  <c r="Y12" i="4"/>
  <c r="Z12" i="4"/>
  <c r="AB12" i="4"/>
  <c r="U13" i="4"/>
  <c r="U15" i="4"/>
  <c r="U16" i="4"/>
  <c r="U17" i="4"/>
  <c r="U18" i="4"/>
  <c r="S18" i="4"/>
  <c r="T18" i="4"/>
  <c r="V18" i="4"/>
  <c r="W18" i="4"/>
  <c r="Y18" i="4"/>
  <c r="Z18" i="4"/>
  <c r="AB18" i="4"/>
  <c r="U20" i="4"/>
  <c r="U21" i="4"/>
  <c r="U22" i="4"/>
  <c r="U23" i="4"/>
  <c r="U25" i="4"/>
  <c r="U26" i="4"/>
  <c r="U27" i="4"/>
  <c r="U28" i="4"/>
  <c r="U29" i="4"/>
  <c r="V30" i="4"/>
  <c r="W30" i="4"/>
  <c r="Y30" i="4"/>
  <c r="Y17" i="4"/>
  <c r="Y23" i="4"/>
  <c r="Y16" i="4"/>
  <c r="Y22" i="4"/>
  <c r="Y26" i="4"/>
  <c r="Y11" i="4"/>
  <c r="Y10" i="4"/>
  <c r="Y19" i="4"/>
  <c r="Y29" i="4"/>
  <c r="Y27" i="4"/>
  <c r="Y28" i="4"/>
  <c r="Y21" i="4"/>
  <c r="Y20" i="4"/>
  <c r="Y15" i="4"/>
  <c r="Y14" i="4"/>
  <c r="Y8" i="4"/>
  <c r="Y25" i="4"/>
  <c r="Y13" i="4"/>
  <c r="Y9" i="4"/>
  <c r="Z30" i="4"/>
  <c r="AB30" i="4"/>
  <c r="S29" i="4"/>
  <c r="T29" i="4"/>
  <c r="V29" i="4"/>
  <c r="W29" i="4"/>
  <c r="Z29" i="4"/>
  <c r="AB29" i="4"/>
  <c r="S28" i="4"/>
  <c r="T28" i="4"/>
  <c r="V28" i="4"/>
  <c r="W28" i="4"/>
  <c r="Z28" i="4"/>
  <c r="AB28" i="4"/>
  <c r="S27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W7" i="8"/>
  <c r="X7" i="8"/>
  <c r="Y7" i="8"/>
  <c r="Z7" i="8"/>
  <c r="AA7" i="8"/>
  <c r="AC7" i="8"/>
  <c r="AD7" i="8"/>
  <c r="AE7" i="8"/>
  <c r="AF7" i="8"/>
  <c r="AG7" i="8"/>
  <c r="AR7" i="8"/>
  <c r="AS7" i="8"/>
  <c r="AT7" i="8"/>
  <c r="AV7" i="8"/>
  <c r="AW7" i="8"/>
  <c r="AX7" i="8"/>
  <c r="AG71" i="8"/>
  <c r="AF71" i="8"/>
  <c r="AE71" i="8"/>
  <c r="AD71" i="8"/>
  <c r="AC71" i="8"/>
  <c r="AA71" i="8"/>
  <c r="Z71" i="8"/>
  <c r="Y71" i="8"/>
  <c r="X71" i="8"/>
  <c r="W71" i="8"/>
  <c r="AG69" i="8"/>
  <c r="AF69" i="8"/>
  <c r="AE69" i="8"/>
  <c r="AD69" i="8"/>
  <c r="AC69" i="8"/>
  <c r="AA69" i="8"/>
  <c r="Z69" i="8"/>
  <c r="Y69" i="8"/>
  <c r="X69" i="8"/>
  <c r="W69" i="8"/>
  <c r="AG68" i="8"/>
  <c r="AF68" i="8"/>
  <c r="AE68" i="8"/>
  <c r="AD68" i="8"/>
  <c r="AC68" i="8"/>
  <c r="AA68" i="8"/>
  <c r="Z68" i="8"/>
  <c r="Y68" i="8"/>
  <c r="X68" i="8"/>
  <c r="W68" i="8"/>
  <c r="AG67" i="8"/>
  <c r="AF67" i="8"/>
  <c r="AE67" i="8"/>
  <c r="AD67" i="8"/>
  <c r="AC67" i="8"/>
  <c r="AA67" i="8"/>
  <c r="Z67" i="8"/>
  <c r="Y67" i="8"/>
  <c r="X67" i="8"/>
  <c r="W67" i="8"/>
  <c r="AG66" i="8"/>
  <c r="AF66" i="8"/>
  <c r="AE66" i="8"/>
  <c r="AD66" i="8"/>
  <c r="AC66" i="8"/>
  <c r="AA66" i="8"/>
  <c r="Z66" i="8"/>
  <c r="Y66" i="8"/>
  <c r="X66" i="8"/>
  <c r="W66" i="8"/>
  <c r="AG64" i="8"/>
  <c r="AF64" i="8"/>
  <c r="AE64" i="8"/>
  <c r="AD64" i="8"/>
  <c r="AC64" i="8"/>
  <c r="AA64" i="8"/>
  <c r="Z64" i="8"/>
  <c r="Y64" i="8"/>
  <c r="X64" i="8"/>
  <c r="W64" i="8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61" i="8"/>
  <c r="AF61" i="8"/>
  <c r="AE61" i="8"/>
  <c r="AD61" i="8"/>
  <c r="AC61" i="8"/>
  <c r="AA61" i="8"/>
  <c r="Z61" i="8"/>
  <c r="Y61" i="8"/>
  <c r="X61" i="8"/>
  <c r="W61" i="8"/>
  <c r="AG60" i="8"/>
  <c r="AF60" i="8"/>
  <c r="AE60" i="8"/>
  <c r="AD60" i="8"/>
  <c r="AC60" i="8"/>
  <c r="AA60" i="8"/>
  <c r="Z60" i="8"/>
  <c r="Y60" i="8"/>
  <c r="X60" i="8"/>
  <c r="W60" i="8"/>
  <c r="AG58" i="8"/>
  <c r="AF58" i="8"/>
  <c r="AE58" i="8"/>
  <c r="AD58" i="8"/>
  <c r="AC58" i="8"/>
  <c r="AA58" i="8"/>
  <c r="Z58" i="8"/>
  <c r="Y58" i="8"/>
  <c r="X58" i="8"/>
  <c r="W58" i="8"/>
  <c r="AG57" i="8"/>
  <c r="AF57" i="8"/>
  <c r="AE57" i="8"/>
  <c r="AD57" i="8"/>
  <c r="AC57" i="8"/>
  <c r="AA57" i="8"/>
  <c r="Z57" i="8"/>
  <c r="Y57" i="8"/>
  <c r="X57" i="8"/>
  <c r="W57" i="8"/>
  <c r="AG56" i="8"/>
  <c r="AF56" i="8"/>
  <c r="AE56" i="8"/>
  <c r="AD56" i="8"/>
  <c r="AC56" i="8"/>
  <c r="AA56" i="8"/>
  <c r="Z56" i="8"/>
  <c r="Y56" i="8"/>
  <c r="X56" i="8"/>
  <c r="W56" i="8"/>
  <c r="AG55" i="8"/>
  <c r="AF55" i="8"/>
  <c r="AE55" i="8"/>
  <c r="AD55" i="8"/>
  <c r="AC55" i="8"/>
  <c r="AA55" i="8"/>
  <c r="Z55" i="8"/>
  <c r="Y55" i="8"/>
  <c r="X55" i="8"/>
  <c r="W55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0" i="8"/>
  <c r="AF50" i="8"/>
  <c r="AE50" i="8"/>
  <c r="AD50" i="8"/>
  <c r="AC50" i="8"/>
  <c r="AA50" i="8"/>
  <c r="Z50" i="8"/>
  <c r="Y50" i="8"/>
  <c r="X50" i="8"/>
  <c r="W50" i="8"/>
  <c r="AG49" i="8"/>
  <c r="AF49" i="8"/>
  <c r="AE49" i="8"/>
  <c r="AD49" i="8"/>
  <c r="AC49" i="8"/>
  <c r="AA49" i="8"/>
  <c r="Z49" i="8"/>
  <c r="Y49" i="8"/>
  <c r="X49" i="8"/>
  <c r="W49" i="8"/>
  <c r="AG47" i="8"/>
  <c r="AF47" i="8"/>
  <c r="AE47" i="8"/>
  <c r="AD47" i="8"/>
  <c r="AC47" i="8"/>
  <c r="AA47" i="8"/>
  <c r="Z47" i="8"/>
  <c r="Y47" i="8"/>
  <c r="X47" i="8"/>
  <c r="W47" i="8"/>
  <c r="AG46" i="8"/>
  <c r="AF46" i="8"/>
  <c r="AE46" i="8"/>
  <c r="AD46" i="8"/>
  <c r="AC46" i="8"/>
  <c r="AA46" i="8"/>
  <c r="Z46" i="8"/>
  <c r="Y46" i="8"/>
  <c r="X46" i="8"/>
  <c r="W46" i="8"/>
  <c r="AG45" i="8"/>
  <c r="AF45" i="8"/>
  <c r="AE45" i="8"/>
  <c r="AD45" i="8"/>
  <c r="AC45" i="8"/>
  <c r="AA45" i="8"/>
  <c r="Z45" i="8"/>
  <c r="Y45" i="8"/>
  <c r="X45" i="8"/>
  <c r="W45" i="8"/>
  <c r="AG44" i="8"/>
  <c r="AF44" i="8"/>
  <c r="AE44" i="8"/>
  <c r="AD44" i="8"/>
  <c r="AC44" i="8"/>
  <c r="AA44" i="8"/>
  <c r="Z44" i="8"/>
  <c r="Y44" i="8"/>
  <c r="X44" i="8"/>
  <c r="W44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41" i="8"/>
  <c r="AF41" i="8"/>
  <c r="AE41" i="8"/>
  <c r="AD41" i="8"/>
  <c r="AC41" i="8"/>
  <c r="AA41" i="8"/>
  <c r="Z41" i="8"/>
  <c r="Y41" i="8"/>
  <c r="X41" i="8"/>
  <c r="W41" i="8"/>
  <c r="AG40" i="8"/>
  <c r="AF40" i="8"/>
  <c r="AE40" i="8"/>
  <c r="AD40" i="8"/>
  <c r="AC40" i="8"/>
  <c r="AA40" i="8"/>
  <c r="Z40" i="8"/>
  <c r="Y40" i="8"/>
  <c r="X40" i="8"/>
  <c r="W40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G35" i="8"/>
  <c r="AF35" i="8"/>
  <c r="AE35" i="8"/>
  <c r="AD35" i="8"/>
  <c r="AC35" i="8"/>
  <c r="AA35" i="8"/>
  <c r="Z35" i="8"/>
  <c r="Y35" i="8"/>
  <c r="X35" i="8"/>
  <c r="W35" i="8"/>
  <c r="AG34" i="8"/>
  <c r="AF34" i="8"/>
  <c r="AE34" i="8"/>
  <c r="AD34" i="8"/>
  <c r="AC34" i="8"/>
  <c r="AA34" i="8"/>
  <c r="Z34" i="8"/>
  <c r="Y34" i="8"/>
  <c r="X34" i="8"/>
  <c r="W34" i="8"/>
  <c r="AG33" i="8"/>
  <c r="AF33" i="8"/>
  <c r="AE33" i="8"/>
  <c r="AD33" i="8"/>
  <c r="AC33" i="8"/>
  <c r="AA33" i="8"/>
  <c r="Z33" i="8"/>
  <c r="Y33" i="8"/>
  <c r="X33" i="8"/>
  <c r="W33" i="8"/>
  <c r="AG32" i="8"/>
  <c r="AF32" i="8"/>
  <c r="AE32" i="8"/>
  <c r="AD32" i="8"/>
  <c r="AC32" i="8"/>
  <c r="AA32" i="8"/>
  <c r="Z32" i="8"/>
  <c r="Y32" i="8"/>
  <c r="X32" i="8"/>
  <c r="W32" i="8"/>
  <c r="AG31" i="8"/>
  <c r="AF31" i="8"/>
  <c r="AE31" i="8"/>
  <c r="AD31" i="8"/>
  <c r="AC31" i="8"/>
  <c r="AA31" i="8"/>
  <c r="Z31" i="8"/>
  <c r="Y31" i="8"/>
  <c r="X31" i="8"/>
  <c r="W31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27" i="8"/>
  <c r="AF27" i="8"/>
  <c r="AE27" i="8"/>
  <c r="AD27" i="8"/>
  <c r="AC27" i="8"/>
  <c r="AA27" i="8"/>
  <c r="Z27" i="8"/>
  <c r="Y27" i="8"/>
  <c r="X27" i="8"/>
  <c r="W27" i="8"/>
  <c r="AG26" i="8"/>
  <c r="AF26" i="8"/>
  <c r="AE26" i="8"/>
  <c r="AD26" i="8"/>
  <c r="AC26" i="8"/>
  <c r="AA26" i="8"/>
  <c r="Z26" i="8"/>
  <c r="Y26" i="8"/>
  <c r="X26" i="8"/>
  <c r="W26" i="8"/>
  <c r="AG25" i="8"/>
  <c r="AF25" i="8"/>
  <c r="AE25" i="8"/>
  <c r="AD25" i="8"/>
  <c r="AC25" i="8"/>
  <c r="AA25" i="8"/>
  <c r="Z25" i="8"/>
  <c r="Y25" i="8"/>
  <c r="X25" i="8"/>
  <c r="W25" i="8"/>
  <c r="AG24" i="8"/>
  <c r="AF24" i="8"/>
  <c r="AE24" i="8"/>
  <c r="AD24" i="8"/>
  <c r="AC24" i="8"/>
  <c r="AA24" i="8"/>
  <c r="Z24" i="8"/>
  <c r="Y24" i="8"/>
  <c r="X24" i="8"/>
  <c r="W24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20" i="8"/>
  <c r="AF20" i="8"/>
  <c r="AE20" i="8"/>
  <c r="AD20" i="8"/>
  <c r="AC20" i="8"/>
  <c r="AA20" i="8"/>
  <c r="Z20" i="8"/>
  <c r="Y20" i="8"/>
  <c r="X20" i="8"/>
  <c r="W20" i="8"/>
  <c r="AG19" i="8"/>
  <c r="AF19" i="8"/>
  <c r="AE19" i="8"/>
  <c r="AD19" i="8"/>
  <c r="AC19" i="8"/>
  <c r="AA19" i="8"/>
  <c r="Z19" i="8"/>
  <c r="Y19" i="8"/>
  <c r="X19" i="8"/>
  <c r="W19" i="8"/>
  <c r="AG18" i="8"/>
  <c r="AF18" i="8"/>
  <c r="AE18" i="8"/>
  <c r="AD18" i="8"/>
  <c r="AC18" i="8"/>
  <c r="AA18" i="8"/>
  <c r="Z18" i="8"/>
  <c r="Y18" i="8"/>
  <c r="X18" i="8"/>
  <c r="W18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15" i="8"/>
  <c r="AF15" i="8"/>
  <c r="AE15" i="8"/>
  <c r="AD15" i="8"/>
  <c r="AC15" i="8"/>
  <c r="AA15" i="8"/>
  <c r="Z15" i="8"/>
  <c r="Y15" i="8"/>
  <c r="X15" i="8"/>
  <c r="W15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A13" i="8"/>
  <c r="Z13" i="8"/>
  <c r="Y13" i="8"/>
  <c r="X13" i="8"/>
  <c r="AG12" i="8"/>
  <c r="AF12" i="8"/>
  <c r="AE12" i="8"/>
  <c r="AD12" i="8"/>
  <c r="AC12" i="8"/>
  <c r="AA12" i="8"/>
  <c r="Z12" i="8"/>
  <c r="Y12" i="8"/>
  <c r="X12" i="8"/>
  <c r="W12" i="8"/>
  <c r="AG11" i="8"/>
  <c r="AF11" i="8"/>
  <c r="AE11" i="8"/>
  <c r="AD11" i="8"/>
  <c r="AC11" i="8"/>
  <c r="AA11" i="8"/>
  <c r="Z11" i="8"/>
  <c r="Y11" i="8"/>
  <c r="X11" i="8"/>
  <c r="W11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8" i="8"/>
  <c r="AF8" i="8"/>
  <c r="AE8" i="8"/>
  <c r="AD8" i="8"/>
  <c r="AC8" i="8"/>
  <c r="AA8" i="8"/>
  <c r="Z8" i="8"/>
  <c r="Y8" i="8"/>
  <c r="X8" i="8"/>
  <c r="W8" i="8"/>
  <c r="AT71" i="8"/>
  <c r="AX71" i="8"/>
  <c r="AS71" i="8"/>
  <c r="AW71" i="8"/>
  <c r="AR71" i="8"/>
  <c r="AV71" i="8"/>
  <c r="AT69" i="8"/>
  <c r="AX69" i="8"/>
  <c r="AS69" i="8"/>
  <c r="AW69" i="8"/>
  <c r="AR69" i="8"/>
  <c r="AV69" i="8"/>
  <c r="AT68" i="8"/>
  <c r="AX68" i="8"/>
  <c r="AS68" i="8"/>
  <c r="AW68" i="8"/>
  <c r="AR68" i="8"/>
  <c r="AV68" i="8"/>
  <c r="AT67" i="8"/>
  <c r="AX67" i="8"/>
  <c r="AS67" i="8"/>
  <c r="AW67" i="8"/>
  <c r="AR67" i="8"/>
  <c r="AV67" i="8"/>
  <c r="AT66" i="8"/>
  <c r="AX66" i="8"/>
  <c r="AS66" i="8"/>
  <c r="AW66" i="8"/>
  <c r="AR66" i="8"/>
  <c r="AV66" i="8"/>
  <c r="AT64" i="8"/>
  <c r="AX64" i="8"/>
  <c r="AS64" i="8"/>
  <c r="AW64" i="8"/>
  <c r="AR64" i="8"/>
  <c r="AV64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61" i="8"/>
  <c r="AX61" i="8"/>
  <c r="AS61" i="8"/>
  <c r="AW61" i="8"/>
  <c r="AR61" i="8"/>
  <c r="AV61" i="8"/>
  <c r="AT60" i="8"/>
  <c r="AX60" i="8"/>
  <c r="AS60" i="8"/>
  <c r="AW60" i="8"/>
  <c r="AR60" i="8"/>
  <c r="AV60" i="8"/>
  <c r="AT58" i="8"/>
  <c r="AX58" i="8"/>
  <c r="AS58" i="8"/>
  <c r="AW58" i="8"/>
  <c r="AR58" i="8"/>
  <c r="AV58" i="8"/>
  <c r="AT57" i="8"/>
  <c r="AX57" i="8"/>
  <c r="AS57" i="8"/>
  <c r="AW57" i="8"/>
  <c r="AR57" i="8"/>
  <c r="AV57" i="8"/>
  <c r="AT56" i="8"/>
  <c r="AX56" i="8"/>
  <c r="AS56" i="8"/>
  <c r="AW56" i="8"/>
  <c r="AR56" i="8"/>
  <c r="AV56" i="8"/>
  <c r="AT55" i="8"/>
  <c r="AX55" i="8"/>
  <c r="AS55" i="8"/>
  <c r="AW55" i="8"/>
  <c r="AR55" i="8"/>
  <c r="AV55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0" i="8"/>
  <c r="AX50" i="8"/>
  <c r="AS50" i="8"/>
  <c r="AW50" i="8"/>
  <c r="AR50" i="8"/>
  <c r="AV50" i="8"/>
  <c r="AT49" i="8"/>
  <c r="AX49" i="8"/>
  <c r="AS49" i="8"/>
  <c r="AW49" i="8"/>
  <c r="AR49" i="8"/>
  <c r="AV49" i="8"/>
  <c r="AT47" i="8"/>
  <c r="AX47" i="8"/>
  <c r="AS47" i="8"/>
  <c r="AW47" i="8"/>
  <c r="AR47" i="8"/>
  <c r="AV47" i="8"/>
  <c r="AT46" i="8"/>
  <c r="AX46" i="8"/>
  <c r="AS46" i="8"/>
  <c r="AW46" i="8"/>
  <c r="AR46" i="8"/>
  <c r="AV46" i="8"/>
  <c r="AT45" i="8"/>
  <c r="AX45" i="8"/>
  <c r="AS45" i="8"/>
  <c r="AW45" i="8"/>
  <c r="AR45" i="8"/>
  <c r="AV45" i="8"/>
  <c r="AT44" i="8"/>
  <c r="AX44" i="8"/>
  <c r="AS44" i="8"/>
  <c r="AW44" i="8"/>
  <c r="AR44" i="8"/>
  <c r="AV44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41" i="8"/>
  <c r="AX41" i="8"/>
  <c r="AS41" i="8"/>
  <c r="AW41" i="8"/>
  <c r="AR41" i="8"/>
  <c r="AV41" i="8"/>
  <c r="AT40" i="8"/>
  <c r="AX40" i="8"/>
  <c r="AS40" i="8"/>
  <c r="AW40" i="8"/>
  <c r="AR40" i="8"/>
  <c r="AV40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AT35" i="8"/>
  <c r="AX35" i="8"/>
  <c r="AS35" i="8"/>
  <c r="AW35" i="8"/>
  <c r="AR35" i="8"/>
  <c r="AV35" i="8"/>
  <c r="AT34" i="8"/>
  <c r="AX34" i="8"/>
  <c r="AS34" i="8"/>
  <c r="AW34" i="8"/>
  <c r="AR34" i="8"/>
  <c r="AV34" i="8"/>
  <c r="AT33" i="8"/>
  <c r="AX33" i="8"/>
  <c r="AS33" i="8"/>
  <c r="AW33" i="8"/>
  <c r="AR33" i="8"/>
  <c r="AV33" i="8"/>
  <c r="AT32" i="8"/>
  <c r="AX32" i="8"/>
  <c r="AS32" i="8"/>
  <c r="AW32" i="8"/>
  <c r="AR32" i="8"/>
  <c r="AV32" i="8"/>
  <c r="AT31" i="8"/>
  <c r="AX31" i="8"/>
  <c r="AS31" i="8"/>
  <c r="AW31" i="8"/>
  <c r="AR31" i="8"/>
  <c r="AV31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27" i="8"/>
  <c r="AX27" i="8"/>
  <c r="AS27" i="8"/>
  <c r="AW27" i="8"/>
  <c r="AR27" i="8"/>
  <c r="AV27" i="8"/>
  <c r="AT26" i="8"/>
  <c r="AX26" i="8"/>
  <c r="AS26" i="8"/>
  <c r="AW26" i="8"/>
  <c r="AR26" i="8"/>
  <c r="AV26" i="8"/>
  <c r="AT25" i="8"/>
  <c r="AX25" i="8"/>
  <c r="AS25" i="8"/>
  <c r="AW25" i="8"/>
  <c r="AR25" i="8"/>
  <c r="AV25" i="8"/>
  <c r="AT24" i="8"/>
  <c r="AX24" i="8"/>
  <c r="AS24" i="8"/>
  <c r="AW24" i="8"/>
  <c r="AR24" i="8"/>
  <c r="AV24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20" i="8"/>
  <c r="AX20" i="8"/>
  <c r="AS20" i="8"/>
  <c r="AW20" i="8"/>
  <c r="AR20" i="8"/>
  <c r="AV20" i="8"/>
  <c r="AT19" i="8"/>
  <c r="AX19" i="8"/>
  <c r="AS19" i="8"/>
  <c r="AW19" i="8"/>
  <c r="AR19" i="8"/>
  <c r="AV19" i="8"/>
  <c r="AT18" i="8"/>
  <c r="AX18" i="8"/>
  <c r="AS18" i="8"/>
  <c r="AW18" i="8"/>
  <c r="AR18" i="8"/>
  <c r="AV18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15" i="8"/>
  <c r="AX15" i="8"/>
  <c r="AS15" i="8"/>
  <c r="AW15" i="8"/>
  <c r="AR15" i="8"/>
  <c r="AV15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11" i="8"/>
  <c r="AX11" i="8"/>
  <c r="AS11" i="8"/>
  <c r="AW11" i="8"/>
  <c r="AR11" i="8"/>
  <c r="AV11" i="8"/>
  <c r="AT10" i="8"/>
  <c r="AX10" i="8"/>
  <c r="AS10" i="8"/>
  <c r="AW10" i="8"/>
  <c r="AR10" i="8"/>
  <c r="AV10" i="8"/>
  <c r="AT9" i="8"/>
  <c r="AX9" i="8"/>
  <c r="AS9" i="8"/>
  <c r="AW9" i="8"/>
  <c r="AR9" i="8"/>
  <c r="AV9" i="8"/>
  <c r="AT8" i="8"/>
  <c r="AX8" i="8"/>
  <c r="AS8" i="8"/>
  <c r="AW8" i="8"/>
  <c r="AR8" i="8"/>
  <c r="AV8" i="8"/>
  <c r="R7" i="4"/>
  <c r="AC49" i="4" l="1"/>
  <c r="AC52" i="4"/>
  <c r="AC60" i="4"/>
  <c r="AC53" i="4"/>
  <c r="AC66" i="4"/>
  <c r="AC24" i="4"/>
  <c r="AC37" i="4"/>
  <c r="AC71" i="4"/>
  <c r="B71" i="4"/>
  <c r="B24" i="4"/>
  <c r="B37" i="4"/>
  <c r="B49" i="4"/>
  <c r="B66" i="4"/>
  <c r="B60" i="4"/>
  <c r="B52" i="4"/>
  <c r="B53" i="4"/>
  <c r="B52" i="8"/>
  <c r="B48" i="8"/>
  <c r="B36" i="8"/>
  <c r="B51" i="8"/>
  <c r="B23" i="8"/>
  <c r="B70" i="8"/>
  <c r="B65" i="8"/>
  <c r="B59" i="8"/>
  <c r="AD8" i="4"/>
  <c r="AD9" i="4"/>
  <c r="AD18" i="4"/>
  <c r="C28" i="4"/>
  <c r="C45" i="4"/>
  <c r="C46" i="4"/>
  <c r="C38" i="4"/>
  <c r="C47" i="4"/>
  <c r="AD70" i="4"/>
  <c r="AD68" i="4"/>
  <c r="C33" i="4"/>
  <c r="H9" i="13"/>
  <c r="AD14" i="4"/>
  <c r="C62" i="4"/>
  <c r="AD72" i="4"/>
  <c r="AD19" i="4"/>
  <c r="C14" i="4"/>
  <c r="C69" i="4"/>
  <c r="C22" i="4"/>
  <c r="AD30" i="4"/>
  <c r="AD29" i="4"/>
  <c r="C23" i="4"/>
  <c r="AD11" i="4"/>
  <c r="AD47" i="4"/>
  <c r="AD48" i="4"/>
  <c r="AD23" i="4"/>
  <c r="C29" i="4"/>
  <c r="B10" i="8"/>
  <c r="B54" i="8"/>
  <c r="B34" i="8"/>
  <c r="B64" i="8"/>
  <c r="B63" i="8"/>
  <c r="AD33" i="4"/>
  <c r="AD36" i="4"/>
  <c r="AD38" i="4"/>
  <c r="C39" i="4"/>
  <c r="C40" i="4"/>
  <c r="C41" i="4"/>
  <c r="AD42" i="4"/>
  <c r="C43" i="4"/>
  <c r="C44" i="4"/>
  <c r="C61" i="4"/>
  <c r="AD62" i="4"/>
  <c r="C63" i="4"/>
  <c r="C64" i="4"/>
  <c r="AD65" i="4"/>
  <c r="AD67" i="4"/>
  <c r="AD32" i="4"/>
  <c r="AD50" i="4"/>
  <c r="C58" i="4"/>
  <c r="B8" i="4" s="1"/>
  <c r="AD31" i="4"/>
  <c r="C35" i="4"/>
  <c r="AD56" i="4"/>
  <c r="AD10" i="4"/>
  <c r="C10" i="4"/>
  <c r="C12" i="4"/>
  <c r="AD54" i="4"/>
  <c r="C55" i="4"/>
  <c r="AD28" i="4"/>
  <c r="C19" i="4"/>
  <c r="C21" i="4"/>
  <c r="AD20" i="4"/>
  <c r="C18" i="4"/>
  <c r="C50" i="4"/>
  <c r="C51" i="4"/>
  <c r="C34" i="4"/>
  <c r="AD57" i="4"/>
  <c r="AD13" i="4"/>
  <c r="C15" i="4"/>
  <c r="C16" i="4"/>
  <c r="C17" i="4"/>
  <c r="AD22" i="4"/>
  <c r="AD26" i="4"/>
  <c r="C27" i="4"/>
  <c r="C48" i="4"/>
  <c r="C30" i="4"/>
  <c r="AD25" i="4"/>
  <c r="AD41" i="4"/>
  <c r="AD34" i="4"/>
  <c r="AD40" i="4"/>
  <c r="AD63" i="4"/>
  <c r="C11" i="4"/>
  <c r="C65" i="4"/>
  <c r="AD21" i="4"/>
  <c r="AD27" i="4"/>
  <c r="AD12" i="4"/>
  <c r="C13" i="4"/>
  <c r="AD16" i="4"/>
  <c r="C31" i="4"/>
  <c r="C25" i="4"/>
  <c r="AD39" i="4"/>
  <c r="C36" i="4"/>
  <c r="C57" i="4"/>
  <c r="C32" i="4"/>
  <c r="AD15" i="4"/>
  <c r="C20" i="4"/>
  <c r="C9" i="4"/>
  <c r="C67" i="4"/>
  <c r="C54" i="4"/>
  <c r="AD64" i="4"/>
  <c r="C56" i="4"/>
  <c r="AD17" i="4"/>
  <c r="AD45" i="4"/>
  <c r="C70" i="4"/>
  <c r="AD43" i="4"/>
  <c r="AD61" i="4"/>
  <c r="AC8" i="4" s="1"/>
  <c r="AD51" i="4"/>
  <c r="C59" i="4"/>
  <c r="C68" i="4"/>
  <c r="AD46" i="4"/>
  <c r="AD69" i="4"/>
  <c r="C72" i="4"/>
  <c r="C26" i="4"/>
  <c r="AD44" i="4"/>
  <c r="C42" i="4"/>
  <c r="AD35" i="4"/>
  <c r="AD55" i="4"/>
  <c r="B29" i="8"/>
  <c r="B26" i="8"/>
  <c r="B17" i="8"/>
  <c r="B58" i="8"/>
  <c r="B69" i="8"/>
  <c r="B53" i="8"/>
  <c r="B15" i="8"/>
  <c r="B43" i="8"/>
  <c r="B50" i="8"/>
  <c r="B18" i="8"/>
  <c r="B27" i="8"/>
  <c r="B35" i="8"/>
  <c r="B44" i="8"/>
  <c r="B55" i="8"/>
  <c r="B66" i="8"/>
  <c r="B11" i="8"/>
  <c r="B19" i="8"/>
  <c r="B28" i="8"/>
  <c r="B37" i="8"/>
  <c r="B45" i="8"/>
  <c r="B56" i="8"/>
  <c r="B67" i="8"/>
  <c r="B12" i="8"/>
  <c r="B20" i="8"/>
  <c r="B38" i="8"/>
  <c r="B46" i="8"/>
  <c r="B57" i="8"/>
  <c r="B68" i="8"/>
  <c r="B13" i="8"/>
  <c r="B21" i="8"/>
  <c r="B30" i="8"/>
  <c r="B39" i="8"/>
  <c r="B47" i="8"/>
  <c r="B60" i="8"/>
  <c r="B7" i="8"/>
  <c r="B14" i="8"/>
  <c r="B22" i="8"/>
  <c r="B31" i="8"/>
  <c r="B40" i="8"/>
  <c r="B49" i="8"/>
  <c r="B61" i="8"/>
  <c r="B71" i="8"/>
  <c r="B8" i="8"/>
  <c r="B24" i="8"/>
  <c r="B32" i="8"/>
  <c r="B41" i="8"/>
  <c r="B62" i="8"/>
  <c r="B9" i="8"/>
  <c r="B16" i="8"/>
  <c r="B25" i="8"/>
  <c r="B33" i="8"/>
  <c r="B42" i="8"/>
  <c r="AC59" i="4" l="1"/>
  <c r="AC61" i="4"/>
  <c r="AC55" i="4"/>
  <c r="AC62" i="4"/>
  <c r="B62" i="4"/>
  <c r="B54" i="4"/>
  <c r="B72" i="4"/>
  <c r="B15" i="4"/>
  <c r="AC43" i="4"/>
  <c r="B25" i="4"/>
  <c r="AC27" i="4"/>
  <c r="AC42" i="4"/>
  <c r="B45" i="4"/>
  <c r="AC47" i="4"/>
  <c r="AC13" i="4"/>
  <c r="B38" i="4"/>
  <c r="B35" i="4"/>
  <c r="B47" i="4"/>
  <c r="AC69" i="4"/>
  <c r="B9" i="4"/>
  <c r="B31" i="4"/>
  <c r="AC21" i="4"/>
  <c r="AC41" i="4"/>
  <c r="B41" i="4"/>
  <c r="B28" i="4"/>
  <c r="B51" i="4"/>
  <c r="B18" i="4"/>
  <c r="AC67" i="4"/>
  <c r="AC18" i="4"/>
  <c r="B34" i="4"/>
  <c r="AC39" i="4"/>
  <c r="B67" i="4"/>
  <c r="B20" i="4"/>
  <c r="B65" i="4"/>
  <c r="AC25" i="4"/>
  <c r="B40" i="4"/>
  <c r="B46" i="4"/>
  <c r="B50" i="4"/>
  <c r="B27" i="4"/>
  <c r="B58" i="4"/>
  <c r="AC65" i="4"/>
  <c r="AC32" i="4"/>
  <c r="AC50" i="4"/>
  <c r="AC46" i="4"/>
  <c r="B10" i="4"/>
  <c r="B23" i="4"/>
  <c r="B29" i="4"/>
  <c r="B68" i="4"/>
  <c r="AC45" i="4"/>
  <c r="AC15" i="4"/>
  <c r="AC16" i="4"/>
  <c r="B11" i="4"/>
  <c r="B30" i="4"/>
  <c r="B39" i="4"/>
  <c r="AC11" i="4"/>
  <c r="B19" i="4"/>
  <c r="AC26" i="4"/>
  <c r="AC57" i="4"/>
  <c r="B64" i="4"/>
  <c r="AC72" i="4"/>
  <c r="AC31" i="4"/>
  <c r="B43" i="4"/>
  <c r="B70" i="4"/>
  <c r="B42" i="4"/>
  <c r="B59" i="4"/>
  <c r="AC17" i="4"/>
  <c r="B32" i="4"/>
  <c r="B13" i="4"/>
  <c r="AC63" i="4"/>
  <c r="AC38" i="4"/>
  <c r="AC33" i="4"/>
  <c r="AC9" i="4"/>
  <c r="AC22" i="4"/>
  <c r="AC56" i="4"/>
  <c r="B63" i="4"/>
  <c r="AC70" i="4"/>
  <c r="AC30" i="4"/>
  <c r="AC19" i="4"/>
  <c r="AC58" i="4"/>
  <c r="B56" i="4"/>
  <c r="B57" i="4"/>
  <c r="AC12" i="4"/>
  <c r="AC36" i="4"/>
  <c r="B48" i="4"/>
  <c r="B55" i="4"/>
  <c r="B17" i="4"/>
  <c r="B21" i="4"/>
  <c r="B69" i="4"/>
  <c r="B12" i="4"/>
  <c r="AC34" i="4"/>
  <c r="AC20" i="4"/>
  <c r="AC35" i="4"/>
  <c r="AC48" i="4"/>
  <c r="AC14" i="4"/>
  <c r="AC10" i="4"/>
  <c r="AC29" i="4"/>
  <c r="AC28" i="4"/>
  <c r="AC23" i="4"/>
  <c r="AC44" i="4"/>
  <c r="B26" i="4"/>
  <c r="AC51" i="4"/>
  <c r="AC64" i="4"/>
  <c r="B36" i="4"/>
  <c r="AC40" i="4"/>
  <c r="B44" i="4"/>
  <c r="B22" i="4"/>
  <c r="B14" i="4"/>
  <c r="AC54" i="4"/>
  <c r="B16" i="4"/>
  <c r="B61" i="4"/>
  <c r="AC68" i="4"/>
  <c r="B33" i="4"/>
</calcChain>
</file>

<file path=xl/sharedStrings.xml><?xml version="1.0" encoding="utf-8"?>
<sst xmlns="http://schemas.openxmlformats.org/spreadsheetml/2006/main" count="1634" uniqueCount="475">
  <si>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</si>
  <si>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</si>
  <si>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</si>
  <si>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</si>
  <si>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</si>
  <si>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</si>
  <si>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</si>
  <si>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</si>
  <si>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</si>
  <si>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</si>
  <si>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</si>
  <si>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</si>
  <si>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</si>
  <si>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</si>
  <si>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</si>
  <si>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</si>
  <si>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</si>
  <si>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</si>
  <si>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</si>
  <si>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</si>
  <si>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</si>
  <si>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</si>
  <si>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</si>
  <si>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</si>
  <si>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</si>
  <si>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</si>
  <si>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</si>
  <si>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</si>
  <si>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</si>
  <si>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</si>
  <si>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</si>
  <si>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</si>
  <si>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</si>
  <si>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</si>
  <si>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</si>
  <si>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</si>
  <si>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</si>
  <si>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</si>
  <si>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</si>
  <si>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</si>
  <si>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</si>
  <si>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</si>
  <si>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</si>
  <si>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</si>
  <si>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</si>
  <si>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</si>
  <si>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</si>
  <si>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</si>
  <si>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</si>
  <si>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</si>
  <si>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</si>
  <si>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</si>
  <si>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</si>
  <si>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</si>
  <si>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</si>
  <si>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</si>
  <si>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</si>
  <si>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</si>
  <si>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</si>
  <si>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</si>
  <si>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</si>
  <si>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</si>
  <si>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</si>
  <si>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</si>
  <si>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</si>
  <si>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</si>
  <si>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</si>
  <si>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</si>
  <si>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</si>
  <si>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</si>
  <si>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</si>
  <si>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</si>
  <si>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</si>
  <si>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</si>
  <si>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</si>
  <si>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Greater</t>
  </si>
  <si>
    <t>Choke</t>
  </si>
  <si>
    <t>stock</t>
  </si>
  <si>
    <t>#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</si>
  <si>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</si>
  <si>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</si>
  <si>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</si>
  <si>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</si>
  <si>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</si>
  <si>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</si>
  <si>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</si>
  <si>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</si>
  <si>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</si>
  <si>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</si>
  <si>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</si>
  <si>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</si>
  <si>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</si>
  <si>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</si>
  <si>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</si>
  <si>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</si>
  <si>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</si>
  <si>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</si>
  <si>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</si>
  <si>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</si>
  <si>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</si>
  <si>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</si>
  <si>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</si>
  <si>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</si>
  <si>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</si>
  <si>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</si>
  <si>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</si>
  <si>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</si>
  <si>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</si>
  <si>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</si>
  <si>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</si>
  <si>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</si>
  <si>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</si>
  <si>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</si>
  <si>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</si>
  <si>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</si>
  <si>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</si>
  <si>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</si>
  <si>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</si>
  <si>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</si>
  <si>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</si>
  <si>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</si>
  <si>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</si>
  <si>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</si>
  <si>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</si>
  <si>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</si>
  <si>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</si>
  <si>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</si>
  <si>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</si>
  <si>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</si>
  <si>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</si>
  <si>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</si>
  <si>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</si>
  <si>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</si>
  <si>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</si>
  <si>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</si>
  <si>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</si>
  <si>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</si>
  <si>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Const.</t>
  </si>
  <si>
    <t xml:space="preserve">"@" =  </t>
  </si>
  <si>
    <t>Industry concern expressed</t>
  </si>
  <si>
    <t>Importance related to rebuilding status of a stock</t>
  </si>
  <si>
    <t>Importance of relative stock abundance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</si>
  <si>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</si>
  <si>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</si>
  <si>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</si>
  <si>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</si>
  <si>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</si>
  <si>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</si>
  <si>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</si>
  <si>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</si>
  <si>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</si>
  <si>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</si>
  <si>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</si>
  <si>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</si>
  <si>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</si>
  <si>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</si>
  <si>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</si>
  <si>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</si>
  <si>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</si>
  <si>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</si>
  <si>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</si>
  <si>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</si>
  <si>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</si>
  <si>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</si>
  <si>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</si>
  <si>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</si>
  <si>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</si>
  <si>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</si>
  <si>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</si>
  <si>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</si>
  <si>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</si>
  <si>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</si>
  <si>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</si>
  <si>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</si>
  <si>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</si>
  <si>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</si>
  <si>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</si>
  <si>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</si>
  <si>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</si>
  <si>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</si>
  <si>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</si>
  <si>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</si>
  <si>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</si>
  <si>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</si>
  <si>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</si>
  <si>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</si>
  <si>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</si>
  <si>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</si>
  <si>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</si>
  <si>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</si>
  <si>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</si>
  <si>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</si>
  <si>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</si>
  <si>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</si>
  <si>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</si>
  <si>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</si>
  <si>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</si>
  <si>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</si>
  <si>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</si>
  <si>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</si>
  <si>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</si>
  <si>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</si>
  <si>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</si>
  <si>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</si>
  <si>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</si>
  <si>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</si>
  <si>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</si>
  <si>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</si>
  <si>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</si>
  <si>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</si>
  <si>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</si>
  <si>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</si>
  <si>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</si>
  <si>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</si>
  <si>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</si>
  <si>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</si>
  <si>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</si>
  <si>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</si>
  <si>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</si>
  <si>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</si>
  <si>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</si>
  <si>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</si>
  <si>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</si>
  <si>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</si>
  <si>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</si>
  <si>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</si>
  <si>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</si>
  <si>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</si>
  <si>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</si>
  <si>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</si>
  <si>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</si>
  <si>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</si>
  <si>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</si>
  <si>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</si>
  <si>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</si>
  <si>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</si>
  <si>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</si>
  <si>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</si>
  <si>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</si>
  <si>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</si>
  <si>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</si>
  <si>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</si>
  <si>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</si>
  <si>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</si>
  <si>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</si>
  <si>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</si>
  <si>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</si>
  <si>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</si>
  <si>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</si>
  <si>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</si>
  <si>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</si>
  <si>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</si>
  <si>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</si>
  <si>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</si>
  <si>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</si>
  <si>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</si>
  <si>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</si>
  <si>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</si>
  <si>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5-year landings history was greatly reduced by prior rebuilding restricitions</t>
  </si>
  <si>
    <t>Update</t>
  </si>
  <si>
    <t>F</t>
  </si>
  <si>
    <t>U</t>
  </si>
  <si>
    <t>Total adjust-ments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</si>
  <si>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</si>
  <si>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</si>
  <si>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</si>
  <si>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</si>
  <si>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All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</si>
  <si>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</si>
  <si>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</si>
  <si>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</si>
  <si>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</si>
  <si>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</si>
  <si>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</si>
  <si>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</si>
  <si>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</si>
  <si>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</si>
  <si>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</si>
  <si>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</si>
  <si>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</si>
  <si>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</si>
  <si>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</si>
  <si>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</si>
  <si>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</si>
  <si>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</si>
  <si>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</si>
  <si>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</si>
  <si>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</si>
  <si>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</si>
  <si>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</si>
  <si>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</si>
  <si>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</si>
  <si>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</si>
  <si>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</si>
  <si>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</si>
  <si>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</si>
  <si>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</si>
  <si>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</si>
  <si>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</si>
  <si>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</si>
  <si>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</si>
  <si>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</si>
  <si>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</si>
  <si>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</si>
  <si>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</si>
  <si>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</si>
  <si>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</si>
  <si>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</si>
  <si>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Kelp greenling</t>
  </si>
  <si>
    <t>Pacific Ocean perch</t>
  </si>
  <si>
    <t>adjusted,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</si>
  <si>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</si>
  <si>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</si>
  <si>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</si>
  <si>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</si>
  <si>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</si>
  <si>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</si>
  <si>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</si>
  <si>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</si>
  <si>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</si>
  <si>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</si>
  <si>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</si>
  <si>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</si>
  <si>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</si>
  <si>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</si>
  <si>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</si>
  <si>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</si>
  <si>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</si>
  <si>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</si>
  <si>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</si>
  <si>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</si>
  <si>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</si>
  <si>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</si>
  <si>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</si>
  <si>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</si>
  <si>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</si>
  <si>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</si>
  <si>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</si>
  <si>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</si>
  <si>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</si>
  <si>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</si>
  <si>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</si>
  <si>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</si>
  <si>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</si>
  <si>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</si>
  <si>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</si>
  <si>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</si>
  <si>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</si>
  <si>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</si>
  <si>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</si>
  <si>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</si>
  <si>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</si>
  <si>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</si>
  <si>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</si>
  <si>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</si>
  <si>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</si>
  <si>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</si>
  <si>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</si>
  <si>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</si>
  <si>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</si>
  <si>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</si>
  <si>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</si>
  <si>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</si>
  <si>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</si>
  <si>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</si>
  <si>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</si>
  <si>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</si>
  <si>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</si>
  <si>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</si>
  <si>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</si>
  <si>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</si>
  <si>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</si>
  <si>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</si>
  <si>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</si>
  <si>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</si>
  <si>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</si>
  <si>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</si>
  <si>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</si>
  <si>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</si>
  <si>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</si>
  <si>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</si>
  <si>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</si>
  <si>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</si>
  <si>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</si>
  <si>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</si>
  <si>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</si>
  <si>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</si>
  <si>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</si>
  <si>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</si>
  <si>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</si>
  <si>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</si>
  <si>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</si>
  <si>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</si>
  <si>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</si>
  <si>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</si>
  <si>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</si>
  <si>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</si>
  <si>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</si>
  <si>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</si>
  <si>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</si>
  <si>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</si>
  <si>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</si>
  <si>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</si>
  <si>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</si>
  <si>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</si>
  <si>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</si>
  <si>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</si>
  <si>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</si>
  <si>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</si>
  <si>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</si>
  <si>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</si>
  <si>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</si>
  <si>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</si>
  <si>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</si>
  <si>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</si>
  <si>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</si>
  <si>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</si>
  <si>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</si>
  <si>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</si>
  <si>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</si>
  <si>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</si>
  <si>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</si>
  <si>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</si>
  <si>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</si>
  <si>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</si>
  <si>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</si>
  <si>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</si>
  <si>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</si>
  <si>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</si>
  <si>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</si>
  <si>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</si>
  <si>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</si>
  <si>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</si>
  <si>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</si>
  <si>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</si>
  <si>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</si>
  <si>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</si>
  <si>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</si>
  <si>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</si>
  <si>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</si>
  <si>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</si>
  <si>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</si>
  <si>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</si>
  <si>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</si>
  <si>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</si>
  <si>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</si>
  <si>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</si>
  <si>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</si>
  <si>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</si>
  <si>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</si>
  <si>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</si>
  <si>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</si>
  <si>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</si>
  <si>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</si>
  <si>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</si>
  <si>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</si>
  <si>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Rosethoryn rockfish</t>
  </si>
  <si>
    <t>Silvergrey rockfish</t>
  </si>
  <si>
    <t>Stripedtail rockfish</t>
  </si>
  <si>
    <t>Yellowmouth rockfsih</t>
  </si>
  <si>
    <t>Rex sole</t>
  </si>
  <si>
    <t>Rock sole</t>
  </si>
  <si>
    <t>Sand sole</t>
  </si>
  <si>
    <t>Flathead sole</t>
  </si>
  <si>
    <t>Rosey rockfish</t>
  </si>
  <si>
    <t>"*" =</t>
  </si>
  <si>
    <t>$</t>
  </si>
  <si>
    <t xml:space="preserve">"$" =  </t>
  </si>
  <si>
    <t>$#</t>
  </si>
  <si>
    <t>***</t>
  </si>
  <si>
    <t>$**</t>
  </si>
  <si>
    <t>$*</t>
  </si>
  <si>
    <t>$$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</si>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</sst>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70" formatCode="#,##0.000"/>
    <numFmt numFmtId="171" formatCode="\+0"/>
    <numFmt numFmtId="172" formatCode="#,##0\ "/>
    <numFmt numFmtId="173" formatCode="0.000"/>
    <numFmt numFmtId="174" formatCode="\+\ 0;\-\ 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</fonts>
  <fills count="7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  <fill>
      <patternFill patternType="solid">
        <fgColor rgb="FFFFC5E2"/>
        <bgColor indexed="64"/>
      </patternFill>
    </fill>
  </fills>
  <borders count="1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9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1" fillId="66" borderId="0" applyBorder="0" applyProtection="0">
      <alignment horizontal="left" vertical="top" wrapText="1"/>
    </xf>
    <xf numFmtId="0" fontId="1" fillId="0" borderId="0"/>
  </cellStyleXfs>
  <cellXfs count="1380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7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1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6" fillId="17" borderId="0" xfId="0" applyFont="1" applyFill="1" applyAlignment="1">
      <alignment vertical="center"/>
    </xf>
    <xf numFmtId="0" fontId="26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6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6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1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7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3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4" borderId="32" xfId="1819" applyFont="1" applyFill="1" applyBorder="1" applyAlignment="1">
      <alignment horizontal="centerContinuous" vertical="center"/>
    </xf>
    <xf numFmtId="0" fontId="8" fillId="44" borderId="47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9" fontId="7" fillId="0" borderId="9" xfId="2302" applyFont="1" applyBorder="1"/>
    <xf numFmtId="170" fontId="7" fillId="45" borderId="9" xfId="1819" applyNumberFormat="1" applyFont="1" applyFill="1" applyBorder="1"/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6" xfId="1819" applyFont="1" applyFill="1" applyBorder="1" applyAlignment="1">
      <alignment horizontal="centerContinuous" vertical="center"/>
    </xf>
    <xf numFmtId="2" fontId="7" fillId="44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2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7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6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5" borderId="3" xfId="1819" applyNumberFormat="1" applyFont="1" applyFill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2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5" borderId="5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8" fillId="45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2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5" borderId="6" xfId="1819" applyNumberFormat="1" applyFont="1" applyFill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5" borderId="62" xfId="1819" applyFont="1" applyFill="1" applyBorder="1" applyAlignment="1">
      <alignment horizontal="centerContinuous" vertical="center"/>
    </xf>
    <xf numFmtId="0" fontId="8" fillId="45" borderId="64" xfId="1819" applyFont="1" applyFill="1" applyBorder="1" applyAlignment="1">
      <alignment horizontal="centerContinuous" vertical="center"/>
    </xf>
    <xf numFmtId="0" fontId="14" fillId="0" borderId="63" xfId="0" applyFont="1" applyBorder="1" applyAlignment="1">
      <alignment horizontal="center"/>
    </xf>
    <xf numFmtId="4" fontId="14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4" borderId="57" xfId="0" applyNumberFormat="1" applyFont="1" applyFill="1" applyBorder="1" applyAlignment="1">
      <alignment horizontal="center"/>
    </xf>
    <xf numFmtId="4" fontId="8" fillId="28" borderId="57" xfId="0" applyNumberFormat="1" applyFont="1" applyFill="1" applyBorder="1" applyAlignment="1">
      <alignment horizontal="center"/>
    </xf>
    <xf numFmtId="4" fontId="8" fillId="28" borderId="65" xfId="0" applyNumberFormat="1" applyFont="1" applyFill="1" applyBorder="1" applyAlignment="1">
      <alignment horizontal="center"/>
    </xf>
    <xf numFmtId="4" fontId="10" fillId="54" borderId="57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7" borderId="2" xfId="0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3" fontId="6" fillId="59" borderId="2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 wrapText="1"/>
    </xf>
    <xf numFmtId="0" fontId="6" fillId="60" borderId="32" xfId="0" applyFont="1" applyFill="1" applyBorder="1" applyAlignment="1">
      <alignment horizontal="center"/>
    </xf>
    <xf numFmtId="0" fontId="6" fillId="60" borderId="2" xfId="0" applyFont="1" applyFill="1" applyBorder="1" applyAlignment="1">
      <alignment horizontal="center"/>
    </xf>
    <xf numFmtId="0" fontId="6" fillId="60" borderId="2" xfId="0" quotePrefix="1" applyFont="1" applyFill="1" applyBorder="1" applyAlignment="1">
      <alignment horizontal="center"/>
    </xf>
    <xf numFmtId="0" fontId="6" fillId="60" borderId="47" xfId="0" applyFont="1" applyFill="1" applyBorder="1" applyAlignment="1">
      <alignment horizontal="center"/>
    </xf>
    <xf numFmtId="0" fontId="6" fillId="60" borderId="3" xfId="0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7" borderId="13" xfId="0" applyFont="1" applyFill="1" applyBorder="1" applyAlignment="1">
      <alignment horizontal="center"/>
    </xf>
    <xf numFmtId="3" fontId="6" fillId="57" borderId="46" xfId="0" applyNumberFormat="1" applyFont="1" applyFill="1" applyBorder="1" applyAlignment="1">
      <alignment horizontal="center"/>
    </xf>
    <xf numFmtId="0" fontId="6" fillId="53" borderId="30" xfId="0" applyFont="1" applyFill="1" applyBorder="1" applyAlignment="1">
      <alignment horizontal="centerContinuous"/>
    </xf>
    <xf numFmtId="0" fontId="6" fillId="57" borderId="68" xfId="0" applyFont="1" applyFill="1" applyBorder="1" applyAlignment="1">
      <alignment horizontal="center"/>
    </xf>
    <xf numFmtId="0" fontId="6" fillId="57" borderId="11" xfId="0" applyFont="1" applyFill="1" applyBorder="1" applyAlignment="1">
      <alignment horizontal="center"/>
    </xf>
    <xf numFmtId="3" fontId="6" fillId="57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7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8" borderId="0" xfId="0" applyNumberFormat="1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7" fillId="28" borderId="0" xfId="0" applyFont="1" applyFill="1" applyBorder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2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7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2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2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2" fillId="17" borderId="48" xfId="0" applyFont="1" applyFill="1" applyBorder="1" applyAlignment="1">
      <alignment horizontal="center" vertical="center" wrapText="1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3" borderId="7" xfId="0" applyNumberFormat="1" applyFont="1" applyFill="1" applyBorder="1" applyAlignment="1">
      <alignment horizontal="centerContinuous"/>
    </xf>
    <xf numFmtId="170" fontId="6" fillId="58" borderId="2" xfId="0" applyNumberFormat="1" applyFont="1" applyFill="1" applyBorder="1" applyAlignment="1">
      <alignment horizontal="center"/>
    </xf>
    <xf numFmtId="170" fontId="6" fillId="58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6" fillId="0" borderId="9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5" borderId="25" xfId="1819" applyFont="1" applyFill="1" applyBorder="1" applyAlignment="1">
      <alignment horizontal="centerContinuous" vertical="center"/>
    </xf>
    <xf numFmtId="0" fontId="7" fillId="45" borderId="32" xfId="1819" applyFont="1" applyFill="1" applyBorder="1" applyAlignment="1">
      <alignment horizontal="center" wrapText="1"/>
    </xf>
    <xf numFmtId="0" fontId="7" fillId="45" borderId="48" xfId="1819" applyFont="1" applyFill="1" applyBorder="1" applyAlignment="1">
      <alignment horizontal="center" wrapText="1"/>
    </xf>
    <xf numFmtId="168" fontId="7" fillId="45" borderId="47" xfId="1" applyNumberFormat="1" applyFont="1" applyFill="1" applyBorder="1"/>
    <xf numFmtId="168" fontId="7" fillId="45" borderId="27" xfId="1" applyNumberFormat="1" applyFont="1" applyFill="1" applyBorder="1"/>
    <xf numFmtId="170" fontId="7" fillId="45" borderId="27" xfId="1819" applyNumberFormat="1" applyFont="1" applyFill="1" applyBorder="1"/>
    <xf numFmtId="3" fontId="7" fillId="45" borderId="27" xfId="1819" applyNumberFormat="1" applyFont="1" applyFill="1" applyBorder="1" applyAlignment="1">
      <alignment horizontal="center"/>
    </xf>
    <xf numFmtId="168" fontId="7" fillId="45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6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2" borderId="7" xfId="0" applyFont="1" applyFill="1" applyBorder="1" applyAlignment="1">
      <alignment horizontal="centerContinuous"/>
    </xf>
    <xf numFmtId="0" fontId="7" fillId="62" borderId="25" xfId="0" applyFont="1" applyFill="1" applyBorder="1" applyAlignment="1">
      <alignment horizontal="centerContinuous"/>
    </xf>
    <xf numFmtId="0" fontId="7" fillId="62" borderId="57" xfId="0" applyFont="1" applyFill="1" applyBorder="1" applyAlignment="1">
      <alignment horizontal="left"/>
    </xf>
    <xf numFmtId="0" fontId="22" fillId="62" borderId="15" xfId="0" applyFont="1" applyFill="1" applyBorder="1" applyAlignment="1">
      <alignment horizontal="center" vertical="center" wrapText="1"/>
    </xf>
    <xf numFmtId="0" fontId="7" fillId="62" borderId="5" xfId="0" applyFont="1" applyFill="1" applyBorder="1" applyAlignment="1">
      <alignment horizontal="center" vertical="center" wrapText="1"/>
    </xf>
    <xf numFmtId="0" fontId="7" fillId="62" borderId="16" xfId="0" applyFont="1" applyFill="1" applyBorder="1" applyAlignment="1">
      <alignment horizontal="center" vertical="center" wrapText="1"/>
    </xf>
    <xf numFmtId="0" fontId="7" fillId="62" borderId="65" xfId="0" applyFont="1" applyFill="1" applyBorder="1" applyAlignment="1">
      <alignment horizontal="center" vertical="center" wrapText="1"/>
    </xf>
    <xf numFmtId="0" fontId="8" fillId="62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45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5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164" fontId="0" fillId="17" borderId="0" xfId="0" applyNumberForma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4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7" xfId="0" applyFont="1" applyFill="1" applyBorder="1" applyAlignment="1">
      <alignment horizontal="centerContinuous"/>
    </xf>
    <xf numFmtId="0" fontId="6" fillId="17" borderId="48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4" fillId="17" borderId="30" xfId="0" applyFont="1" applyFill="1" applyBorder="1" applyAlignment="1">
      <alignment horizontal="left" indent="1"/>
    </xf>
    <xf numFmtId="0" fontId="3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4" fontId="7" fillId="17" borderId="0" xfId="0" applyNumberFormat="1" applyFont="1" applyFill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37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0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7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1" fillId="17" borderId="0" xfId="3" applyFont="1" applyFill="1"/>
    <xf numFmtId="3" fontId="21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1" fillId="17" borderId="0" xfId="5" applyNumberFormat="1" applyFont="1" applyFill="1" applyAlignment="1">
      <alignment horizontal="center"/>
    </xf>
    <xf numFmtId="3" fontId="32" fillId="17" borderId="7" xfId="5" applyNumberFormat="1" applyFont="1" applyFill="1" applyBorder="1" applyAlignment="1">
      <alignment horizontal="centerContinuous" vertical="center"/>
    </xf>
    <xf numFmtId="3" fontId="21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4" fontId="14" fillId="16" borderId="57" xfId="0" applyNumberFormat="1" applyFont="1" applyFill="1" applyBorder="1" applyAlignment="1">
      <alignment horizontal="center"/>
    </xf>
    <xf numFmtId="4" fontId="14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1" borderId="38" xfId="0" applyFont="1" applyFill="1" applyBorder="1" applyAlignment="1">
      <alignment horizontal="centerContinuous"/>
    </xf>
    <xf numFmtId="0" fontId="13" fillId="61" borderId="7" xfId="0" applyFont="1" applyFill="1" applyBorder="1" applyAlignment="1">
      <alignment horizontal="centerContinuous"/>
    </xf>
    <xf numFmtId="0" fontId="6" fillId="61" borderId="7" xfId="0" applyFont="1" applyFill="1" applyBorder="1" applyAlignment="1">
      <alignment horizontal="centerContinuous"/>
    </xf>
    <xf numFmtId="0" fontId="6" fillId="61" borderId="47" xfId="0" applyFont="1" applyFill="1" applyBorder="1" applyAlignment="1">
      <alignment horizontal="centerContinuous"/>
    </xf>
    <xf numFmtId="3" fontId="6" fillId="55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6" borderId="46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8" borderId="0" xfId="0" applyFont="1" applyFill="1" applyAlignment="1">
      <alignment horizontal="centerContinuous"/>
    </xf>
    <xf numFmtId="4" fontId="7" fillId="28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89" xfId="0" applyFont="1" applyFill="1" applyBorder="1"/>
    <xf numFmtId="0" fontId="7" fillId="17" borderId="2" xfId="0" applyFont="1" applyFill="1" applyBorder="1"/>
    <xf numFmtId="0" fontId="28" fillId="17" borderId="0" xfId="0" quotePrefix="1" applyFont="1" applyFill="1" applyBorder="1"/>
    <xf numFmtId="0" fontId="26" fillId="44" borderId="4" xfId="0" applyFont="1" applyFill="1" applyBorder="1" applyAlignment="1">
      <alignment horizontal="center" vertical="center"/>
    </xf>
    <xf numFmtId="0" fontId="26" fillId="44" borderId="4" xfId="0" applyFont="1" applyFill="1" applyBorder="1"/>
    <xf numFmtId="0" fontId="26" fillId="44" borderId="5" xfId="0" applyFont="1" applyFill="1" applyBorder="1" applyAlignment="1">
      <alignment horizontal="center"/>
    </xf>
    <xf numFmtId="0" fontId="28" fillId="39" borderId="7" xfId="0" applyFont="1" applyFill="1" applyBorder="1" applyAlignment="1">
      <alignment vertical="center" wrapText="1"/>
    </xf>
    <xf numFmtId="0" fontId="28" fillId="39" borderId="3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 wrapText="1"/>
    </xf>
    <xf numFmtId="0" fontId="28" fillId="39" borderId="9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/>
    </xf>
    <xf numFmtId="0" fontId="28" fillId="49" borderId="8" xfId="0" applyFont="1" applyFill="1" applyBorder="1" applyAlignment="1">
      <alignment vertical="center"/>
    </xf>
    <xf numFmtId="0" fontId="28" fillId="49" borderId="9" xfId="0" applyFont="1" applyFill="1" applyBorder="1" applyAlignment="1">
      <alignment horizontal="center" vertical="center"/>
    </xf>
    <xf numFmtId="0" fontId="28" fillId="49" borderId="7" xfId="0" applyFont="1" applyFill="1" applyBorder="1" applyAlignment="1">
      <alignment vertical="center"/>
    </xf>
    <xf numFmtId="0" fontId="28" fillId="49" borderId="7" xfId="0" applyFont="1" applyFill="1" applyBorder="1" applyAlignment="1">
      <alignment vertical="center" wrapText="1"/>
    </xf>
    <xf numFmtId="16" fontId="28" fillId="49" borderId="3" xfId="0" quotePrefix="1" applyNumberFormat="1" applyFont="1" applyFill="1" applyBorder="1" applyAlignment="1">
      <alignment horizontal="center" vertical="center"/>
    </xf>
    <xf numFmtId="0" fontId="28" fillId="49" borderId="23" xfId="0" applyFont="1" applyFill="1" applyBorder="1" applyAlignment="1">
      <alignment vertical="center"/>
    </xf>
    <xf numFmtId="0" fontId="26" fillId="50" borderId="0" xfId="0" applyFont="1" applyFill="1" applyAlignment="1">
      <alignment horizontal="center" vertical="center" wrapText="1"/>
    </xf>
    <xf numFmtId="0" fontId="28" fillId="51" borderId="0" xfId="0" applyFont="1" applyFill="1" applyAlignment="1">
      <alignment vertical="center"/>
    </xf>
    <xf numFmtId="0" fontId="28" fillId="51" borderId="0" xfId="0" applyFont="1" applyFill="1" applyAlignment="1">
      <alignment vertical="center" wrapText="1"/>
    </xf>
    <xf numFmtId="16" fontId="28" fillId="51" borderId="2" xfId="0" quotePrefix="1" applyNumberFormat="1" applyFont="1" applyFill="1" applyBorder="1" applyAlignment="1">
      <alignment horizontal="center" vertical="center"/>
    </xf>
    <xf numFmtId="0" fontId="28" fillId="25" borderId="7" xfId="0" applyFont="1" applyFill="1" applyBorder="1" applyAlignment="1">
      <alignment vertical="center"/>
    </xf>
    <xf numFmtId="0" fontId="28" fillId="25" borderId="7" xfId="0" applyFont="1" applyFill="1" applyBorder="1" applyAlignment="1">
      <alignment vertical="center" wrapText="1"/>
    </xf>
    <xf numFmtId="0" fontId="49" fillId="25" borderId="3" xfId="0" applyFont="1" applyFill="1" applyBorder="1" applyAlignment="1">
      <alignment horizontal="center" vertical="center"/>
    </xf>
    <xf numFmtId="0" fontId="28" fillId="42" borderId="8" xfId="0" applyFont="1" applyFill="1" applyBorder="1" applyAlignment="1">
      <alignment vertical="center" wrapText="1"/>
    </xf>
    <xf numFmtId="0" fontId="28" fillId="42" borderId="9" xfId="0" applyFont="1" applyFill="1" applyBorder="1" applyAlignment="1">
      <alignment horizontal="center" vertical="center"/>
    </xf>
    <xf numFmtId="0" fontId="28" fillId="43" borderId="23" xfId="0" applyFont="1" applyFill="1" applyBorder="1" applyAlignment="1">
      <alignment vertical="center" wrapText="1"/>
    </xf>
    <xf numFmtId="0" fontId="28" fillId="43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96" xfId="0" applyNumberFormat="1" applyFont="1" applyBorder="1" applyAlignment="1">
      <alignment horizontal="center"/>
    </xf>
    <xf numFmtId="0" fontId="8" fillId="64" borderId="50" xfId="0" applyFont="1" applyFill="1" applyBorder="1" applyAlignment="1">
      <alignment horizontal="center"/>
    </xf>
    <xf numFmtId="0" fontId="8" fillId="64" borderId="46" xfId="0" applyFont="1" applyFill="1" applyBorder="1" applyAlignment="1">
      <alignment horizontal="center"/>
    </xf>
    <xf numFmtId="0" fontId="8" fillId="64" borderId="51" xfId="0" quotePrefix="1" applyFont="1" applyFill="1" applyBorder="1" applyAlignment="1">
      <alignment horizontal="center"/>
    </xf>
    <xf numFmtId="0" fontId="8" fillId="64" borderId="51" xfId="0" applyFont="1" applyFill="1" applyBorder="1" applyAlignment="1">
      <alignment horizontal="center"/>
    </xf>
    <xf numFmtId="0" fontId="8" fillId="64" borderId="46" xfId="0" quotePrefix="1" applyFont="1" applyFill="1" applyBorder="1" applyAlignment="1">
      <alignment horizontal="center"/>
    </xf>
    <xf numFmtId="0" fontId="8" fillId="64" borderId="52" xfId="0" applyFont="1" applyFill="1" applyBorder="1" applyAlignment="1">
      <alignment horizontal="center"/>
    </xf>
    <xf numFmtId="0" fontId="22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2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7" fillId="0" borderId="20" xfId="0" applyNumberFormat="1" applyFont="1" applyFill="1" applyBorder="1" applyAlignment="1">
      <alignment horizontal="right" indent="1"/>
    </xf>
    <xf numFmtId="3" fontId="37" fillId="0" borderId="27" xfId="0" applyNumberFormat="1" applyFont="1" applyFill="1" applyBorder="1" applyAlignment="1">
      <alignment horizontal="right" indent="1"/>
    </xf>
    <xf numFmtId="9" fontId="37" fillId="0" borderId="20" xfId="2" applyFont="1" applyFill="1" applyBorder="1" applyAlignment="1">
      <alignment horizontal="right" indent="1"/>
    </xf>
    <xf numFmtId="3" fontId="22" fillId="0" borderId="20" xfId="0" applyNumberFormat="1" applyFont="1" applyFill="1" applyBorder="1" applyAlignment="1">
      <alignment horizontal="right" indent="1"/>
    </xf>
    <xf numFmtId="3" fontId="22" fillId="0" borderId="27" xfId="0" applyNumberFormat="1" applyFont="1" applyFill="1" applyBorder="1" applyAlignment="1">
      <alignment horizontal="right" indent="1"/>
    </xf>
    <xf numFmtId="9" fontId="22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2" fillId="17" borderId="7" xfId="3" applyFont="1" applyFill="1" applyBorder="1"/>
    <xf numFmtId="3" fontId="11" fillId="17" borderId="0" xfId="5" applyNumberFormat="1" applyFont="1" applyFill="1" applyBorder="1" applyAlignment="1">
      <alignment horizontal="center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3" fillId="17" borderId="0" xfId="5" applyNumberFormat="1" applyFont="1" applyFill="1" applyBorder="1" applyAlignment="1"/>
    <xf numFmtId="167" fontId="53" fillId="0" borderId="9" xfId="3" applyNumberFormat="1" applyFont="1" applyBorder="1" applyAlignment="1">
      <alignment horizontal="right" indent="1"/>
    </xf>
    <xf numFmtId="167" fontId="53" fillId="0" borderId="9" xfId="5" applyNumberFormat="1" applyFont="1" applyBorder="1" applyAlignment="1"/>
    <xf numFmtId="167" fontId="54" fillId="0" borderId="9" xfId="3" applyNumberFormat="1" applyFont="1" applyBorder="1" applyAlignment="1"/>
    <xf numFmtId="167" fontId="38" fillId="17" borderId="13" xfId="3" applyNumberFormat="1" applyFont="1" applyFill="1" applyBorder="1" applyAlignment="1"/>
    <xf numFmtId="167" fontId="54" fillId="17" borderId="0" xfId="3" applyNumberFormat="1" applyFont="1" applyFill="1" applyBorder="1" applyAlignment="1"/>
    <xf numFmtId="167" fontId="53" fillId="0" borderId="9" xfId="3" applyNumberFormat="1" applyFont="1" applyFill="1" applyBorder="1" applyAlignment="1">
      <alignment horizontal="right" indent="1"/>
    </xf>
    <xf numFmtId="167" fontId="53" fillId="0" borderId="9" xfId="5" applyNumberFormat="1" applyFont="1" applyFill="1" applyBorder="1" applyAlignment="1"/>
    <xf numFmtId="167" fontId="53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3" fillId="17" borderId="0" xfId="3" applyNumberFormat="1" applyFont="1" applyFill="1" applyBorder="1" applyAlignment="1"/>
    <xf numFmtId="167" fontId="54" fillId="0" borderId="9" xfId="5" applyNumberFormat="1" applyFont="1" applyFill="1" applyBorder="1" applyAlignment="1"/>
    <xf numFmtId="167" fontId="38" fillId="17" borderId="13" xfId="5" applyNumberFormat="1" applyFont="1" applyFill="1" applyBorder="1" applyAlignment="1"/>
    <xf numFmtId="167" fontId="54" fillId="17" borderId="0" xfId="5" applyNumberFormat="1" applyFont="1" applyFill="1" applyBorder="1" applyAlignment="1"/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97" xfId="0" applyNumberFormat="1" applyFont="1" applyBorder="1"/>
    <xf numFmtId="4" fontId="8" fillId="0" borderId="94" xfId="0" applyNumberFormat="1" applyFont="1" applyFill="1" applyBorder="1" applyAlignment="1">
      <alignment horizontal="center"/>
    </xf>
    <xf numFmtId="4" fontId="7" fillId="0" borderId="94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68" borderId="0" xfId="0" quotePrefix="1" applyNumberFormat="1" applyFont="1" applyFill="1" applyAlignment="1">
      <alignment horizontal="left"/>
    </xf>
    <xf numFmtId="0" fontId="7" fillId="68" borderId="10" xfId="0" quotePrefix="1" applyFont="1" applyFill="1" applyBorder="1"/>
    <xf numFmtId="0" fontId="7" fillId="68" borderId="10" xfId="0" applyFont="1" applyFill="1" applyBorder="1"/>
    <xf numFmtId="0" fontId="7" fillId="68" borderId="4" xfId="0" applyFont="1" applyFill="1" applyBorder="1"/>
    <xf numFmtId="0" fontId="7" fillId="68" borderId="11" xfId="0" applyFont="1" applyFill="1" applyBorder="1" applyAlignment="1">
      <alignment horizontal="center"/>
    </xf>
    <xf numFmtId="0" fontId="7" fillId="68" borderId="16" xfId="0" applyFont="1" applyFill="1" applyBorder="1" applyAlignment="1">
      <alignment horizontal="center" vertical="center" wrapText="1"/>
    </xf>
    <xf numFmtId="0" fontId="7" fillId="68" borderId="7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 vertical="center"/>
    </xf>
    <xf numFmtId="0" fontId="7" fillId="69" borderId="23" xfId="0" quotePrefix="1" applyFont="1" applyFill="1" applyBorder="1" applyAlignment="1">
      <alignment horizontal="left" indent="1"/>
    </xf>
    <xf numFmtId="0" fontId="7" fillId="69" borderId="8" xfId="0" quotePrefix="1" applyFont="1" applyFill="1" applyBorder="1" applyAlignment="1">
      <alignment horizontal="left" indent="1"/>
    </xf>
    <xf numFmtId="0" fontId="0" fillId="69" borderId="7" xfId="0" applyFill="1" applyBorder="1"/>
    <xf numFmtId="0" fontId="7" fillId="69" borderId="7" xfId="0" quotePrefix="1" applyFont="1" applyFill="1" applyBorder="1"/>
    <xf numFmtId="0" fontId="7" fillId="69" borderId="7" xfId="0" applyFont="1" applyFill="1" applyBorder="1"/>
    <xf numFmtId="0" fontId="7" fillId="69" borderId="11" xfId="0" applyFont="1" applyFill="1" applyBorder="1" applyAlignment="1">
      <alignment horizontal="center"/>
    </xf>
    <xf numFmtId="0" fontId="7" fillId="69" borderId="11" xfId="0" applyFont="1" applyFill="1" applyBorder="1"/>
    <xf numFmtId="0" fontId="7" fillId="69" borderId="16" xfId="0" applyFont="1" applyFill="1" applyBorder="1" applyAlignment="1">
      <alignment horizontal="center" vertical="center" wrapText="1"/>
    </xf>
    <xf numFmtId="0" fontId="7" fillId="69" borderId="20" xfId="0" applyFont="1" applyFill="1" applyBorder="1" applyAlignment="1">
      <alignment horizontal="center"/>
    </xf>
    <xf numFmtId="0" fontId="7" fillId="69" borderId="20" xfId="0" applyFont="1" applyFill="1" applyBorder="1"/>
    <xf numFmtId="0" fontId="7" fillId="69" borderId="20" xfId="0" applyFont="1" applyFill="1" applyBorder="1" applyAlignment="1">
      <alignment horizontal="center" vertical="center"/>
    </xf>
    <xf numFmtId="0" fontId="7" fillId="69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2" fontId="43" fillId="15" borderId="48" xfId="0" applyNumberFormat="1" applyFont="1" applyFill="1" applyBorder="1" applyAlignment="1">
      <alignment horizontal="center"/>
    </xf>
    <xf numFmtId="2" fontId="43" fillId="15" borderId="6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 wrapText="1"/>
    </xf>
    <xf numFmtId="2" fontId="43" fillId="24" borderId="5" xfId="0" applyNumberFormat="1" applyFont="1" applyFill="1" applyBorder="1" applyAlignment="1">
      <alignment horizontal="center"/>
    </xf>
    <xf numFmtId="2" fontId="42" fillId="24" borderId="48" xfId="0" applyNumberFormat="1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7" borderId="9" xfId="0" applyNumberFormat="1" applyFont="1" applyFill="1" applyBorder="1"/>
    <xf numFmtId="9" fontId="7" fillId="65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1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9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2" fontId="7" fillId="0" borderId="0" xfId="0" applyNumberFormat="1" applyFont="1"/>
    <xf numFmtId="173" fontId="7" fillId="0" borderId="0" xfId="0" applyNumberFormat="1" applyFont="1"/>
    <xf numFmtId="0" fontId="7" fillId="17" borderId="21" xfId="0" applyFont="1" applyFill="1" applyBorder="1" applyAlignment="1">
      <alignment horizontal="center"/>
    </xf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8" fillId="17" borderId="68" xfId="0" applyFont="1" applyFill="1" applyBorder="1" applyAlignment="1">
      <alignment horizontal="center"/>
    </xf>
    <xf numFmtId="9" fontId="8" fillId="0" borderId="91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2" fillId="17" borderId="12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7" fillId="68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45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4" xfId="0" applyFont="1" applyFill="1" applyBorder="1" applyAlignment="1">
      <alignment horizontal="center" wrapText="1"/>
    </xf>
    <xf numFmtId="0" fontId="7" fillId="17" borderId="90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70" borderId="9" xfId="0" applyNumberFormat="1" applyFont="1" applyFill="1" applyBorder="1"/>
    <xf numFmtId="9" fontId="7" fillId="70" borderId="40" xfId="0" applyNumberFormat="1" applyFont="1" applyFill="1" applyBorder="1"/>
    <xf numFmtId="4" fontId="6" fillId="16" borderId="109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10" xfId="0" applyNumberFormat="1" applyFont="1" applyFill="1" applyBorder="1" applyAlignment="1">
      <alignment horizontal="center" vertical="center" wrapText="1"/>
    </xf>
    <xf numFmtId="0" fontId="55" fillId="17" borderId="25" xfId="3" applyFont="1" applyFill="1" applyBorder="1"/>
    <xf numFmtId="4" fontId="14" fillId="17" borderId="82" xfId="0" applyNumberFormat="1" applyFont="1" applyFill="1" applyBorder="1" applyAlignment="1">
      <alignment horizontal="center"/>
    </xf>
    <xf numFmtId="4" fontId="14" fillId="17" borderId="107" xfId="0" applyNumberFormat="1" applyFont="1" applyFill="1" applyBorder="1" applyAlignment="1">
      <alignment horizontal="center"/>
    </xf>
    <xf numFmtId="4" fontId="0" fillId="17" borderId="99" xfId="0" applyNumberFormat="1" applyFont="1" applyFill="1" applyBorder="1" applyAlignment="1">
      <alignment horizontal="center"/>
    </xf>
    <xf numFmtId="4" fontId="0" fillId="17" borderId="108" xfId="0" applyNumberFormat="1" applyFont="1" applyFill="1" applyBorder="1" applyAlignment="1">
      <alignment horizontal="center"/>
    </xf>
    <xf numFmtId="0" fontId="14" fillId="17" borderId="82" xfId="0" applyNumberFormat="1" applyFont="1" applyFill="1" applyBorder="1" applyAlignment="1">
      <alignment horizont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58" fillId="0" borderId="9" xfId="0" applyNumberFormat="1" applyFont="1" applyFill="1" applyBorder="1" applyAlignment="1">
      <alignment horizontal="right" indent="1"/>
    </xf>
    <xf numFmtId="9" fontId="58" fillId="0" borderId="9" xfId="2" applyFont="1" applyFill="1" applyBorder="1" applyAlignment="1">
      <alignment horizontal="right" indent="1"/>
    </xf>
    <xf numFmtId="3" fontId="58" fillId="0" borderId="20" xfId="0" applyNumberFormat="1" applyFont="1" applyFill="1" applyBorder="1" applyAlignment="1">
      <alignment horizontal="right" indent="1"/>
    </xf>
    <xf numFmtId="3" fontId="58" fillId="0" borderId="27" xfId="0" applyNumberFormat="1" applyFont="1" applyFill="1" applyBorder="1" applyAlignment="1">
      <alignment horizontal="right" indent="1"/>
    </xf>
    <xf numFmtId="9" fontId="58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58" fillId="0" borderId="9" xfId="2" applyNumberFormat="1" applyFont="1" applyFill="1" applyBorder="1" applyAlignment="1">
      <alignment horizontal="right" indent="1"/>
    </xf>
    <xf numFmtId="3" fontId="58" fillId="0" borderId="9" xfId="0" applyNumberFormat="1" applyFont="1" applyBorder="1" applyAlignment="1">
      <alignment horizontal="right" indent="1"/>
    </xf>
    <xf numFmtId="9" fontId="58" fillId="0" borderId="9" xfId="2" applyFont="1" applyBorder="1" applyAlignment="1">
      <alignment horizontal="right" indent="1"/>
    </xf>
    <xf numFmtId="3" fontId="58" fillId="0" borderId="20" xfId="0" applyNumberFormat="1" applyFont="1" applyBorder="1" applyAlignment="1">
      <alignment horizontal="right" indent="1"/>
    </xf>
    <xf numFmtId="3" fontId="58" fillId="0" borderId="27" xfId="0" applyNumberFormat="1" applyFont="1" applyBorder="1" applyAlignment="1">
      <alignment horizontal="right" indent="1"/>
    </xf>
    <xf numFmtId="9" fontId="58" fillId="0" borderId="20" xfId="2" applyFont="1" applyBorder="1" applyAlignment="1">
      <alignment horizontal="right" indent="1"/>
    </xf>
    <xf numFmtId="167" fontId="35" fillId="0" borderId="9" xfId="3" applyNumberFormat="1" applyFont="1" applyBorder="1" applyAlignment="1">
      <alignment horizontal="right"/>
    </xf>
    <xf numFmtId="9" fontId="35" fillId="0" borderId="9" xfId="2" applyFont="1" applyBorder="1" applyAlignment="1">
      <alignment horizontal="right" indent="1"/>
    </xf>
    <xf numFmtId="167" fontId="57" fillId="0" borderId="9" xfId="5" applyNumberFormat="1" applyFont="1" applyFill="1" applyBorder="1" applyAlignment="1">
      <alignment horizontal="right"/>
    </xf>
    <xf numFmtId="167" fontId="36" fillId="0" borderId="9" xfId="0" applyNumberFormat="1" applyFont="1" applyFill="1" applyBorder="1" applyAlignment="1">
      <alignment horizontal="right"/>
    </xf>
    <xf numFmtId="9" fontId="35" fillId="0" borderId="9" xfId="5" applyFont="1" applyFill="1" applyBorder="1" applyAlignment="1">
      <alignment horizontal="right" indent="1"/>
    </xf>
    <xf numFmtId="49" fontId="57" fillId="0" borderId="9" xfId="5" applyNumberFormat="1" applyFont="1" applyFill="1" applyBorder="1" applyAlignment="1">
      <alignment horizontal="right" indent="1"/>
    </xf>
    <xf numFmtId="0" fontId="61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62" fillId="17" borderId="4" xfId="0" applyFont="1" applyFill="1" applyBorder="1" applyAlignment="1">
      <alignment horizontal="center" vertical="center" wrapText="1"/>
    </xf>
    <xf numFmtId="0" fontId="62" fillId="17" borderId="0" xfId="0" applyFont="1" applyFill="1" applyAlignment="1">
      <alignment horizontal="center"/>
    </xf>
    <xf numFmtId="3" fontId="58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2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3" fillId="17" borderId="0" xfId="2306" applyFont="1" applyFill="1"/>
    <xf numFmtId="4" fontId="64" fillId="17" borderId="0" xfId="2306" applyNumberFormat="1" applyFont="1" applyFill="1"/>
    <xf numFmtId="4" fontId="63" fillId="17" borderId="0" xfId="2306" applyNumberFormat="1" applyFont="1" applyFill="1"/>
    <xf numFmtId="0" fontId="65" fillId="17" borderId="0" xfId="2306" applyFont="1" applyFill="1"/>
    <xf numFmtId="0" fontId="63" fillId="0" borderId="0" xfId="2306" applyFont="1"/>
    <xf numFmtId="0" fontId="66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3" fillId="17" borderId="0" xfId="2306" applyFont="1" applyFill="1" applyAlignment="1">
      <alignment vertical="center"/>
    </xf>
    <xf numFmtId="4" fontId="64" fillId="17" borderId="0" xfId="2306" applyNumberFormat="1" applyFont="1" applyFill="1" applyAlignment="1">
      <alignment vertical="center"/>
    </xf>
    <xf numFmtId="4" fontId="63" fillId="17" borderId="0" xfId="2306" applyNumberFormat="1" applyFont="1" applyFill="1" applyAlignment="1">
      <alignment vertical="center"/>
    </xf>
    <xf numFmtId="0" fontId="65" fillId="17" borderId="0" xfId="2306" applyFont="1" applyFill="1" applyAlignment="1">
      <alignment vertical="center"/>
    </xf>
    <xf numFmtId="0" fontId="63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64" fillId="71" borderId="4" xfId="2306" applyNumberFormat="1" applyFont="1" applyFill="1" applyBorder="1" applyAlignment="1">
      <alignment horizontal="centerContinuous"/>
    </xf>
    <xf numFmtId="0" fontId="63" fillId="71" borderId="4" xfId="2306" applyFont="1" applyFill="1" applyBorder="1" applyAlignment="1">
      <alignment horizontal="centerContinuous"/>
    </xf>
    <xf numFmtId="4" fontId="63" fillId="71" borderId="4" xfId="2306" applyNumberFormat="1" applyFont="1" applyFill="1" applyBorder="1" applyAlignment="1">
      <alignment horizontal="centerContinuous"/>
    </xf>
    <xf numFmtId="4" fontId="64" fillId="71" borderId="65" xfId="2306" applyNumberFormat="1" applyFont="1" applyFill="1" applyBorder="1" applyAlignment="1">
      <alignment horizontal="centerContinuous"/>
    </xf>
    <xf numFmtId="4" fontId="64" fillId="72" borderId="4" xfId="2306" applyNumberFormat="1" applyFont="1" applyFill="1" applyBorder="1" applyAlignment="1">
      <alignment horizontal="centerContinuous"/>
    </xf>
    <xf numFmtId="0" fontId="63" fillId="72" borderId="4" xfId="2306" applyFont="1" applyFill="1" applyBorder="1" applyAlignment="1">
      <alignment horizontal="centerContinuous"/>
    </xf>
    <xf numFmtId="4" fontId="63" fillId="72" borderId="65" xfId="2306" applyNumberFormat="1" applyFont="1" applyFill="1" applyBorder="1" applyAlignment="1">
      <alignment horizontal="centerContinuous"/>
    </xf>
    <xf numFmtId="0" fontId="64" fillId="63" borderId="85" xfId="2306" applyFont="1" applyFill="1" applyBorder="1" applyAlignment="1">
      <alignment horizontal="centerContinuous"/>
    </xf>
    <xf numFmtId="0" fontId="64" fillId="63" borderId="4" xfId="2306" applyFont="1" applyFill="1" applyBorder="1" applyAlignment="1">
      <alignment horizontal="centerContinuous"/>
    </xf>
    <xf numFmtId="0" fontId="64" fillId="63" borderId="65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7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7" xfId="1819" applyNumberFormat="1" applyFont="1" applyFill="1" applyBorder="1" applyAlignment="1">
      <alignment horizontal="center"/>
    </xf>
    <xf numFmtId="0" fontId="65" fillId="73" borderId="0" xfId="2306" applyFont="1" applyFill="1"/>
    <xf numFmtId="0" fontId="67" fillId="73" borderId="112" xfId="2306" applyFont="1" applyFill="1" applyBorder="1" applyAlignment="1">
      <alignment horizontal="center"/>
    </xf>
    <xf numFmtId="0" fontId="65" fillId="74" borderId="0" xfId="2306" applyFont="1" applyFill="1"/>
    <xf numFmtId="0" fontId="67" fillId="74" borderId="112" xfId="2306" applyFont="1" applyFill="1" applyBorder="1" applyAlignment="1">
      <alignment horizontal="center"/>
    </xf>
    <xf numFmtId="0" fontId="65" fillId="75" borderId="0" xfId="2306" applyFont="1" applyFill="1"/>
    <xf numFmtId="0" fontId="65" fillId="75" borderId="57" xfId="2306" applyFont="1" applyFill="1" applyBorder="1"/>
    <xf numFmtId="0" fontId="65" fillId="0" borderId="0" xfId="2306" applyFont="1"/>
    <xf numFmtId="0" fontId="14" fillId="17" borderId="30" xfId="2306" applyFont="1" applyFill="1" applyBorder="1"/>
    <xf numFmtId="0" fontId="14" fillId="17" borderId="101" xfId="0" applyFont="1" applyFill="1" applyBorder="1" applyAlignment="1">
      <alignment horizontal="centerContinuous"/>
    </xf>
    <xf numFmtId="171" fontId="14" fillId="73" borderId="0" xfId="2306" applyNumberFormat="1" applyFont="1" applyFill="1" applyBorder="1" applyAlignment="1">
      <alignment horizontal="center"/>
    </xf>
    <xf numFmtId="4" fontId="67" fillId="73" borderId="55" xfId="2306" applyNumberFormat="1" applyFont="1" applyFill="1" applyBorder="1" applyAlignment="1">
      <alignment horizontal="center"/>
    </xf>
    <xf numFmtId="4" fontId="65" fillId="74" borderId="0" xfId="2306" applyNumberFormat="1" applyFont="1" applyFill="1"/>
    <xf numFmtId="4" fontId="67" fillId="74" borderId="55" xfId="2306" applyNumberFormat="1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Continuous"/>
    </xf>
    <xf numFmtId="0" fontId="65" fillId="0" borderId="113" xfId="2306" applyFont="1" applyBorder="1"/>
    <xf numFmtId="0" fontId="65" fillId="0" borderId="57" xfId="2306" applyFont="1" applyBorder="1"/>
    <xf numFmtId="0" fontId="15" fillId="73" borderId="88" xfId="2306" applyFont="1" applyFill="1" applyBorder="1" applyAlignment="1">
      <alignment horizontal="left" indent="1"/>
    </xf>
    <xf numFmtId="0" fontId="14" fillId="73" borderId="35" xfId="2306" applyFont="1" applyFill="1" applyBorder="1" applyAlignment="1">
      <alignment horizontal="centerContinuous"/>
    </xf>
    <xf numFmtId="0" fontId="14" fillId="73" borderId="34" xfId="2306" applyFont="1" applyFill="1" applyBorder="1" applyAlignment="1">
      <alignment horizontal="centerContinuous"/>
    </xf>
    <xf numFmtId="0" fontId="65" fillId="73" borderId="34" xfId="2306" applyFont="1" applyFill="1" applyBorder="1" applyAlignment="1">
      <alignment horizontal="centerContinuous"/>
    </xf>
    <xf numFmtId="0" fontId="65" fillId="73" borderId="7" xfId="2306" applyFont="1" applyFill="1" applyBorder="1"/>
    <xf numFmtId="4" fontId="67" fillId="73" borderId="56" xfId="2306" applyNumberFormat="1" applyFont="1" applyFill="1" applyBorder="1" applyAlignment="1">
      <alignment horizontal="center"/>
    </xf>
    <xf numFmtId="4" fontId="65" fillId="74" borderId="88" xfId="2306" applyNumberFormat="1" applyFont="1" applyFill="1" applyBorder="1" applyAlignment="1">
      <alignment horizontal="center"/>
    </xf>
    <xf numFmtId="0" fontId="65" fillId="74" borderId="7" xfId="2306" applyFont="1" applyFill="1" applyBorder="1"/>
    <xf numFmtId="4" fontId="67" fillId="74" borderId="56" xfId="2306" applyNumberFormat="1" applyFont="1" applyFill="1" applyBorder="1" applyAlignment="1">
      <alignment horizontal="center"/>
    </xf>
    <xf numFmtId="0" fontId="65" fillId="75" borderId="88" xfId="2306" applyFont="1" applyFill="1" applyBorder="1"/>
    <xf numFmtId="0" fontId="65" fillId="75" borderId="7" xfId="2306" applyFont="1" applyFill="1" applyBorder="1"/>
    <xf numFmtId="0" fontId="65" fillId="75" borderId="58" xfId="2306" applyFont="1" applyFill="1" applyBorder="1"/>
    <xf numFmtId="0" fontId="14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6" xfId="0" applyFont="1" applyFill="1" applyBorder="1" applyAlignment="1">
      <alignment horizontal="center" vertical="center"/>
    </xf>
    <xf numFmtId="0" fontId="14" fillId="17" borderId="114" xfId="1819" applyFont="1" applyFill="1" applyBorder="1" applyAlignment="1">
      <alignment horizontal="center" vertical="center"/>
    </xf>
    <xf numFmtId="4" fontId="14" fillId="17" borderId="65" xfId="1819" applyNumberFormat="1" applyFont="1" applyFill="1" applyBorder="1" applyAlignment="1">
      <alignment horizontal="center" vertical="center" wrapText="1"/>
    </xf>
    <xf numFmtId="0" fontId="14" fillId="73" borderId="73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8" fillId="73" borderId="115" xfId="2306" applyFont="1" applyFill="1" applyBorder="1" applyAlignment="1">
      <alignment horizontal="center" vertical="center" wrapText="1"/>
    </xf>
    <xf numFmtId="0" fontId="14" fillId="73" borderId="116" xfId="2306" applyFont="1" applyFill="1" applyBorder="1" applyAlignment="1">
      <alignment horizontal="center" vertical="center" wrapText="1"/>
    </xf>
    <xf numFmtId="0" fontId="14" fillId="73" borderId="33" xfId="2306" applyFont="1" applyFill="1" applyBorder="1" applyAlignment="1">
      <alignment horizontal="center" vertical="center" wrapText="1"/>
    </xf>
    <xf numFmtId="0" fontId="14" fillId="73" borderId="28" xfId="2306" applyFont="1" applyFill="1" applyBorder="1" applyAlignment="1">
      <alignment horizontal="center" vertical="center" wrapText="1"/>
    </xf>
    <xf numFmtId="4" fontId="70" fillId="73" borderId="61" xfId="2306" applyNumberFormat="1" applyFont="1" applyFill="1" applyBorder="1" applyAlignment="1">
      <alignment horizontal="center" vertical="center" wrapText="1"/>
    </xf>
    <xf numFmtId="0" fontId="14" fillId="74" borderId="73" xfId="2306" applyFont="1" applyFill="1" applyBorder="1" applyAlignment="1">
      <alignment horizontal="center" vertical="center" wrapText="1"/>
    </xf>
    <xf numFmtId="0" fontId="14" fillId="74" borderId="5" xfId="2306" applyFont="1" applyFill="1" applyBorder="1" applyAlignment="1">
      <alignment horizontal="center" vertical="center" wrapText="1"/>
    </xf>
    <xf numFmtId="4" fontId="70" fillId="74" borderId="4" xfId="2306" applyNumberFormat="1" applyFont="1" applyFill="1" applyBorder="1" applyAlignment="1">
      <alignment horizontal="center" vertical="center" wrapText="1"/>
    </xf>
    <xf numFmtId="0" fontId="71" fillId="63" borderId="73" xfId="2306" applyFont="1" applyFill="1" applyBorder="1" applyAlignment="1">
      <alignment horizontal="center" vertical="center" wrapText="1"/>
    </xf>
    <xf numFmtId="0" fontId="65" fillId="75" borderId="5" xfId="2306" applyFont="1" applyFill="1" applyBorder="1" applyAlignment="1">
      <alignment horizontal="center" vertical="center" wrapText="1"/>
    </xf>
    <xf numFmtId="0" fontId="71" fillId="75" borderId="5" xfId="2306" applyFont="1" applyFill="1" applyBorder="1" applyAlignment="1">
      <alignment horizontal="center" vertical="center" wrapText="1"/>
    </xf>
    <xf numFmtId="0" fontId="72" fillId="75" borderId="17" xfId="2306" applyFont="1" applyFill="1" applyBorder="1" applyAlignment="1">
      <alignment horizontal="center" vertical="center" wrapText="1"/>
    </xf>
    <xf numFmtId="0" fontId="65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4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68" fillId="0" borderId="12" xfId="2306" applyFont="1" applyBorder="1" applyAlignment="1">
      <alignment horizontal="center"/>
    </xf>
    <xf numFmtId="0" fontId="67" fillId="0" borderId="30" xfId="2306" applyFont="1" applyBorder="1" applyAlignment="1">
      <alignment horizontal="center"/>
    </xf>
    <xf numFmtId="0" fontId="67" fillId="0" borderId="32" xfId="2306" applyFont="1" applyBorder="1" applyAlignment="1">
      <alignment horizontal="center"/>
    </xf>
    <xf numFmtId="4" fontId="70" fillId="0" borderId="55" xfId="2306" applyNumberFormat="1" applyFont="1" applyBorder="1" applyAlignment="1">
      <alignment horizontal="right" indent="2"/>
    </xf>
    <xf numFmtId="0" fontId="67" fillId="0" borderId="86" xfId="2306" applyFont="1" applyBorder="1" applyAlignment="1">
      <alignment horizontal="center"/>
    </xf>
    <xf numFmtId="0" fontId="67" fillId="0" borderId="2" xfId="2306" applyFont="1" applyBorder="1" applyAlignment="1">
      <alignment horizontal="center"/>
    </xf>
    <xf numFmtId="4" fontId="70" fillId="0" borderId="0" xfId="2306" applyNumberFormat="1" applyFont="1" applyBorder="1" applyAlignment="1">
      <alignment horizontal="right" indent="2"/>
    </xf>
    <xf numFmtId="4" fontId="67" fillId="63" borderId="86" xfId="2306" applyNumberFormat="1" applyFont="1" applyFill="1" applyBorder="1" applyAlignment="1">
      <alignment horizontal="center"/>
    </xf>
    <xf numFmtId="4" fontId="65" fillId="75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4" fontId="65" fillId="0" borderId="3" xfId="2306" applyNumberFormat="1" applyFont="1" applyBorder="1" applyAlignment="1">
      <alignment horizontal="center"/>
    </xf>
    <xf numFmtId="3" fontId="74" fillId="75" borderId="13" xfId="2306" applyNumberFormat="1" applyFont="1" applyFill="1" applyBorder="1" applyAlignment="1">
      <alignment horizontal="center"/>
    </xf>
    <xf numFmtId="0" fontId="65" fillId="17" borderId="29" xfId="2306" applyFont="1" applyFill="1" applyBorder="1"/>
    <xf numFmtId="0" fontId="0" fillId="17" borderId="91" xfId="0" applyFill="1" applyBorder="1"/>
    <xf numFmtId="0" fontId="6" fillId="17" borderId="84" xfId="0" applyFont="1" applyFill="1" applyBorder="1" applyAlignment="1">
      <alignment horizontal="center"/>
    </xf>
    <xf numFmtId="0" fontId="15" fillId="0" borderId="105" xfId="1819" applyFont="1" applyBorder="1" applyAlignment="1">
      <alignment horizontal="center"/>
    </xf>
    <xf numFmtId="4" fontId="14" fillId="17" borderId="58" xfId="1819" applyNumberFormat="1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68" fillId="0" borderId="14" xfId="2306" applyFont="1" applyBorder="1" applyAlignment="1">
      <alignment horizontal="center"/>
    </xf>
    <xf numFmtId="0" fontId="73" fillId="0" borderId="98" xfId="2306" applyFont="1" applyBorder="1" applyAlignment="1">
      <alignment horizontal="center"/>
    </xf>
    <xf numFmtId="0" fontId="67" fillId="0" borderId="25" xfId="2306" applyFont="1" applyBorder="1" applyAlignment="1">
      <alignment horizontal="center"/>
    </xf>
    <xf numFmtId="0" fontId="67" fillId="0" borderId="47" xfId="2306" applyFont="1" applyBorder="1" applyAlignment="1">
      <alignment horizontal="center"/>
    </xf>
    <xf numFmtId="4" fontId="70" fillId="0" borderId="56" xfId="2306" applyNumberFormat="1" applyFont="1" applyBorder="1" applyAlignment="1">
      <alignment horizontal="right" indent="2"/>
    </xf>
    <xf numFmtId="0" fontId="67" fillId="0" borderId="74" xfId="2306" applyFont="1" applyBorder="1" applyAlignment="1">
      <alignment horizontal="center"/>
    </xf>
    <xf numFmtId="0" fontId="67" fillId="0" borderId="3" xfId="2306" applyFont="1" applyBorder="1" applyAlignment="1">
      <alignment horizontal="center"/>
    </xf>
    <xf numFmtId="4" fontId="70" fillId="0" borderId="7" xfId="2306" applyNumberFormat="1" applyFont="1" applyBorder="1" applyAlignment="1">
      <alignment horizontal="right" indent="2"/>
    </xf>
    <xf numFmtId="4" fontId="67" fillId="63" borderId="74" xfId="2306" applyNumberFormat="1" applyFont="1" applyFill="1" applyBorder="1" applyAlignment="1">
      <alignment horizontal="center"/>
    </xf>
    <xf numFmtId="4" fontId="65" fillId="75" borderId="3" xfId="2306" applyNumberFormat="1" applyFont="1" applyFill="1" applyBorder="1" applyAlignment="1">
      <alignment horizontal="right" indent="2"/>
    </xf>
    <xf numFmtId="3" fontId="74" fillId="75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48" fillId="17" borderId="84" xfId="0" applyFont="1" applyFill="1" applyBorder="1" applyAlignment="1">
      <alignment horizontal="center"/>
    </xf>
    <xf numFmtId="0" fontId="15" fillId="0" borderId="95" xfId="1819" applyFont="1" applyBorder="1" applyAlignment="1">
      <alignment horizontal="center"/>
    </xf>
    <xf numFmtId="4" fontId="14" fillId="17" borderId="59" xfId="1819" applyNumberFormat="1" applyFont="1" applyFill="1" applyBorder="1" applyAlignment="1">
      <alignment horizontal="center"/>
    </xf>
    <xf numFmtId="0" fontId="14" fillId="18" borderId="19" xfId="0" applyFont="1" applyFill="1" applyBorder="1" applyAlignment="1">
      <alignment horizontal="center"/>
    </xf>
    <xf numFmtId="0" fontId="73" fillId="0" borderId="81" xfId="2306" applyFont="1" applyFill="1" applyBorder="1" applyAlignment="1">
      <alignment horizontal="center"/>
    </xf>
    <xf numFmtId="0" fontId="67" fillId="0" borderId="27" xfId="2306" applyFont="1" applyBorder="1" applyAlignment="1">
      <alignment horizontal="center"/>
    </xf>
    <xf numFmtId="4" fontId="70" fillId="0" borderId="60" xfId="2306" applyNumberFormat="1" applyFont="1" applyBorder="1" applyAlignment="1">
      <alignment horizontal="right" indent="2"/>
    </xf>
    <xf numFmtId="0" fontId="67" fillId="0" borderId="75" xfId="2306" applyFont="1" applyBorder="1" applyAlignment="1">
      <alignment horizontal="center"/>
    </xf>
    <xf numFmtId="0" fontId="67" fillId="0" borderId="9" xfId="2306" applyFont="1" applyBorder="1" applyAlignment="1">
      <alignment horizontal="center"/>
    </xf>
    <xf numFmtId="4" fontId="70" fillId="0" borderId="8" xfId="2306" applyNumberFormat="1" applyFont="1" applyBorder="1" applyAlignment="1">
      <alignment horizontal="right" indent="2"/>
    </xf>
    <xf numFmtId="4" fontId="67" fillId="63" borderId="75" xfId="2306" applyNumberFormat="1" applyFont="1" applyFill="1" applyBorder="1" applyAlignment="1">
      <alignment horizontal="center"/>
    </xf>
    <xf numFmtId="4" fontId="65" fillId="75" borderId="9" xfId="2306" applyNumberFormat="1" applyFont="1" applyFill="1" applyBorder="1" applyAlignment="1">
      <alignment horizontal="right" indent="2"/>
    </xf>
    <xf numFmtId="174" fontId="65" fillId="0" borderId="9" xfId="2306" applyNumberFormat="1" applyFont="1" applyBorder="1" applyAlignment="1">
      <alignment horizontal="center"/>
    </xf>
    <xf numFmtId="3" fontId="74" fillId="75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4" fillId="29" borderId="8" xfId="2306" applyNumberFormat="1" applyFont="1" applyFill="1" applyBorder="1" applyAlignment="1">
      <alignment horizontal="center"/>
    </xf>
    <xf numFmtId="0" fontId="73" fillId="0" borderId="81" xfId="2306" applyFont="1" applyBorder="1" applyAlignment="1">
      <alignment horizontal="center"/>
    </xf>
    <xf numFmtId="0" fontId="0" fillId="0" borderId="44" xfId="0" applyBorder="1"/>
    <xf numFmtId="0" fontId="18" fillId="17" borderId="84" xfId="0" applyFont="1" applyFill="1" applyBorder="1" applyAlignment="1">
      <alignment horizontal="center"/>
    </xf>
    <xf numFmtId="0" fontId="75" fillId="29" borderId="8" xfId="2306" applyFont="1" applyFill="1" applyBorder="1" applyAlignment="1">
      <alignment horizontal="center" vertical="center" wrapText="1"/>
    </xf>
    <xf numFmtId="0" fontId="47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74" fillId="75" borderId="60" xfId="2306" applyNumberFormat="1" applyFont="1" applyFill="1" applyBorder="1" applyAlignment="1">
      <alignment horizontal="center"/>
    </xf>
    <xf numFmtId="0" fontId="65" fillId="17" borderId="0" xfId="2306" applyFont="1" applyFill="1" applyBorder="1"/>
    <xf numFmtId="0" fontId="0" fillId="0" borderId="53" xfId="0" applyBorder="1"/>
    <xf numFmtId="0" fontId="6" fillId="17" borderId="100" xfId="0" applyFont="1" applyFill="1" applyBorder="1" applyAlignment="1">
      <alignment horizontal="center"/>
    </xf>
    <xf numFmtId="0" fontId="15" fillId="0" borderId="103" xfId="1819" applyFont="1" applyBorder="1" applyAlignment="1">
      <alignment horizontal="center"/>
    </xf>
    <xf numFmtId="4" fontId="14" fillId="17" borderId="72" xfId="1819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68" fillId="0" borderId="15" xfId="2306" applyFont="1" applyBorder="1" applyAlignment="1">
      <alignment horizontal="center"/>
    </xf>
    <xf numFmtId="0" fontId="67" fillId="0" borderId="33" xfId="2306" applyFont="1" applyBorder="1" applyAlignment="1">
      <alignment horizontal="center"/>
    </xf>
    <xf numFmtId="0" fontId="67" fillId="0" borderId="28" xfId="2306" applyFont="1" applyBorder="1" applyAlignment="1">
      <alignment horizontal="center"/>
    </xf>
    <xf numFmtId="4" fontId="70" fillId="0" borderId="61" xfId="2306" applyNumberFormat="1" applyFont="1" applyBorder="1" applyAlignment="1">
      <alignment horizontal="right" indent="2"/>
    </xf>
    <xf numFmtId="0" fontId="67" fillId="0" borderId="77" xfId="2306" applyFont="1" applyBorder="1" applyAlignment="1">
      <alignment horizontal="center"/>
    </xf>
    <xf numFmtId="0" fontId="67" fillId="0" borderId="6" xfId="2306" applyFont="1" applyBorder="1" applyAlignment="1">
      <alignment horizontal="center"/>
    </xf>
    <xf numFmtId="4" fontId="70" fillId="0" borderId="10" xfId="2306" applyNumberFormat="1" applyFont="1" applyBorder="1" applyAlignment="1">
      <alignment horizontal="right" indent="2"/>
    </xf>
    <xf numFmtId="4" fontId="67" fillId="63" borderId="77" xfId="2306" applyNumberFormat="1" applyFont="1" applyFill="1" applyBorder="1" applyAlignment="1">
      <alignment horizontal="center"/>
    </xf>
    <xf numFmtId="4" fontId="65" fillId="75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4" fontId="65" fillId="0" borderId="6" xfId="2306" applyNumberFormat="1" applyFont="1" applyBorder="1" applyAlignment="1">
      <alignment horizontal="center"/>
    </xf>
    <xf numFmtId="3" fontId="74" fillId="75" borderId="61" xfId="2306" applyNumberFormat="1" applyFont="1" applyFill="1" applyBorder="1" applyAlignment="1">
      <alignment horizontal="center"/>
    </xf>
    <xf numFmtId="0" fontId="65" fillId="17" borderId="4" xfId="2306" applyFont="1" applyFill="1" applyBorder="1"/>
    <xf numFmtId="0" fontId="8" fillId="17" borderId="0" xfId="2306" applyFont="1" applyFill="1" applyBorder="1"/>
    <xf numFmtId="0" fontId="63" fillId="17" borderId="0" xfId="2306" applyFont="1" applyFill="1" applyBorder="1"/>
    <xf numFmtId="0" fontId="63" fillId="18" borderId="0" xfId="2306" applyFont="1" applyFill="1" applyBorder="1"/>
    <xf numFmtId="0" fontId="63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4" fillId="0" borderId="0" xfId="2306" applyNumberFormat="1" applyFont="1"/>
    <xf numFmtId="4" fontId="63" fillId="0" borderId="0" xfId="2306" applyNumberFormat="1" applyFont="1"/>
    <xf numFmtId="0" fontId="7" fillId="0" borderId="0" xfId="1819" applyFont="1" applyAlignment="1">
      <alignment horizontal="center"/>
    </xf>
    <xf numFmtId="0" fontId="76" fillId="73" borderId="0" xfId="2306" applyFont="1" applyFill="1" applyAlignment="1">
      <alignment horizontal="center"/>
    </xf>
    <xf numFmtId="0" fontId="77" fillId="73" borderId="0" xfId="2306" quotePrefix="1" applyFont="1" applyFill="1" applyBorder="1" applyAlignment="1">
      <alignment horizontal="center"/>
    </xf>
    <xf numFmtId="0" fontId="76" fillId="73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8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2" fontId="7" fillId="0" borderId="36" xfId="1" applyNumberFormat="1" applyFont="1" applyFill="1" applyBorder="1"/>
    <xf numFmtId="172" fontId="7" fillId="0" borderId="33" xfId="1" applyNumberFormat="1" applyFont="1" applyBorder="1"/>
    <xf numFmtId="172" fontId="7" fillId="0" borderId="39" xfId="1" applyNumberFormat="1" applyFont="1" applyFill="1" applyBorder="1"/>
    <xf numFmtId="172" fontId="7" fillId="0" borderId="15" xfId="1" applyNumberFormat="1" applyFont="1" applyBorder="1"/>
    <xf numFmtId="172" fontId="7" fillId="0" borderId="49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indent="2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4" fontId="0" fillId="17" borderId="111" xfId="0" applyNumberFormat="1" applyFont="1" applyFill="1" applyBorder="1" applyAlignment="1">
      <alignment horizontal="center"/>
    </xf>
    <xf numFmtId="0" fontId="0" fillId="0" borderId="71" xfId="0" applyFill="1" applyBorder="1" applyAlignment="1">
      <alignment horizontal="center" vertical="center"/>
    </xf>
    <xf numFmtId="0" fontId="18" fillId="17" borderId="90" xfId="0" applyFont="1" applyFill="1" applyBorder="1" applyAlignment="1">
      <alignment horizontal="center"/>
    </xf>
    <xf numFmtId="0" fontId="0" fillId="17" borderId="80" xfId="0" applyFill="1" applyBorder="1" applyAlignment="1">
      <alignment horizontal="center" vertical="center"/>
    </xf>
    <xf numFmtId="164" fontId="6" fillId="0" borderId="92" xfId="0" applyNumberFormat="1" applyFont="1" applyFill="1" applyBorder="1" applyAlignment="1">
      <alignment horizontal="center"/>
    </xf>
    <xf numFmtId="1" fontId="0" fillId="0" borderId="93" xfId="0" applyNumberFormat="1" applyFont="1" applyFill="1" applyBorder="1" applyAlignment="1">
      <alignment horizontal="center"/>
    </xf>
    <xf numFmtId="164" fontId="6" fillId="0" borderId="93" xfId="0" applyNumberFormat="1" applyFont="1" applyFill="1" applyBorder="1" applyAlignment="1">
      <alignment horizontal="center"/>
    </xf>
    <xf numFmtId="0" fontId="6" fillId="0" borderId="9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7" fontId="0" fillId="0" borderId="71" xfId="0" applyNumberFormat="1" applyBorder="1"/>
    <xf numFmtId="164" fontId="6" fillId="0" borderId="69" xfId="0" applyNumberFormat="1" applyFont="1" applyFill="1" applyBorder="1" applyAlignment="1">
      <alignment horizontal="center"/>
    </xf>
    <xf numFmtId="164" fontId="6" fillId="0" borderId="70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6" borderId="27" xfId="0" applyFill="1" applyBorder="1" applyAlignment="1">
      <alignment horizontal="center" vertical="center"/>
    </xf>
    <xf numFmtId="0" fontId="0" fillId="76" borderId="27" xfId="0" applyNumberForma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/>
    </xf>
    <xf numFmtId="0" fontId="6" fillId="20" borderId="49" xfId="0" applyFont="1" applyFill="1" applyBorder="1" applyAlignment="1">
      <alignment horizontal="centerContinuous"/>
    </xf>
    <xf numFmtId="4" fontId="6" fillId="16" borderId="97" xfId="0" applyNumberFormat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5" fillId="17" borderId="119" xfId="4" applyFont="1" applyFill="1" applyBorder="1"/>
    <xf numFmtId="0" fontId="14" fillId="17" borderId="48" xfId="0" applyFont="1" applyFill="1" applyBorder="1" applyAlignment="1">
      <alignment horizontal="center"/>
    </xf>
    <xf numFmtId="0" fontId="6" fillId="17" borderId="32" xfId="0" applyFont="1" applyFill="1" applyBorder="1"/>
    <xf numFmtId="0" fontId="50" fillId="17" borderId="48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0" fontId="22" fillId="0" borderId="4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6" fontId="8" fillId="0" borderId="47" xfId="1" applyNumberFormat="1" applyFont="1" applyBorder="1" applyAlignment="1">
      <alignment vertical="center"/>
    </xf>
    <xf numFmtId="167" fontId="8" fillId="0" borderId="27" xfId="0" applyNumberFormat="1" applyFont="1" applyFill="1" applyBorder="1" applyAlignment="1">
      <alignment vertical="center"/>
    </xf>
    <xf numFmtId="166" fontId="8" fillId="0" borderId="21" xfId="1" applyNumberFormat="1" applyFont="1" applyFill="1" applyBorder="1" applyAlignment="1">
      <alignment vertical="center"/>
    </xf>
    <xf numFmtId="167" fontId="7" fillId="0" borderId="25" xfId="0" applyNumberFormat="1" applyFont="1" applyBorder="1" applyAlignment="1">
      <alignment horizontal="center"/>
    </xf>
    <xf numFmtId="4" fontId="8" fillId="0" borderId="74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69" borderId="18" xfId="0" applyFont="1" applyFill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5" fillId="17" borderId="36" xfId="4" applyFont="1" applyFill="1" applyBorder="1"/>
    <xf numFmtId="0" fontId="18" fillId="17" borderId="102" xfId="0" applyFont="1" applyFill="1" applyBorder="1" applyAlignment="1">
      <alignment horizontal="center"/>
    </xf>
    <xf numFmtId="0" fontId="75" fillId="29" borderId="10" xfId="2306" applyFont="1" applyFill="1" applyBorder="1" applyAlignment="1">
      <alignment horizontal="center" vertical="center" wrapText="1"/>
    </xf>
    <xf numFmtId="0" fontId="75" fillId="29" borderId="23" xfId="2306" applyFont="1" applyFill="1" applyBorder="1" applyAlignment="1">
      <alignment horizontal="center" vertical="center" wrapText="1"/>
    </xf>
    <xf numFmtId="0" fontId="73" fillId="0" borderId="117" xfId="2306" applyFont="1" applyBorder="1" applyAlignment="1">
      <alignment horizontal="center"/>
    </xf>
    <xf numFmtId="0" fontId="73" fillId="0" borderId="118" xfId="2306" applyFont="1" applyBorder="1" applyAlignment="1">
      <alignment horizontal="center"/>
    </xf>
    <xf numFmtId="3" fontId="21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78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0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9" fontId="59" fillId="0" borderId="9" xfId="2" applyFont="1" applyFill="1" applyBorder="1" applyAlignment="1">
      <alignment horizontal="right" indent="1"/>
    </xf>
    <xf numFmtId="3" fontId="59" fillId="0" borderId="20" xfId="0" applyNumberFormat="1" applyFont="1" applyFill="1" applyBorder="1" applyAlignment="1">
      <alignment horizontal="right" indent="1"/>
    </xf>
    <xf numFmtId="9" fontId="59" fillId="0" borderId="20" xfId="2" applyFont="1" applyFill="1" applyBorder="1" applyAlignment="1">
      <alignment horizontal="right" indent="1"/>
    </xf>
    <xf numFmtId="0" fontId="26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  <xf numFmtId="0" fontId="26" fillId="40" borderId="67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6" fillId="17" borderId="0" xfId="0" applyFont="1" applyFill="1" applyBorder="1" applyAlignment="1">
      <alignment horizontal="center"/>
    </xf>
    <xf numFmtId="167" fontId="57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3" fillId="77" borderId="9" xfId="3" applyNumberFormat="1" applyFont="1" applyFill="1" applyBorder="1" applyAlignment="1">
      <alignment horizontal="right" indent="1"/>
    </xf>
    <xf numFmtId="167" fontId="58" fillId="77" borderId="9" xfId="0" applyNumberFormat="1" applyFont="1" applyFill="1" applyBorder="1" applyAlignment="1">
      <alignment horizontal="right"/>
    </xf>
    <xf numFmtId="9" fontId="79" fillId="77" borderId="9" xfId="5" applyFont="1" applyFill="1" applyBorder="1" applyAlignment="1">
      <alignment horizontal="right" indent="1"/>
    </xf>
    <xf numFmtId="167" fontId="60" fillId="77" borderId="9" xfId="5" applyNumberFormat="1" applyFont="1" applyFill="1" applyBorder="1" applyAlignment="1"/>
    <xf numFmtId="0" fontId="10" fillId="17" borderId="120" xfId="4" applyFont="1" applyFill="1" applyBorder="1"/>
    <xf numFmtId="3" fontId="10" fillId="0" borderId="64" xfId="5" applyNumberFormat="1" applyFont="1" applyFill="1" applyBorder="1" applyAlignment="1">
      <alignment horizontal="center"/>
    </xf>
    <xf numFmtId="167" fontId="11" fillId="0" borderId="24" xfId="3" applyNumberFormat="1" applyFont="1" applyBorder="1" applyAlignment="1">
      <alignment horizontal="right" indent="1"/>
    </xf>
    <xf numFmtId="3" fontId="8" fillId="0" borderId="24" xfId="0" applyNumberFormat="1" applyFont="1" applyBorder="1" applyAlignment="1">
      <alignment horizontal="right" indent="1"/>
    </xf>
    <xf numFmtId="9" fontId="8" fillId="0" borderId="24" xfId="2" applyFont="1" applyBorder="1" applyAlignment="1">
      <alignment horizontal="right" indent="1"/>
    </xf>
    <xf numFmtId="3" fontId="8" fillId="0" borderId="68" xfId="0" applyNumberFormat="1" applyFont="1" applyBorder="1" applyAlignment="1">
      <alignment horizontal="right" indent="1"/>
    </xf>
    <xf numFmtId="3" fontId="8" fillId="0" borderId="64" xfId="0" applyNumberFormat="1" applyFont="1" applyBorder="1" applyAlignment="1">
      <alignment horizontal="right" indent="1"/>
    </xf>
    <xf numFmtId="9" fontId="8" fillId="0" borderId="68" xfId="2" applyFont="1" applyBorder="1" applyAlignment="1">
      <alignment horizontal="right" indent="1"/>
    </xf>
    <xf numFmtId="0" fontId="0" fillId="17" borderId="26" xfId="0" applyFont="1" applyFill="1" applyBorder="1" applyAlignment="1">
      <alignment horizontal="center"/>
    </xf>
    <xf numFmtId="165" fontId="8" fillId="17" borderId="83" xfId="1" applyNumberFormat="1" applyFont="1" applyFill="1" applyBorder="1"/>
    <xf numFmtId="3" fontId="8" fillId="0" borderId="120" xfId="0" applyNumberFormat="1" applyFont="1" applyBorder="1" applyAlignment="1">
      <alignment horizontal="center"/>
    </xf>
    <xf numFmtId="167" fontId="8" fillId="27" borderId="23" xfId="0" applyNumberFormat="1" applyFont="1" applyFill="1" applyBorder="1" applyAlignment="1">
      <alignment horizontal="center"/>
    </xf>
    <xf numFmtId="0" fontId="7" fillId="0" borderId="62" xfId="0" applyFont="1" applyBorder="1" applyAlignment="1">
      <alignment horizontal="center"/>
    </xf>
    <xf numFmtId="165" fontId="7" fillId="0" borderId="83" xfId="1" applyNumberFormat="1" applyFont="1" applyBorder="1"/>
    <xf numFmtId="0" fontId="8" fillId="17" borderId="64" xfId="0" applyFont="1" applyFill="1" applyBorder="1" applyAlignment="1">
      <alignment horizontal="center"/>
    </xf>
    <xf numFmtId="0" fontId="8" fillId="17" borderId="23" xfId="0" applyFont="1" applyFill="1" applyBorder="1" applyAlignment="1">
      <alignment horizontal="center"/>
    </xf>
    <xf numFmtId="9" fontId="8" fillId="0" borderId="122" xfId="2" applyFont="1" applyBorder="1" applyAlignment="1">
      <alignment horizontal="center"/>
    </xf>
    <xf numFmtId="0" fontId="8" fillId="64" borderId="62" xfId="0" applyFont="1" applyFill="1" applyBorder="1" applyAlignment="1">
      <alignment horizontal="center"/>
    </xf>
    <xf numFmtId="0" fontId="8" fillId="0" borderId="120" xfId="0" applyFont="1" applyFill="1" applyBorder="1"/>
    <xf numFmtId="9" fontId="7" fillId="0" borderId="24" xfId="2" applyFont="1" applyBorder="1" applyAlignment="1">
      <alignment horizontal="center" vertical="center"/>
    </xf>
    <xf numFmtId="0" fontId="7" fillId="0" borderId="64" xfId="1819" applyFont="1" applyBorder="1"/>
    <xf numFmtId="9" fontId="7" fillId="0" borderId="24" xfId="2302" applyFont="1" applyBorder="1"/>
    <xf numFmtId="9" fontId="7" fillId="0" borderId="68" xfId="2302" applyFont="1" applyBorder="1"/>
    <xf numFmtId="168" fontId="7" fillId="45" borderId="64" xfId="1" applyNumberFormat="1" applyFont="1" applyFill="1" applyBorder="1"/>
    <xf numFmtId="170" fontId="7" fillId="45" borderId="24" xfId="1819" applyNumberFormat="1" applyFont="1" applyFill="1" applyBorder="1"/>
    <xf numFmtId="11" fontId="7" fillId="45" borderId="24" xfId="1819" applyNumberFormat="1" applyFont="1" applyFill="1" applyBorder="1"/>
    <xf numFmtId="168" fontId="8" fillId="45" borderId="24" xfId="1" applyNumberFormat="1" applyFont="1" applyFill="1" applyBorder="1"/>
    <xf numFmtId="11" fontId="7" fillId="15" borderId="64" xfId="1819" applyNumberFormat="1" applyFont="1" applyFill="1" applyBorder="1"/>
    <xf numFmtId="168" fontId="8" fillId="15" borderId="24" xfId="1" applyNumberFormat="1" applyFont="1" applyFill="1" applyBorder="1"/>
    <xf numFmtId="0" fontId="7" fillId="0" borderId="8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22" fillId="0" borderId="64" xfId="0" applyFont="1" applyBorder="1" applyAlignment="1">
      <alignment horizontal="center" vertical="center"/>
    </xf>
    <xf numFmtId="3" fontId="7" fillId="46" borderId="24" xfId="0" applyNumberFormat="1" applyFont="1" applyFill="1" applyBorder="1" applyAlignment="1">
      <alignment horizontal="center" vertical="center"/>
    </xf>
    <xf numFmtId="3" fontId="7" fillId="29" borderId="68" xfId="0" applyNumberFormat="1" applyFont="1" applyFill="1" applyBorder="1" applyAlignment="1">
      <alignment horizontal="center" vertical="center"/>
    </xf>
    <xf numFmtId="166" fontId="8" fillId="0" borderId="83" xfId="1" applyNumberFormat="1" applyFont="1" applyBorder="1" applyAlignment="1">
      <alignment vertical="center"/>
    </xf>
    <xf numFmtId="167" fontId="7" fillId="0" borderId="120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4" fontId="8" fillId="0" borderId="76" xfId="0" applyNumberFormat="1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0" fontId="7" fillId="69" borderId="68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68" borderId="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/>
    </xf>
    <xf numFmtId="0" fontId="45" fillId="0" borderId="122" xfId="0" applyFont="1" applyBorder="1" applyAlignment="1">
      <alignment horizontal="center" vertical="center" wrapText="1"/>
    </xf>
    <xf numFmtId="165" fontId="7" fillId="17" borderId="83" xfId="1" applyNumberFormat="1" applyFont="1" applyFill="1" applyBorder="1"/>
    <xf numFmtId="0" fontId="7" fillId="17" borderId="120" xfId="0" applyFont="1" applyFill="1" applyBorder="1"/>
    <xf numFmtId="9" fontId="8" fillId="0" borderId="83" xfId="2" applyFont="1" applyBorder="1" applyAlignment="1">
      <alignment horizontal="center"/>
    </xf>
    <xf numFmtId="9" fontId="8" fillId="0" borderId="120" xfId="2" applyFont="1" applyBorder="1" applyAlignment="1">
      <alignment horizontal="center"/>
    </xf>
    <xf numFmtId="9" fontId="7" fillId="17" borderId="83" xfId="2" applyFont="1" applyFill="1" applyBorder="1"/>
    <xf numFmtId="0" fontId="7" fillId="17" borderId="83" xfId="0" applyFont="1" applyFill="1" applyBorder="1"/>
    <xf numFmtId="9" fontId="7" fillId="0" borderId="24" xfId="0" applyNumberFormat="1" applyFont="1" applyBorder="1"/>
    <xf numFmtId="165" fontId="7" fillId="17" borderId="24" xfId="0" applyNumberFormat="1" applyFont="1" applyFill="1" applyBorder="1"/>
    <xf numFmtId="0" fontId="7" fillId="17" borderId="24" xfId="0" applyFont="1" applyFill="1" applyBorder="1"/>
    <xf numFmtId="0" fontId="7" fillId="17" borderId="24" xfId="0" applyFont="1" applyFill="1" applyBorder="1" applyAlignment="1">
      <alignment horizontal="center" vertical="center"/>
    </xf>
    <xf numFmtId="0" fontId="7" fillId="17" borderId="23" xfId="0" applyFont="1" applyFill="1" applyBorder="1"/>
    <xf numFmtId="0" fontId="8" fillId="17" borderId="122" xfId="0" applyFont="1" applyFill="1" applyBorder="1"/>
    <xf numFmtId="0" fontId="55" fillId="17" borderId="120" xfId="4" applyFont="1" applyFill="1" applyBorder="1"/>
    <xf numFmtId="0" fontId="0" fillId="0" borderId="64" xfId="0" applyFill="1" applyBorder="1" applyAlignment="1">
      <alignment horizontal="center" vertical="center"/>
    </xf>
    <xf numFmtId="0" fontId="6" fillId="17" borderId="124" xfId="0" applyFont="1" applyFill="1" applyBorder="1" applyAlignment="1">
      <alignment horizontal="center"/>
    </xf>
    <xf numFmtId="0" fontId="15" fillId="0" borderId="125" xfId="1819" applyFont="1" applyBorder="1" applyAlignment="1">
      <alignment horizontal="center"/>
    </xf>
    <xf numFmtId="4" fontId="14" fillId="17" borderId="121" xfId="1819" applyNumberFormat="1" applyFont="1" applyFill="1" applyBorder="1" applyAlignment="1">
      <alignment horizontal="center"/>
    </xf>
    <xf numFmtId="0" fontId="14" fillId="0" borderId="83" xfId="0" applyFont="1" applyBorder="1" applyAlignment="1">
      <alignment horizontal="center"/>
    </xf>
    <xf numFmtId="3" fontId="14" fillId="29" borderId="23" xfId="2306" applyNumberFormat="1" applyFont="1" applyFill="1" applyBorder="1" applyAlignment="1">
      <alignment horizontal="center"/>
    </xf>
    <xf numFmtId="0" fontId="73" fillId="0" borderId="126" xfId="2306" applyFont="1" applyBorder="1" applyAlignment="1">
      <alignment horizontal="center"/>
    </xf>
    <xf numFmtId="0" fontId="67" fillId="0" borderId="64" xfId="2306" applyFont="1" applyBorder="1" applyAlignment="1">
      <alignment horizontal="center"/>
    </xf>
    <xf numFmtId="4" fontId="70" fillId="0" borderId="96" xfId="2306" applyNumberFormat="1" applyFont="1" applyBorder="1" applyAlignment="1">
      <alignment horizontal="right" indent="2"/>
    </xf>
    <xf numFmtId="0" fontId="67" fillId="0" borderId="76" xfId="2306" applyFont="1" applyBorder="1" applyAlignment="1">
      <alignment horizontal="center"/>
    </xf>
    <xf numFmtId="0" fontId="67" fillId="0" borderId="24" xfId="2306" applyFont="1" applyBorder="1" applyAlignment="1">
      <alignment horizontal="center"/>
    </xf>
    <xf numFmtId="4" fontId="70" fillId="0" borderId="23" xfId="2306" applyNumberFormat="1" applyFont="1" applyBorder="1" applyAlignment="1">
      <alignment horizontal="right" indent="2"/>
    </xf>
    <xf numFmtId="4" fontId="67" fillId="63" borderId="76" xfId="2306" applyNumberFormat="1" applyFont="1" applyFill="1" applyBorder="1" applyAlignment="1">
      <alignment horizontal="center"/>
    </xf>
    <xf numFmtId="4" fontId="65" fillId="75" borderId="24" xfId="2306" applyNumberFormat="1" applyFont="1" applyFill="1" applyBorder="1" applyAlignment="1">
      <alignment horizontal="right" indent="2"/>
    </xf>
    <xf numFmtId="0" fontId="15" fillId="0" borderId="2" xfId="1819" applyFont="1" applyBorder="1" applyAlignment="1">
      <alignment horizontal="center"/>
    </xf>
    <xf numFmtId="174" fontId="65" fillId="0" borderId="24" xfId="2306" applyNumberFormat="1" applyFont="1" applyBorder="1" applyAlignment="1">
      <alignment horizontal="center"/>
    </xf>
    <xf numFmtId="3" fontId="74" fillId="75" borderId="96" xfId="2306" applyNumberFormat="1" applyFont="1" applyFill="1" applyBorder="1" applyAlignment="1">
      <alignment horizontal="center"/>
    </xf>
    <xf numFmtId="0" fontId="0" fillId="17" borderId="122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" fontId="8" fillId="17" borderId="19" xfId="1" applyNumberFormat="1" applyFont="1" applyFill="1" applyBorder="1"/>
    <xf numFmtId="2" fontId="7" fillId="0" borderId="66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0" fontId="0" fillId="0" borderId="58" xfId="0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2" fontId="11" fillId="30" borderId="91" xfId="0" applyNumberFormat="1" applyFont="1" applyFill="1" applyBorder="1" applyAlignment="1">
      <alignment horizontal="center" vertical="center"/>
    </xf>
    <xf numFmtId="2" fontId="11" fillId="31" borderId="54" xfId="0" applyNumberFormat="1" applyFont="1" applyFill="1" applyBorder="1" applyAlignment="1">
      <alignment horizontal="center" vertical="center"/>
    </xf>
    <xf numFmtId="2" fontId="11" fillId="31" borderId="91" xfId="0" applyNumberFormat="1" applyFont="1" applyFill="1" applyBorder="1" applyAlignment="1">
      <alignment horizontal="center" vertical="center"/>
    </xf>
    <xf numFmtId="2" fontId="11" fillId="32" borderId="54" xfId="0" applyNumberFormat="1" applyFont="1" applyFill="1" applyBorder="1" applyAlignment="1">
      <alignment horizontal="center" vertical="center"/>
    </xf>
    <xf numFmtId="2" fontId="11" fillId="30" borderId="54" xfId="0" applyNumberFormat="1" applyFont="1" applyFill="1" applyBorder="1" applyAlignment="1">
      <alignment horizontal="center" vertical="center"/>
    </xf>
    <xf numFmtId="2" fontId="11" fillId="30" borderId="31" xfId="0" applyNumberFormat="1" applyFont="1" applyFill="1" applyBorder="1" applyAlignment="1">
      <alignment horizontal="center" vertical="center"/>
    </xf>
    <xf numFmtId="2" fontId="11" fillId="33" borderId="54" xfId="0" applyNumberFormat="1" applyFont="1" applyFill="1" applyBorder="1" applyAlignment="1">
      <alignment horizontal="center" vertical="center"/>
    </xf>
    <xf numFmtId="2" fontId="11" fillId="32" borderId="31" xfId="0" applyNumberFormat="1" applyFont="1" applyFill="1" applyBorder="1" applyAlignment="1">
      <alignment horizontal="center" vertical="center"/>
    </xf>
    <xf numFmtId="2" fontId="11" fillId="35" borderId="54" xfId="0" applyNumberFormat="1" applyFont="1" applyFill="1" applyBorder="1" applyAlignment="1">
      <alignment horizontal="center" vertical="center"/>
    </xf>
    <xf numFmtId="2" fontId="11" fillId="34" borderId="54" xfId="0" applyNumberFormat="1" applyFont="1" applyFill="1" applyBorder="1" applyAlignment="1">
      <alignment horizontal="center" vertical="center"/>
    </xf>
    <xf numFmtId="2" fontId="11" fillId="36" borderId="54" xfId="0" applyNumberFormat="1" applyFont="1" applyFill="1" applyBorder="1" applyAlignment="1">
      <alignment horizontal="center" vertical="center"/>
    </xf>
    <xf numFmtId="2" fontId="11" fillId="31" borderId="31" xfId="0" applyNumberFormat="1" applyFont="1" applyFill="1" applyBorder="1" applyAlignment="1">
      <alignment horizontal="center" vertical="center"/>
    </xf>
    <xf numFmtId="2" fontId="11" fillId="32" borderId="44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6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0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5E2"/>
      <color rgb="FF62BC2A"/>
      <color rgb="FFE95DAD"/>
      <color rgb="FFFFF9DD"/>
      <color rgb="FF03BE7B"/>
      <color rgb="FF9C0218"/>
      <color rgb="FF62BC20"/>
      <color rgb="FFE95DB3"/>
      <color rgb="FFFFFBE7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3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43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116" t="s">
        <v>402</v>
      </c>
    </row>
    <row r="2" spans="1:23" x14ac:dyDescent="0.35">
      <c r="H2" s="1116" t="s">
        <v>401</v>
      </c>
    </row>
    <row r="3" spans="1:23" x14ac:dyDescent="0.35">
      <c r="H3" s="1117" t="s">
        <v>403</v>
      </c>
    </row>
    <row r="5" spans="1:23" ht="21" x14ac:dyDescent="0.35">
      <c r="A5" s="188" t="s">
        <v>173</v>
      </c>
      <c r="B5" s="31"/>
      <c r="C5" s="31"/>
      <c r="D5" s="30"/>
      <c r="E5" s="189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23" x14ac:dyDescent="0.35">
      <c r="A6" s="190" t="s">
        <v>220</v>
      </c>
      <c r="B6" s="31"/>
      <c r="C6" s="31"/>
      <c r="D6" s="30"/>
      <c r="E6" s="189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23" x14ac:dyDescent="0.35">
      <c r="A7" s="191" t="s">
        <v>166</v>
      </c>
      <c r="B7" s="31"/>
      <c r="C7" s="31"/>
      <c r="D7" s="30"/>
      <c r="E7" s="189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3" x14ac:dyDescent="0.35">
      <c r="A8" s="191"/>
      <c r="B8" s="31"/>
      <c r="C8" s="31"/>
      <c r="D8" s="30"/>
      <c r="E8" s="189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21.6" thickBot="1" x14ac:dyDescent="0.45">
      <c r="A9" s="632" t="s">
        <v>28</v>
      </c>
      <c r="B9" s="633" t="s">
        <v>54</v>
      </c>
      <c r="C9" s="633" t="s">
        <v>133</v>
      </c>
      <c r="D9" s="634" t="s">
        <v>134</v>
      </c>
      <c r="E9" s="144"/>
      <c r="F9" s="145"/>
      <c r="G9" s="146" t="s">
        <v>108</v>
      </c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23" ht="42.75" customHeight="1" x14ac:dyDescent="0.35">
      <c r="A10" s="1258" t="s">
        <v>29</v>
      </c>
      <c r="B10" s="635" t="s">
        <v>153</v>
      </c>
      <c r="C10" s="635" t="s">
        <v>164</v>
      </c>
      <c r="D10" s="636" t="s">
        <v>30</v>
      </c>
      <c r="E10" s="193"/>
      <c r="F10" s="194"/>
      <c r="G10" s="195" t="s">
        <v>218</v>
      </c>
      <c r="H10" s="195"/>
      <c r="I10" s="31"/>
      <c r="J10" s="112"/>
      <c r="K10" s="31"/>
      <c r="L10" s="31"/>
      <c r="M10" s="31"/>
      <c r="N10" s="31"/>
      <c r="O10" s="31"/>
      <c r="P10" s="31"/>
      <c r="Q10" s="31"/>
      <c r="R10" s="31"/>
      <c r="S10" s="31"/>
      <c r="T10" s="31"/>
      <c r="W10" s="1" t="s">
        <v>31</v>
      </c>
    </row>
    <row r="11" spans="1:23" ht="42.75" customHeight="1" x14ac:dyDescent="0.35">
      <c r="A11" s="1259"/>
      <c r="B11" s="637" t="s">
        <v>135</v>
      </c>
      <c r="C11" s="637" t="s">
        <v>282</v>
      </c>
      <c r="D11" s="638" t="s">
        <v>30</v>
      </c>
      <c r="E11" s="193"/>
      <c r="F11" s="194"/>
      <c r="G11" s="195" t="s">
        <v>219</v>
      </c>
      <c r="H11" s="195"/>
      <c r="I11" s="31"/>
      <c r="J11" s="100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63" x14ac:dyDescent="0.35">
      <c r="A12" s="1259"/>
      <c r="B12" s="639" t="s">
        <v>32</v>
      </c>
      <c r="C12" s="637" t="s">
        <v>165</v>
      </c>
      <c r="D12" s="638" t="s">
        <v>30</v>
      </c>
      <c r="E12" s="193"/>
      <c r="F12" s="194"/>
      <c r="G12" s="196" t="s">
        <v>221</v>
      </c>
      <c r="H12" s="197"/>
      <c r="I12" s="199"/>
      <c r="J12" s="206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44.25" customHeight="1" x14ac:dyDescent="0.35">
      <c r="A13" s="1259"/>
      <c r="B13" s="637" t="s">
        <v>154</v>
      </c>
      <c r="C13" s="637" t="s">
        <v>285</v>
      </c>
      <c r="D13" s="638" t="s">
        <v>30</v>
      </c>
      <c r="E13" s="193"/>
      <c r="F13" s="194"/>
      <c r="G13" s="207" t="s">
        <v>215</v>
      </c>
      <c r="H13" s="198"/>
      <c r="I13" s="113"/>
      <c r="J13" s="206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24" customHeight="1" x14ac:dyDescent="0.35">
      <c r="A14" s="1257" t="s">
        <v>34</v>
      </c>
      <c r="B14" s="640" t="s">
        <v>33</v>
      </c>
      <c r="C14" s="640" t="s">
        <v>156</v>
      </c>
      <c r="D14" s="641" t="s">
        <v>30</v>
      </c>
      <c r="E14" s="192"/>
      <c r="F14" s="31"/>
      <c r="G14" s="31"/>
      <c r="H14" s="31"/>
      <c r="I14" s="149"/>
      <c r="J14" s="189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24" customHeight="1" x14ac:dyDescent="0.35">
      <c r="A15" s="1257"/>
      <c r="B15" s="642" t="s">
        <v>35</v>
      </c>
      <c r="C15" s="643" t="s">
        <v>159</v>
      </c>
      <c r="D15" s="644" t="s">
        <v>36</v>
      </c>
      <c r="E15" s="192"/>
      <c r="F15" s="31"/>
      <c r="G15" s="31"/>
      <c r="H15" s="31"/>
      <c r="I15" s="150"/>
      <c r="J15" s="189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24" customHeight="1" x14ac:dyDescent="0.35">
      <c r="A16" s="1257"/>
      <c r="B16" s="645" t="s">
        <v>37</v>
      </c>
      <c r="C16" s="645" t="s">
        <v>157</v>
      </c>
      <c r="D16" s="644" t="s">
        <v>36</v>
      </c>
      <c r="E16" s="192"/>
      <c r="F16" s="31"/>
      <c r="G16" s="31"/>
      <c r="H16" s="31"/>
      <c r="I16" s="150"/>
      <c r="J16" s="189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49.5" customHeight="1" x14ac:dyDescent="0.35">
      <c r="A17" s="646" t="s">
        <v>287</v>
      </c>
      <c r="B17" s="647" t="s">
        <v>136</v>
      </c>
      <c r="C17" s="648" t="s">
        <v>216</v>
      </c>
      <c r="D17" s="649" t="s">
        <v>30</v>
      </c>
      <c r="E17" s="192"/>
      <c r="F17" s="31"/>
      <c r="G17" s="31"/>
      <c r="H17" s="31"/>
      <c r="I17" s="150"/>
      <c r="J17" s="189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43.5" customHeight="1" x14ac:dyDescent="0.35">
      <c r="A18" s="1255" t="s">
        <v>163</v>
      </c>
      <c r="B18" s="650" t="s">
        <v>155</v>
      </c>
      <c r="C18" s="651" t="s">
        <v>283</v>
      </c>
      <c r="D18" s="652" t="s">
        <v>30</v>
      </c>
      <c r="E18" s="192"/>
      <c r="F18" s="31"/>
      <c r="G18" s="31"/>
      <c r="H18" s="31"/>
      <c r="I18" s="150"/>
      <c r="J18" s="189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72.75" customHeight="1" x14ac:dyDescent="0.35">
      <c r="A19" s="1255"/>
      <c r="B19" s="653" t="s">
        <v>38</v>
      </c>
      <c r="C19" s="653" t="s">
        <v>158</v>
      </c>
      <c r="D19" s="654" t="s">
        <v>30</v>
      </c>
      <c r="E19" s="192"/>
      <c r="F19" s="31"/>
      <c r="G19" s="31"/>
      <c r="H19" s="31"/>
      <c r="I19" s="150"/>
      <c r="J19" s="189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68.25" customHeight="1" x14ac:dyDescent="0.35">
      <c r="A20" s="1255"/>
      <c r="B20" s="655" t="s">
        <v>286</v>
      </c>
      <c r="C20" s="655" t="s">
        <v>324</v>
      </c>
      <c r="D20" s="656" t="s">
        <v>266</v>
      </c>
      <c r="E20" s="19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28.2" customHeight="1" x14ac:dyDescent="0.35"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37.200000000000003" customHeight="1" x14ac:dyDescent="0.35">
      <c r="A22" s="1256" t="s">
        <v>39</v>
      </c>
      <c r="B22" s="142" t="s">
        <v>160</v>
      </c>
      <c r="C22" s="14" t="s">
        <v>40</v>
      </c>
      <c r="D22" s="15" t="s">
        <v>41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9.6" customHeight="1" x14ac:dyDescent="0.35">
      <c r="A23" s="1256"/>
      <c r="B23" s="16" t="s">
        <v>42</v>
      </c>
      <c r="C23" s="17" t="s">
        <v>161</v>
      </c>
      <c r="D23" s="18" t="s">
        <v>43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36" x14ac:dyDescent="0.35">
      <c r="A24" s="1256"/>
      <c r="B24" s="200" t="s">
        <v>44</v>
      </c>
      <c r="C24" s="201" t="s">
        <v>162</v>
      </c>
      <c r="D24" s="202" t="s">
        <v>43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37.200000000000003" customHeight="1" x14ac:dyDescent="0.35">
      <c r="A25" s="1256"/>
      <c r="B25" s="203" t="s">
        <v>45</v>
      </c>
      <c r="C25" s="204" t="s">
        <v>217</v>
      </c>
      <c r="D25" s="205" t="s">
        <v>43</v>
      </c>
      <c r="E25" s="18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30" spans="1:20" x14ac:dyDescent="0.35">
      <c r="A30" s="19"/>
    </row>
    <row r="31" spans="1:20" x14ac:dyDescent="0.35">
      <c r="A31" s="1"/>
    </row>
    <row r="32" spans="1:20" x14ac:dyDescent="0.35">
      <c r="A32" s="1"/>
      <c r="C32" s="20"/>
    </row>
    <row r="33" spans="1:5" x14ac:dyDescent="0.35">
      <c r="A33" s="1"/>
      <c r="C33" s="20"/>
    </row>
    <row r="34" spans="1:5" x14ac:dyDescent="0.35">
      <c r="A34" s="1"/>
    </row>
    <row r="35" spans="1:5" x14ac:dyDescent="0.35">
      <c r="A35" s="1"/>
    </row>
    <row r="37" spans="1:5" x14ac:dyDescent="0.35">
      <c r="A37" s="19"/>
    </row>
    <row r="38" spans="1:5" x14ac:dyDescent="0.35">
      <c r="A38" s="21"/>
    </row>
    <row r="39" spans="1:5" x14ac:dyDescent="0.35">
      <c r="A39" s="21"/>
      <c r="D39" s="1"/>
      <c r="E39" s="62"/>
    </row>
    <row r="40" spans="1:5" x14ac:dyDescent="0.35">
      <c r="A40" s="21"/>
      <c r="D40" s="1"/>
      <c r="E40" s="62"/>
    </row>
    <row r="41" spans="1:5" x14ac:dyDescent="0.35">
      <c r="A41" s="21"/>
      <c r="D41" s="1"/>
      <c r="E41" s="62"/>
    </row>
    <row r="42" spans="1:5" x14ac:dyDescent="0.35">
      <c r="A42" s="21"/>
      <c r="D42" s="1"/>
      <c r="E42" s="62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44"/>
  <sheetViews>
    <sheetView zoomScale="95" zoomScaleNormal="95" workbookViewId="0">
      <pane xSplit="1" ySplit="1" topLeftCell="B56" activePane="bottomRight" state="frozen"/>
      <selection activeCell="A22" sqref="A22"/>
      <selection pane="topRight" activeCell="A22" sqref="A22"/>
      <selection pane="bottomLeft" activeCell="A22" sqref="A22"/>
      <selection pane="bottomRight" activeCell="H68" sqref="H68"/>
    </sheetView>
  </sheetViews>
  <sheetFormatPr defaultColWidth="10.109375" defaultRowHeight="18" x14ac:dyDescent="0.35"/>
  <cols>
    <col min="1" max="1" width="37.44140625" style="185" customWidth="1"/>
    <col min="2" max="2" width="11.88671875" style="35" bestFit="1" customWidth="1"/>
    <col min="3" max="3" width="13.44140625" style="217" customWidth="1"/>
    <col min="4" max="4" width="14" style="217" customWidth="1"/>
    <col min="5" max="5" width="10.109375" style="217"/>
    <col min="6" max="6" width="14.44140625" style="224" customWidth="1"/>
    <col min="7" max="7" width="26" style="185" customWidth="1"/>
    <col min="8" max="8" width="16.44140625" style="185" customWidth="1"/>
    <col min="9" max="9" width="7.88671875" style="215" bestFit="1" customWidth="1"/>
    <col min="10" max="10" width="10.6640625" style="215" bestFit="1" customWidth="1"/>
    <col min="11" max="11" width="15.109375" style="186" customWidth="1"/>
    <col min="12" max="12" width="7.6640625" style="186" bestFit="1" customWidth="1"/>
    <col min="13" max="13" width="13.109375" style="186" bestFit="1" customWidth="1"/>
    <col min="14" max="14" width="11.88671875" style="186" customWidth="1"/>
    <col min="15" max="15" width="9.44140625" style="186" bestFit="1" customWidth="1"/>
    <col min="16" max="16" width="6.6640625" bestFit="1" customWidth="1"/>
    <col min="17" max="17" width="4.109375" style="189" customWidth="1"/>
    <col min="18" max="18" width="12.33203125" style="187" customWidth="1"/>
    <col min="19" max="19" width="9.6640625" style="187" customWidth="1"/>
    <col min="20" max="20" width="7.33203125" style="216" customWidth="1"/>
    <col min="26" max="16384" width="10.109375" style="185"/>
  </cols>
  <sheetData>
    <row r="1" spans="1:28" x14ac:dyDescent="0.35">
      <c r="A1" s="67" t="s">
        <v>295</v>
      </c>
      <c r="B1" s="110"/>
      <c r="C1" s="227"/>
      <c r="D1" s="227"/>
      <c r="E1" s="227"/>
      <c r="F1" s="427"/>
      <c r="G1" s="227"/>
      <c r="H1" s="227"/>
      <c r="I1" s="229"/>
      <c r="J1" s="229"/>
      <c r="K1" s="227"/>
      <c r="L1" s="227"/>
      <c r="M1" s="227"/>
      <c r="N1" s="227"/>
      <c r="O1" s="227"/>
      <c r="P1" s="227"/>
      <c r="R1" s="227"/>
      <c r="S1" s="227"/>
      <c r="T1" s="227"/>
      <c r="U1" s="189"/>
      <c r="V1" s="189"/>
      <c r="W1" s="189"/>
      <c r="X1" s="189"/>
      <c r="Y1" s="189"/>
      <c r="Z1" s="227"/>
      <c r="AA1" s="227"/>
    </row>
    <row r="2" spans="1:28" x14ac:dyDescent="0.35">
      <c r="A2" s="67"/>
      <c r="B2" s="110"/>
      <c r="C2" s="227"/>
      <c r="D2" s="227"/>
      <c r="E2" s="227"/>
      <c r="F2" s="427"/>
      <c r="G2" s="227"/>
      <c r="H2" s="227"/>
      <c r="I2" s="229"/>
      <c r="J2" s="229"/>
      <c r="K2" s="227"/>
      <c r="L2" s="227"/>
      <c r="M2" s="227"/>
      <c r="N2" s="227"/>
      <c r="O2" s="227"/>
      <c r="P2" s="227"/>
      <c r="R2" s="227"/>
      <c r="S2" s="227"/>
      <c r="T2" s="227"/>
      <c r="U2" s="189"/>
      <c r="V2" s="189"/>
      <c r="W2" s="189"/>
      <c r="X2" s="189"/>
      <c r="Y2" s="189"/>
      <c r="Z2" s="227"/>
      <c r="AA2" s="227"/>
    </row>
    <row r="3" spans="1:28" x14ac:dyDescent="0.35">
      <c r="A3" s="67"/>
      <c r="B3" s="110"/>
      <c r="C3" s="227"/>
      <c r="D3" s="227"/>
      <c r="E3" s="227"/>
      <c r="F3" s="427"/>
      <c r="G3" s="227"/>
      <c r="H3" s="227"/>
      <c r="I3" s="229"/>
      <c r="J3" s="229"/>
      <c r="K3" s="227"/>
      <c r="L3" s="227"/>
      <c r="M3" s="227"/>
      <c r="N3" s="227"/>
      <c r="O3" s="227"/>
      <c r="P3" s="227"/>
      <c r="R3" s="227"/>
      <c r="S3" s="227"/>
      <c r="T3" s="227"/>
      <c r="U3" s="189"/>
      <c r="V3" s="189"/>
      <c r="W3" s="189"/>
      <c r="X3" s="189"/>
      <c r="Y3" s="189"/>
      <c r="Z3" s="227"/>
      <c r="AA3" s="227"/>
    </row>
    <row r="4" spans="1:28" x14ac:dyDescent="0.35">
      <c r="A4" s="228"/>
      <c r="B4" s="110"/>
      <c r="C4" s="227"/>
      <c r="D4" s="227"/>
      <c r="E4" s="227"/>
      <c r="F4" s="427"/>
      <c r="G4" s="227"/>
      <c r="H4" s="227"/>
      <c r="I4" s="229"/>
      <c r="J4" s="413"/>
      <c r="K4" s="272" t="s">
        <v>202</v>
      </c>
      <c r="L4" s="272"/>
      <c r="M4" s="272"/>
      <c r="N4" s="272"/>
      <c r="O4" s="272"/>
      <c r="P4" s="414"/>
      <c r="Q4" s="151"/>
      <c r="R4" s="277" t="s">
        <v>225</v>
      </c>
      <c r="S4" s="277"/>
      <c r="T4" s="279"/>
      <c r="U4" s="227"/>
      <c r="V4" s="227"/>
      <c r="W4" s="227"/>
      <c r="X4" s="227"/>
      <c r="Y4" s="227"/>
      <c r="Z4" s="227"/>
      <c r="AA4" s="227"/>
      <c r="AB4" s="227"/>
    </row>
    <row r="5" spans="1:28" ht="54" x14ac:dyDescent="0.35">
      <c r="A5" s="245"/>
      <c r="B5" s="230" t="s">
        <v>226</v>
      </c>
      <c r="C5" s="231"/>
      <c r="D5" s="232"/>
      <c r="E5" s="246"/>
      <c r="F5" s="250"/>
      <c r="G5" s="244"/>
      <c r="H5" s="900" t="s">
        <v>264</v>
      </c>
      <c r="I5" s="368" t="s">
        <v>246</v>
      </c>
      <c r="J5" s="422"/>
      <c r="K5" s="415" t="s">
        <v>247</v>
      </c>
      <c r="L5" s="294"/>
      <c r="M5" s="295"/>
      <c r="N5" s="428" t="s">
        <v>237</v>
      </c>
      <c r="O5" s="429"/>
      <c r="P5" s="430"/>
      <c r="Q5" s="151"/>
      <c r="R5" s="1260" t="s">
        <v>257</v>
      </c>
      <c r="S5" s="1261"/>
      <c r="T5" s="1262"/>
      <c r="U5" s="227" t="s">
        <v>256</v>
      </c>
      <c r="V5" s="227"/>
      <c r="W5" s="227"/>
      <c r="X5" s="227"/>
      <c r="Y5" s="227"/>
      <c r="Z5" s="227"/>
      <c r="AA5" s="227"/>
      <c r="AB5" s="227"/>
    </row>
    <row r="6" spans="1:28" ht="54.6" thickBot="1" x14ac:dyDescent="0.4">
      <c r="A6" s="899" t="s">
        <v>4</v>
      </c>
      <c r="B6" s="242" t="s">
        <v>3</v>
      </c>
      <c r="C6" s="261" t="s">
        <v>235</v>
      </c>
      <c r="D6" s="262" t="s">
        <v>236</v>
      </c>
      <c r="E6" s="263" t="s">
        <v>228</v>
      </c>
      <c r="F6" s="264" t="s">
        <v>229</v>
      </c>
      <c r="G6" s="265" t="s">
        <v>227</v>
      </c>
      <c r="H6" s="266" t="s">
        <v>411</v>
      </c>
      <c r="I6" s="267" t="s">
        <v>244</v>
      </c>
      <c r="J6" s="423" t="s">
        <v>245</v>
      </c>
      <c r="K6" s="416" t="s">
        <v>242</v>
      </c>
      <c r="L6" s="268" t="s">
        <v>203</v>
      </c>
      <c r="M6" s="268" t="s">
        <v>204</v>
      </c>
      <c r="N6" s="269" t="s">
        <v>214</v>
      </c>
      <c r="O6" s="270" t="s">
        <v>213</v>
      </c>
      <c r="P6" s="271" t="s">
        <v>3</v>
      </c>
      <c r="Q6" s="152"/>
      <c r="R6" s="273" t="s">
        <v>214</v>
      </c>
      <c r="S6" s="274" t="s">
        <v>213</v>
      </c>
      <c r="T6" s="278" t="s">
        <v>3</v>
      </c>
      <c r="U6" s="227"/>
      <c r="V6" s="227"/>
      <c r="W6" s="227"/>
      <c r="X6" s="227"/>
      <c r="Y6" s="227"/>
      <c r="Z6" s="227"/>
      <c r="AA6" s="227"/>
      <c r="AB6" s="227"/>
    </row>
    <row r="7" spans="1:28" x14ac:dyDescent="0.35">
      <c r="A7" s="158" t="s">
        <v>10</v>
      </c>
      <c r="B7" s="243">
        <f t="shared" ref="B7:B40" si="0">RANK(C7,C$7:C$71,0)</f>
        <v>9</v>
      </c>
      <c r="C7" s="252">
        <f t="shared" ref="C7:C40" si="1">D7/MAX($D$7:$D$71)*10</f>
        <v>1.2054212270092182</v>
      </c>
      <c r="D7" s="253">
        <f t="shared" ref="D7:D40" si="2">O7+S7</f>
        <v>0.15365839225710626</v>
      </c>
      <c r="E7" s="254">
        <f t="shared" ref="E7:E40" si="3">_xlfn.RANK.EQ(C7,$C$7:$C$71,1)/COUNT($C$7:$C$71)</f>
        <v>0.87692307692307692</v>
      </c>
      <c r="F7" s="255">
        <f t="shared" ref="F7:F40" si="4">IF(E7&gt;0.66,-1,IF(E7&lt;0.335,1,0))</f>
        <v>-1</v>
      </c>
      <c r="G7" s="256" t="s">
        <v>10</v>
      </c>
      <c r="H7" s="1373">
        <v>923.29817402799995</v>
      </c>
      <c r="I7" s="257"/>
      <c r="J7" s="424"/>
      <c r="K7" s="417"/>
      <c r="L7" s="258"/>
      <c r="M7" s="259"/>
      <c r="N7" s="259"/>
      <c r="O7" s="260"/>
      <c r="P7" s="75">
        <v>3</v>
      </c>
      <c r="Q7" s="280"/>
      <c r="R7" s="275">
        <v>3.1181897540734573E-3</v>
      </c>
      <c r="S7" s="276">
        <v>0.15365839225710626</v>
      </c>
      <c r="T7" s="41">
        <f>RANK(S7,S$7:S$71,0)</f>
        <v>9</v>
      </c>
      <c r="U7" s="227"/>
      <c r="V7" s="227"/>
      <c r="W7" s="227"/>
      <c r="X7" s="227"/>
      <c r="Y7" s="227"/>
      <c r="Z7" s="227"/>
      <c r="AA7" s="227"/>
      <c r="AB7" s="227"/>
    </row>
    <row r="8" spans="1:28" x14ac:dyDescent="0.35">
      <c r="A8" s="208" t="s">
        <v>174</v>
      </c>
      <c r="B8" s="241">
        <f t="shared" si="0"/>
        <v>38</v>
      </c>
      <c r="C8" s="240">
        <f t="shared" si="1"/>
        <v>3.5485224142156109E-2</v>
      </c>
      <c r="D8" s="233">
        <f t="shared" si="2"/>
        <v>4.5234000931734571E-3</v>
      </c>
      <c r="E8" s="247">
        <f t="shared" si="3"/>
        <v>0.43076923076923079</v>
      </c>
      <c r="F8" s="251">
        <f t="shared" si="4"/>
        <v>0</v>
      </c>
      <c r="G8" s="248" t="s">
        <v>205</v>
      </c>
      <c r="H8" s="1374">
        <v>38.2176660426667</v>
      </c>
      <c r="I8" s="234"/>
      <c r="J8" s="425"/>
      <c r="K8" s="420"/>
      <c r="L8" s="235"/>
      <c r="M8" s="238"/>
      <c r="N8" s="238"/>
      <c r="O8" s="239"/>
      <c r="P8" s="41">
        <v>50</v>
      </c>
      <c r="Q8" s="280"/>
      <c r="R8" s="275">
        <v>9.1793358090768972E-5</v>
      </c>
      <c r="S8" s="276">
        <v>4.5234000931734571E-3</v>
      </c>
      <c r="T8" s="41">
        <f>RANK(S8,S$7:S$71,0)</f>
        <v>38</v>
      </c>
      <c r="U8" s="227"/>
      <c r="V8" s="227"/>
      <c r="W8" s="227"/>
      <c r="X8" s="227"/>
      <c r="Y8" s="227"/>
      <c r="Z8" s="227"/>
      <c r="AA8" s="227"/>
      <c r="AB8" s="227"/>
    </row>
    <row r="9" spans="1:28" x14ac:dyDescent="0.35">
      <c r="A9" s="208" t="s">
        <v>115</v>
      </c>
      <c r="B9" s="241">
        <f t="shared" si="0"/>
        <v>26</v>
      </c>
      <c r="C9" s="240">
        <f t="shared" si="1"/>
        <v>0.2463073128143442</v>
      </c>
      <c r="D9" s="233">
        <f t="shared" si="2"/>
        <v>3.1397477363264363E-2</v>
      </c>
      <c r="E9" s="247">
        <f t="shared" si="3"/>
        <v>0.61538461538461542</v>
      </c>
      <c r="F9" s="251">
        <f t="shared" si="4"/>
        <v>0</v>
      </c>
      <c r="G9" s="249" t="s">
        <v>205</v>
      </c>
      <c r="H9" s="1374">
        <v>32.598339951</v>
      </c>
      <c r="I9" s="234"/>
      <c r="J9" s="425"/>
      <c r="K9" s="420"/>
      <c r="L9" s="235"/>
      <c r="M9" s="238"/>
      <c r="N9" s="238"/>
      <c r="O9" s="239"/>
      <c r="P9" s="41">
        <v>49</v>
      </c>
      <c r="Q9" s="280"/>
      <c r="R9" s="275">
        <v>6.3714900813272371E-4</v>
      </c>
      <c r="S9" s="276">
        <v>3.1397477363264363E-2</v>
      </c>
      <c r="T9" s="41">
        <v>49</v>
      </c>
      <c r="U9" s="227"/>
      <c r="V9" s="227"/>
      <c r="W9" s="227"/>
      <c r="X9" s="227"/>
      <c r="Y9" s="227"/>
      <c r="Z9" s="227"/>
      <c r="AA9" s="227"/>
      <c r="AB9" s="227"/>
    </row>
    <row r="10" spans="1:28" x14ac:dyDescent="0.35">
      <c r="A10" s="208" t="s">
        <v>116</v>
      </c>
      <c r="B10" s="241">
        <f t="shared" si="0"/>
        <v>27</v>
      </c>
      <c r="C10" s="240">
        <f t="shared" si="1"/>
        <v>0.18407777028041605</v>
      </c>
      <c r="D10" s="233">
        <f t="shared" si="2"/>
        <v>2.3464904713632825E-2</v>
      </c>
      <c r="E10" s="247">
        <f t="shared" si="3"/>
        <v>0.6</v>
      </c>
      <c r="F10" s="251">
        <f t="shared" si="4"/>
        <v>0</v>
      </c>
      <c r="G10" s="248" t="s">
        <v>207</v>
      </c>
      <c r="H10" s="1374">
        <v>178.72212854200001</v>
      </c>
      <c r="I10" s="234"/>
      <c r="J10" s="425"/>
      <c r="K10" s="418"/>
      <c r="L10" s="235"/>
      <c r="M10" s="236"/>
      <c r="N10" s="236"/>
      <c r="O10" s="237"/>
      <c r="P10" s="41">
        <v>12</v>
      </c>
      <c r="Q10" s="280"/>
      <c r="R10" s="275">
        <v>4.7617331135375087E-4</v>
      </c>
      <c r="S10" s="276">
        <v>2.3464904713632825E-2</v>
      </c>
      <c r="T10" s="41">
        <f t="shared" ref="T10:T43" si="5">RANK(S10,S$7:S$71,0)</f>
        <v>27</v>
      </c>
      <c r="U10" s="227"/>
      <c r="V10" s="227"/>
      <c r="W10" s="227"/>
      <c r="X10" s="227"/>
      <c r="Y10" s="227"/>
      <c r="Z10" s="227"/>
      <c r="AA10" s="227"/>
      <c r="AB10" s="227"/>
    </row>
    <row r="11" spans="1:28" x14ac:dyDescent="0.35">
      <c r="A11" s="90" t="s">
        <v>5</v>
      </c>
      <c r="B11" s="241">
        <f t="shared" si="0"/>
        <v>19</v>
      </c>
      <c r="C11" s="240">
        <f t="shared" si="1"/>
        <v>0.54448769866462232</v>
      </c>
      <c r="D11" s="233">
        <f t="shared" si="2"/>
        <v>6.9407359440782287E-2</v>
      </c>
      <c r="E11" s="247">
        <f t="shared" si="3"/>
        <v>0.72307692307692306</v>
      </c>
      <c r="F11" s="251">
        <f t="shared" si="4"/>
        <v>-1</v>
      </c>
      <c r="G11" s="248" t="s">
        <v>5</v>
      </c>
      <c r="H11" s="1374">
        <v>781.09810975966695</v>
      </c>
      <c r="I11" s="234"/>
      <c r="J11" s="425"/>
      <c r="K11" s="418"/>
      <c r="L11" s="235"/>
      <c r="M11" s="236"/>
      <c r="N11" s="236"/>
      <c r="O11" s="237"/>
      <c r="P11" s="41">
        <v>9</v>
      </c>
      <c r="Q11" s="280"/>
      <c r="R11" s="275">
        <v>1.4084835451317948E-3</v>
      </c>
      <c r="S11" s="276">
        <v>6.9407359440782287E-2</v>
      </c>
      <c r="T11" s="41">
        <f t="shared" si="5"/>
        <v>19</v>
      </c>
      <c r="U11" s="227"/>
      <c r="V11" s="227"/>
      <c r="W11" s="227"/>
      <c r="X11" s="227"/>
      <c r="Y11" s="227"/>
      <c r="Z11" s="227"/>
      <c r="AA11" s="227"/>
      <c r="AB11" s="227"/>
    </row>
    <row r="12" spans="1:28" x14ac:dyDescent="0.35">
      <c r="A12" s="208" t="s">
        <v>175</v>
      </c>
      <c r="B12" s="241">
        <f t="shared" si="0"/>
        <v>34</v>
      </c>
      <c r="C12" s="240">
        <f t="shared" si="1"/>
        <v>6.7060381897015645E-2</v>
      </c>
      <c r="D12" s="233">
        <f t="shared" si="2"/>
        <v>8.5483731624747452E-3</v>
      </c>
      <c r="E12" s="247">
        <f t="shared" si="3"/>
        <v>0.49230769230769234</v>
      </c>
      <c r="F12" s="251">
        <f t="shared" si="4"/>
        <v>0</v>
      </c>
      <c r="G12" s="248" t="s">
        <v>205</v>
      </c>
      <c r="H12" s="1374">
        <v>44.780663763333301</v>
      </c>
      <c r="I12" s="234"/>
      <c r="J12" s="425"/>
      <c r="K12" s="420"/>
      <c r="L12" s="235"/>
      <c r="M12" s="238"/>
      <c r="N12" s="238"/>
      <c r="O12" s="239"/>
      <c r="P12" s="41">
        <v>50</v>
      </c>
      <c r="Q12" s="280"/>
      <c r="R12" s="275">
        <v>1.7347213658610002E-4</v>
      </c>
      <c r="S12" s="276">
        <v>8.5483731624747452E-3</v>
      </c>
      <c r="T12" s="41">
        <f t="shared" si="5"/>
        <v>34</v>
      </c>
      <c r="U12" s="227"/>
      <c r="V12" s="227"/>
      <c r="W12" s="227"/>
      <c r="X12" s="227"/>
      <c r="Y12" s="227"/>
      <c r="Z12" s="227"/>
      <c r="AA12" s="227"/>
      <c r="AB12" s="227"/>
    </row>
    <row r="13" spans="1:28" x14ac:dyDescent="0.35">
      <c r="A13" s="208" t="s">
        <v>292</v>
      </c>
      <c r="B13" s="241">
        <f t="shared" si="0"/>
        <v>30</v>
      </c>
      <c r="C13" s="240">
        <f t="shared" si="1"/>
        <v>9.1209944220394801E-2</v>
      </c>
      <c r="D13" s="233">
        <f t="shared" si="2"/>
        <v>1.162678495511431E-2</v>
      </c>
      <c r="E13" s="247">
        <f t="shared" si="3"/>
        <v>0.55384615384615388</v>
      </c>
      <c r="F13" s="251">
        <f t="shared" si="4"/>
        <v>0</v>
      </c>
      <c r="G13" s="248" t="s">
        <v>208</v>
      </c>
      <c r="H13" s="1374">
        <v>407.47760702333301</v>
      </c>
      <c r="I13" s="234"/>
      <c r="J13" s="425"/>
      <c r="K13" s="418"/>
      <c r="L13" s="235"/>
      <c r="M13" s="236"/>
      <c r="N13" s="236"/>
      <c r="O13" s="237"/>
      <c r="P13" s="41">
        <v>20</v>
      </c>
      <c r="Q13" s="280"/>
      <c r="R13" s="275">
        <v>2.3594234709413471E-4</v>
      </c>
      <c r="S13" s="276">
        <v>1.162678495511431E-2</v>
      </c>
      <c r="T13" s="41">
        <f t="shared" si="5"/>
        <v>30</v>
      </c>
      <c r="U13" s="227"/>
      <c r="V13" s="227"/>
      <c r="W13" s="227"/>
      <c r="X13" s="227"/>
      <c r="Y13" s="227"/>
      <c r="Z13" s="227"/>
      <c r="AA13" s="227"/>
      <c r="AB13" s="227"/>
    </row>
    <row r="14" spans="1:28" x14ac:dyDescent="0.35">
      <c r="A14" s="90" t="s">
        <v>104</v>
      </c>
      <c r="B14" s="241">
        <f t="shared" si="0"/>
        <v>18</v>
      </c>
      <c r="C14" s="240">
        <f t="shared" si="1"/>
        <v>0.62079729898878888</v>
      </c>
      <c r="D14" s="233">
        <f t="shared" si="2"/>
        <v>7.9134756168883963E-2</v>
      </c>
      <c r="E14" s="247">
        <f t="shared" si="3"/>
        <v>0.7384615384615385</v>
      </c>
      <c r="F14" s="251">
        <f t="shared" si="4"/>
        <v>-1</v>
      </c>
      <c r="G14" s="248" t="s">
        <v>209</v>
      </c>
      <c r="H14" s="1374">
        <v>485.522911298667</v>
      </c>
      <c r="I14" s="234"/>
      <c r="J14" s="425"/>
      <c r="K14" s="418"/>
      <c r="L14" s="235"/>
      <c r="M14" s="236"/>
      <c r="N14" s="236"/>
      <c r="O14" s="237"/>
      <c r="P14" s="41">
        <v>10</v>
      </c>
      <c r="Q14" s="280"/>
      <c r="R14" s="275">
        <v>1.605881606935162E-3</v>
      </c>
      <c r="S14" s="276">
        <v>7.9134756168883963E-2</v>
      </c>
      <c r="T14" s="41">
        <f t="shared" si="5"/>
        <v>18</v>
      </c>
      <c r="U14" s="227"/>
      <c r="V14" s="227"/>
      <c r="W14" s="227"/>
      <c r="X14" s="227"/>
      <c r="Y14" s="227"/>
      <c r="Z14" s="227"/>
      <c r="AA14" s="227"/>
      <c r="AB14" s="227"/>
    </row>
    <row r="15" spans="1:28" x14ac:dyDescent="0.35">
      <c r="A15" s="208" t="s">
        <v>117</v>
      </c>
      <c r="B15" s="241">
        <f t="shared" si="0"/>
        <v>37</v>
      </c>
      <c r="C15" s="240">
        <f t="shared" si="1"/>
        <v>5.0850714828280338E-2</v>
      </c>
      <c r="D15" s="233">
        <f t="shared" si="2"/>
        <v>6.4820818735908973E-3</v>
      </c>
      <c r="E15" s="247">
        <f t="shared" si="3"/>
        <v>0.44615384615384618</v>
      </c>
      <c r="F15" s="251">
        <f t="shared" si="4"/>
        <v>0</v>
      </c>
      <c r="G15" s="248" t="s">
        <v>208</v>
      </c>
      <c r="H15" s="1374">
        <v>95.011801165333296</v>
      </c>
      <c r="I15" s="234"/>
      <c r="J15" s="425"/>
      <c r="K15" s="418"/>
      <c r="L15" s="235"/>
      <c r="M15" s="236"/>
      <c r="N15" s="236"/>
      <c r="O15" s="237"/>
      <c r="P15" s="41">
        <v>26</v>
      </c>
      <c r="Q15" s="280"/>
      <c r="R15" s="275">
        <v>1.3154088746078008E-4</v>
      </c>
      <c r="S15" s="276">
        <v>6.4820818735908973E-3</v>
      </c>
      <c r="T15" s="41">
        <f t="shared" si="5"/>
        <v>37</v>
      </c>
      <c r="U15" s="227"/>
      <c r="V15" s="227"/>
      <c r="W15" s="227"/>
      <c r="X15" s="227"/>
      <c r="Y15" s="227"/>
      <c r="Z15" s="227"/>
      <c r="AA15" s="227"/>
      <c r="AB15" s="227"/>
    </row>
    <row r="16" spans="1:28" x14ac:dyDescent="0.35">
      <c r="A16" s="208" t="s">
        <v>9</v>
      </c>
      <c r="B16" s="241">
        <f t="shared" si="0"/>
        <v>36</v>
      </c>
      <c r="C16" s="240">
        <f t="shared" si="1"/>
        <v>5.7653101335499175E-2</v>
      </c>
      <c r="D16" s="233">
        <f t="shared" si="2"/>
        <v>7.3492009775111451E-3</v>
      </c>
      <c r="E16" s="247">
        <f t="shared" si="3"/>
        <v>0.46153846153846156</v>
      </c>
      <c r="F16" s="251">
        <f t="shared" si="4"/>
        <v>0</v>
      </c>
      <c r="G16" s="249" t="s">
        <v>230</v>
      </c>
      <c r="H16" s="1374">
        <v>93.139825275333294</v>
      </c>
      <c r="I16" s="234"/>
      <c r="J16" s="425"/>
      <c r="K16" s="418"/>
      <c r="L16" s="235"/>
      <c r="M16" s="236"/>
      <c r="N16" s="236"/>
      <c r="O16" s="237"/>
      <c r="P16" s="41">
        <v>16</v>
      </c>
      <c r="Q16" s="280"/>
      <c r="R16" s="275">
        <v>1.4913733543663366E-4</v>
      </c>
      <c r="S16" s="276">
        <v>7.3492009775111451E-3</v>
      </c>
      <c r="T16" s="41">
        <f t="shared" si="5"/>
        <v>36</v>
      </c>
      <c r="U16" s="227"/>
      <c r="V16" s="227"/>
      <c r="W16" s="227"/>
      <c r="X16" s="227"/>
      <c r="Y16" s="227"/>
      <c r="Z16" s="227"/>
      <c r="AA16" s="227"/>
      <c r="AB16" s="227"/>
    </row>
    <row r="17" spans="1:28" x14ac:dyDescent="0.35">
      <c r="A17" s="90" t="s">
        <v>99</v>
      </c>
      <c r="B17" s="241">
        <f t="shared" si="0"/>
        <v>13</v>
      </c>
      <c r="C17" s="240">
        <f t="shared" si="1"/>
        <v>0.92005386026752833</v>
      </c>
      <c r="D17" s="233">
        <f t="shared" si="2"/>
        <v>0.11728182131769577</v>
      </c>
      <c r="E17" s="247">
        <f t="shared" si="3"/>
        <v>0.8</v>
      </c>
      <c r="F17" s="251">
        <f t="shared" si="4"/>
        <v>-1</v>
      </c>
      <c r="G17" s="248" t="s">
        <v>206</v>
      </c>
      <c r="H17" s="1374">
        <v>100.06323631766701</v>
      </c>
      <c r="I17" s="367"/>
      <c r="J17" s="425"/>
      <c r="K17" s="419"/>
      <c r="L17" s="235"/>
      <c r="M17" s="236"/>
      <c r="N17" s="236"/>
      <c r="O17" s="237"/>
      <c r="P17" s="41">
        <v>13</v>
      </c>
      <c r="Q17" s="280"/>
      <c r="R17" s="275">
        <v>2.3800000000000002E-3</v>
      </c>
      <c r="S17" s="276">
        <v>0.11728182131769577</v>
      </c>
      <c r="T17" s="41">
        <f t="shared" si="5"/>
        <v>13</v>
      </c>
      <c r="U17" s="227"/>
      <c r="V17" s="227"/>
      <c r="W17" s="227"/>
      <c r="X17" s="227"/>
      <c r="Y17" s="227"/>
      <c r="Z17" s="227"/>
      <c r="AA17" s="227"/>
      <c r="AB17" s="227"/>
    </row>
    <row r="18" spans="1:28" x14ac:dyDescent="0.35">
      <c r="A18" s="90" t="s">
        <v>14</v>
      </c>
      <c r="B18" s="241">
        <f t="shared" si="0"/>
        <v>22</v>
      </c>
      <c r="C18" s="240">
        <f t="shared" si="1"/>
        <v>0.31184269958621463</v>
      </c>
      <c r="D18" s="233">
        <f t="shared" si="2"/>
        <v>3.9751455160965975E-2</v>
      </c>
      <c r="E18" s="247">
        <f t="shared" si="3"/>
        <v>0.67692307692307696</v>
      </c>
      <c r="F18" s="251">
        <f t="shared" si="4"/>
        <v>-1</v>
      </c>
      <c r="G18" s="248" t="s">
        <v>181</v>
      </c>
      <c r="H18" s="1374">
        <v>556.72940134999999</v>
      </c>
      <c r="I18" s="234"/>
      <c r="J18" s="425"/>
      <c r="K18" s="418"/>
      <c r="L18" s="235"/>
      <c r="M18" s="236"/>
      <c r="N18" s="236"/>
      <c r="O18" s="237"/>
      <c r="P18" s="41">
        <v>29</v>
      </c>
      <c r="Q18" s="280"/>
      <c r="R18" s="275">
        <v>8.0667627958148263E-4</v>
      </c>
      <c r="S18" s="276">
        <v>3.9751455160965975E-2</v>
      </c>
      <c r="T18" s="41">
        <f t="shared" si="5"/>
        <v>22</v>
      </c>
      <c r="U18" s="227"/>
      <c r="V18" s="227"/>
      <c r="W18" s="227"/>
      <c r="X18" s="227"/>
      <c r="Y18" s="227"/>
      <c r="Z18" s="227"/>
      <c r="AA18" s="227"/>
      <c r="AB18" s="227"/>
    </row>
    <row r="19" spans="1:28" x14ac:dyDescent="0.35">
      <c r="A19" s="90" t="s">
        <v>109</v>
      </c>
      <c r="B19" s="241">
        <f t="shared" si="0"/>
        <v>15</v>
      </c>
      <c r="C19" s="240">
        <f t="shared" si="1"/>
        <v>0.86448894818378907</v>
      </c>
      <c r="D19" s="233">
        <f t="shared" si="2"/>
        <v>0.11019880762473254</v>
      </c>
      <c r="E19" s="247">
        <f t="shared" si="3"/>
        <v>0.7846153846153846</v>
      </c>
      <c r="F19" s="251">
        <f t="shared" si="4"/>
        <v>-1</v>
      </c>
      <c r="G19" s="248" t="s">
        <v>209</v>
      </c>
      <c r="H19" s="1374">
        <v>606.91935543233296</v>
      </c>
      <c r="I19" s="234"/>
      <c r="J19" s="425"/>
      <c r="K19" s="418"/>
      <c r="L19" s="235"/>
      <c r="M19" s="236"/>
      <c r="N19" s="236"/>
      <c r="O19" s="237"/>
      <c r="P19" s="41">
        <v>8</v>
      </c>
      <c r="Q19" s="280"/>
      <c r="R19" s="275">
        <v>2.2362644031286975E-3</v>
      </c>
      <c r="S19" s="276">
        <v>0.11019880762473254</v>
      </c>
      <c r="T19" s="41">
        <f t="shared" si="5"/>
        <v>15</v>
      </c>
      <c r="U19" s="227"/>
      <c r="V19" s="227"/>
      <c r="W19" s="227"/>
      <c r="X19" s="227"/>
      <c r="Y19" s="227"/>
      <c r="Z19" s="227"/>
      <c r="AA19" s="227"/>
      <c r="AB19" s="227"/>
    </row>
    <row r="20" spans="1:28" x14ac:dyDescent="0.35">
      <c r="A20" s="208" t="s">
        <v>112</v>
      </c>
      <c r="B20" s="241">
        <f t="shared" si="0"/>
        <v>44</v>
      </c>
      <c r="C20" s="240">
        <f t="shared" si="1"/>
        <v>2.5147486999930024E-2</v>
      </c>
      <c r="D20" s="233">
        <f t="shared" si="2"/>
        <v>3.2056200232204626E-3</v>
      </c>
      <c r="E20" s="247">
        <f t="shared" si="3"/>
        <v>0.33846153846153848</v>
      </c>
      <c r="F20" s="251">
        <f t="shared" si="4"/>
        <v>0</v>
      </c>
      <c r="G20" s="248" t="s">
        <v>209</v>
      </c>
      <c r="H20" s="1374">
        <v>24.815723733999999</v>
      </c>
      <c r="I20" s="234"/>
      <c r="J20" s="425"/>
      <c r="K20" s="418"/>
      <c r="L20" s="235"/>
      <c r="M20" s="236"/>
      <c r="N20" s="236"/>
      <c r="O20" s="237"/>
      <c r="P20" s="41">
        <v>23</v>
      </c>
      <c r="Q20" s="280"/>
      <c r="R20" s="275">
        <v>6.5051647131212845E-5</v>
      </c>
      <c r="S20" s="276">
        <v>3.2056200232204626E-3</v>
      </c>
      <c r="T20" s="41">
        <f t="shared" si="5"/>
        <v>44</v>
      </c>
      <c r="U20" s="227"/>
      <c r="V20" s="227"/>
      <c r="W20" s="227"/>
      <c r="X20" s="227"/>
      <c r="Y20" s="227"/>
      <c r="Z20" s="227"/>
      <c r="AA20" s="227"/>
      <c r="AB20" s="227"/>
    </row>
    <row r="21" spans="1:28" x14ac:dyDescent="0.35">
      <c r="A21" s="208" t="s">
        <v>118</v>
      </c>
      <c r="B21" s="241">
        <f t="shared" si="0"/>
        <v>33</v>
      </c>
      <c r="C21" s="240">
        <f t="shared" si="1"/>
        <v>7.3159703340184262E-2</v>
      </c>
      <c r="D21" s="233">
        <f t="shared" si="2"/>
        <v>9.3258706096882044E-3</v>
      </c>
      <c r="E21" s="247">
        <f t="shared" si="3"/>
        <v>0.50769230769230766</v>
      </c>
      <c r="F21" s="251">
        <f t="shared" si="4"/>
        <v>0</v>
      </c>
      <c r="G21" s="248" t="s">
        <v>208</v>
      </c>
      <c r="H21" s="1374">
        <v>169.836589057</v>
      </c>
      <c r="I21" s="234"/>
      <c r="J21" s="425"/>
      <c r="K21" s="418"/>
      <c r="L21" s="235"/>
      <c r="M21" s="236"/>
      <c r="N21" s="236"/>
      <c r="O21" s="237"/>
      <c r="P21" s="41">
        <v>22</v>
      </c>
      <c r="Q21" s="280"/>
      <c r="R21" s="275">
        <v>1.8924989228240273E-4</v>
      </c>
      <c r="S21" s="276">
        <v>9.3258706096882044E-3</v>
      </c>
      <c r="T21" s="41">
        <f t="shared" si="5"/>
        <v>33</v>
      </c>
      <c r="U21" s="227"/>
      <c r="V21" s="227"/>
      <c r="W21" s="227"/>
      <c r="X21" s="227"/>
      <c r="Y21" s="227"/>
      <c r="Z21" s="227"/>
      <c r="AA21" s="227"/>
      <c r="AB21" s="227"/>
    </row>
    <row r="22" spans="1:28" x14ac:dyDescent="0.35">
      <c r="A22" s="90" t="s">
        <v>102</v>
      </c>
      <c r="B22" s="241">
        <f t="shared" si="0"/>
        <v>47</v>
      </c>
      <c r="C22" s="240">
        <f t="shared" si="1"/>
        <v>1.3897102339716586E-2</v>
      </c>
      <c r="D22" s="233">
        <f t="shared" si="2"/>
        <v>1.7715022389737547E-3</v>
      </c>
      <c r="E22" s="247">
        <f t="shared" si="3"/>
        <v>0.29230769230769232</v>
      </c>
      <c r="F22" s="251">
        <f t="shared" si="4"/>
        <v>1</v>
      </c>
      <c r="G22" s="248" t="s">
        <v>208</v>
      </c>
      <c r="H22" s="1378">
        <v>4.9997945579999996</v>
      </c>
      <c r="I22" s="234"/>
      <c r="J22" s="425"/>
      <c r="K22" s="418"/>
      <c r="L22" s="235"/>
      <c r="M22" s="236"/>
      <c r="N22" s="236"/>
      <c r="O22" s="237"/>
      <c r="P22" s="41">
        <v>39</v>
      </c>
      <c r="Q22" s="280"/>
      <c r="R22" s="275">
        <v>3.5949094935494407E-5</v>
      </c>
      <c r="S22" s="276">
        <v>1.7715022389737547E-3</v>
      </c>
      <c r="T22" s="41">
        <f t="shared" si="5"/>
        <v>47</v>
      </c>
      <c r="U22" s="227"/>
      <c r="V22" s="227"/>
      <c r="W22" s="227"/>
      <c r="X22" s="227"/>
      <c r="Y22" s="227"/>
      <c r="Z22" s="227"/>
      <c r="AA22" s="227"/>
      <c r="AB22" s="227"/>
    </row>
    <row r="23" spans="1:28" x14ac:dyDescent="0.35">
      <c r="A23" s="90" t="s">
        <v>22</v>
      </c>
      <c r="B23" s="241">
        <f t="shared" ref="B23" si="6">RANK(C23,C$7:C$71,0)</f>
        <v>58</v>
      </c>
      <c r="C23" s="240">
        <f t="shared" ref="C23" si="7">D23/MAX($D$7:$D$71)*10</f>
        <v>0</v>
      </c>
      <c r="D23" s="233">
        <f t="shared" ref="D23" si="8">O23+S23</f>
        <v>0</v>
      </c>
      <c r="E23" s="247">
        <f t="shared" ref="E23" si="9">_xlfn.RANK.EQ(C23,$C$7:$C$71,1)/COUNT($C$7:$C$71)</f>
        <v>1.5384615384615385E-2</v>
      </c>
      <c r="F23" s="251">
        <f t="shared" ref="F23" si="10">IF(E23&gt;0.66,-1,IF(E23&lt;0.335,1,0))</f>
        <v>1</v>
      </c>
      <c r="G23" s="248"/>
      <c r="H23" s="1378">
        <v>2.5625972940000001</v>
      </c>
      <c r="I23" s="234"/>
      <c r="J23" s="425"/>
      <c r="K23" s="418"/>
      <c r="L23" s="235"/>
      <c r="M23" s="236"/>
      <c r="N23" s="236"/>
      <c r="O23" s="237"/>
      <c r="P23" s="41"/>
      <c r="Q23" s="280"/>
      <c r="R23" s="275"/>
      <c r="S23" s="276"/>
      <c r="T23" s="41"/>
      <c r="U23" s="227"/>
      <c r="V23" s="227"/>
      <c r="W23" s="227"/>
      <c r="X23" s="227"/>
      <c r="Y23" s="227"/>
      <c r="Z23" s="227"/>
      <c r="AA23" s="227"/>
      <c r="AB23" s="227"/>
    </row>
    <row r="24" spans="1:28" x14ac:dyDescent="0.35">
      <c r="A24" s="90" t="s">
        <v>13</v>
      </c>
      <c r="B24" s="241">
        <f t="shared" si="0"/>
        <v>25</v>
      </c>
      <c r="C24" s="240">
        <f t="shared" si="1"/>
        <v>0.26928269089203882</v>
      </c>
      <c r="D24" s="233">
        <f t="shared" si="2"/>
        <v>3.4326212628427173E-2</v>
      </c>
      <c r="E24" s="247">
        <f t="shared" si="3"/>
        <v>0.63076923076923075</v>
      </c>
      <c r="F24" s="251">
        <f t="shared" si="4"/>
        <v>0</v>
      </c>
      <c r="G24" s="248" t="s">
        <v>205</v>
      </c>
      <c r="H24" s="1374">
        <v>367.37862562200002</v>
      </c>
      <c r="I24" s="234"/>
      <c r="J24" s="425"/>
      <c r="K24" s="420"/>
      <c r="L24" s="235"/>
      <c r="M24" s="238"/>
      <c r="N24" s="238"/>
      <c r="O24" s="239"/>
      <c r="P24" s="41">
        <v>50</v>
      </c>
      <c r="Q24" s="280"/>
      <c r="R24" s="275">
        <v>6.9658183286867262E-4</v>
      </c>
      <c r="S24" s="276">
        <v>3.4326212628427173E-2</v>
      </c>
      <c r="T24" s="41">
        <f t="shared" si="5"/>
        <v>25</v>
      </c>
      <c r="U24" s="227"/>
      <c r="V24" s="227"/>
      <c r="W24" s="227"/>
      <c r="X24" s="227"/>
      <c r="Y24" s="227"/>
      <c r="Z24" s="227"/>
      <c r="AA24" s="227"/>
      <c r="AB24" s="227"/>
    </row>
    <row r="25" spans="1:28" x14ac:dyDescent="0.35">
      <c r="A25" s="90" t="s">
        <v>6</v>
      </c>
      <c r="B25" s="241">
        <f t="shared" si="0"/>
        <v>1</v>
      </c>
      <c r="C25" s="240">
        <f t="shared" si="1"/>
        <v>10</v>
      </c>
      <c r="D25" s="233">
        <f t="shared" si="2"/>
        <v>1.2747277782584727</v>
      </c>
      <c r="E25" s="247">
        <f t="shared" si="3"/>
        <v>1</v>
      </c>
      <c r="F25" s="251">
        <f t="shared" si="4"/>
        <v>-1</v>
      </c>
      <c r="G25" s="248" t="s">
        <v>210</v>
      </c>
      <c r="H25" s="1374">
        <v>5714.55349029233</v>
      </c>
      <c r="I25" s="234"/>
      <c r="J25" s="425"/>
      <c r="K25" s="418"/>
      <c r="L25" s="235"/>
      <c r="M25" s="236"/>
      <c r="N25" s="236"/>
      <c r="O25" s="237"/>
      <c r="P25" s="41">
        <v>19</v>
      </c>
      <c r="Q25" s="280"/>
      <c r="R25" s="275">
        <v>2.586805080419919E-2</v>
      </c>
      <c r="S25" s="276">
        <v>1.2747277782584727</v>
      </c>
      <c r="T25" s="41">
        <f t="shared" si="5"/>
        <v>1</v>
      </c>
      <c r="U25" s="227"/>
      <c r="V25" s="227"/>
      <c r="W25" s="227"/>
      <c r="X25" s="227"/>
      <c r="Y25" s="227"/>
      <c r="Z25" s="227"/>
      <c r="AA25" s="227"/>
      <c r="AB25" s="227"/>
    </row>
    <row r="26" spans="1:28" x14ac:dyDescent="0.35">
      <c r="A26" s="90" t="s">
        <v>16</v>
      </c>
      <c r="B26" s="241">
        <f t="shared" si="0"/>
        <v>8</v>
      </c>
      <c r="C26" s="240">
        <f t="shared" si="1"/>
        <v>1.206086350838296</v>
      </c>
      <c r="D26" s="233">
        <f t="shared" si="2"/>
        <v>0.15374317743919699</v>
      </c>
      <c r="E26" s="247">
        <f t="shared" si="3"/>
        <v>0.89230769230769236</v>
      </c>
      <c r="F26" s="251">
        <f t="shared" si="4"/>
        <v>-1</v>
      </c>
      <c r="G26" s="248" t="s">
        <v>210</v>
      </c>
      <c r="H26" s="1374">
        <v>241.77977643633301</v>
      </c>
      <c r="I26" s="234"/>
      <c r="J26" s="425"/>
      <c r="K26" s="418"/>
      <c r="L26" s="235"/>
      <c r="M26" s="236"/>
      <c r="N26" s="236"/>
      <c r="O26" s="237"/>
      <c r="P26" s="41">
        <v>34</v>
      </c>
      <c r="Q26" s="280"/>
      <c r="R26" s="275">
        <v>3.1199102997736244E-3</v>
      </c>
      <c r="S26" s="276">
        <v>0.15374317743919699</v>
      </c>
      <c r="T26" s="41">
        <f t="shared" si="5"/>
        <v>8</v>
      </c>
      <c r="U26" s="227"/>
      <c r="V26" s="227"/>
      <c r="W26" s="227"/>
      <c r="X26" s="227"/>
      <c r="Y26" s="227"/>
      <c r="Z26" s="227"/>
      <c r="AA26" s="227"/>
      <c r="AB26" s="227"/>
    </row>
    <row r="27" spans="1:28" x14ac:dyDescent="0.35">
      <c r="A27" s="208" t="s">
        <v>119</v>
      </c>
      <c r="B27" s="241">
        <f t="shared" si="0"/>
        <v>48</v>
      </c>
      <c r="C27" s="240">
        <f t="shared" si="1"/>
        <v>1.1904023455835133E-2</v>
      </c>
      <c r="D27" s="233">
        <f t="shared" si="2"/>
        <v>1.5174389372193467E-3</v>
      </c>
      <c r="E27" s="247">
        <f t="shared" si="3"/>
        <v>0.27692307692307694</v>
      </c>
      <c r="F27" s="251">
        <f t="shared" si="4"/>
        <v>1</v>
      </c>
      <c r="G27" s="249" t="s">
        <v>209</v>
      </c>
      <c r="H27" s="1374">
        <v>8.4146731986666694</v>
      </c>
      <c r="I27" s="234"/>
      <c r="J27" s="425"/>
      <c r="K27" s="418"/>
      <c r="L27" s="235"/>
      <c r="M27" s="236"/>
      <c r="N27" s="236"/>
      <c r="O27" s="237"/>
      <c r="P27" s="41">
        <v>30</v>
      </c>
      <c r="Q27" s="280"/>
      <c r="R27" s="275">
        <v>3.0793388352992202E-5</v>
      </c>
      <c r="S27" s="276">
        <v>1.5174389372193467E-3</v>
      </c>
      <c r="T27" s="41">
        <f t="shared" si="5"/>
        <v>48</v>
      </c>
      <c r="U27" s="227"/>
      <c r="V27" s="227"/>
      <c r="W27" s="227"/>
      <c r="X27" s="227"/>
      <c r="Y27" s="227"/>
      <c r="Z27" s="227"/>
      <c r="AA27" s="227"/>
      <c r="AB27" s="227"/>
    </row>
    <row r="28" spans="1:28" x14ac:dyDescent="0.35">
      <c r="A28" s="208" t="s">
        <v>23</v>
      </c>
      <c r="B28" s="241">
        <f t="shared" si="0"/>
        <v>52</v>
      </c>
      <c r="C28" s="240">
        <f t="shared" si="1"/>
        <v>5.1504419569717366E-3</v>
      </c>
      <c r="D28" s="233">
        <f t="shared" si="2"/>
        <v>6.5654114328598016E-4</v>
      </c>
      <c r="E28" s="247">
        <f t="shared" si="3"/>
        <v>0.2153846153846154</v>
      </c>
      <c r="F28" s="251">
        <f t="shared" si="4"/>
        <v>1</v>
      </c>
      <c r="G28" s="249" t="s">
        <v>210</v>
      </c>
      <c r="H28" s="1374">
        <v>20.9389613333333</v>
      </c>
      <c r="I28" s="234"/>
      <c r="J28" s="425"/>
      <c r="K28" s="418"/>
      <c r="L28" s="235"/>
      <c r="M28" s="236"/>
      <c r="N28" s="236"/>
      <c r="O28" s="237"/>
      <c r="P28" s="41">
        <v>48</v>
      </c>
      <c r="Q28" s="280"/>
      <c r="R28" s="275">
        <v>1.3323189420702396E-5</v>
      </c>
      <c r="S28" s="276">
        <v>6.5654114328598016E-4</v>
      </c>
      <c r="T28" s="41">
        <f t="shared" si="5"/>
        <v>52</v>
      </c>
      <c r="U28" s="227"/>
      <c r="V28" s="227"/>
      <c r="W28" s="227"/>
      <c r="X28" s="227"/>
      <c r="Y28" s="227"/>
      <c r="Z28" s="227"/>
      <c r="AA28" s="227"/>
      <c r="AB28" s="227"/>
    </row>
    <row r="29" spans="1:28" x14ac:dyDescent="0.35">
      <c r="A29" s="208" t="s">
        <v>425</v>
      </c>
      <c r="B29" s="241">
        <f t="shared" si="0"/>
        <v>31</v>
      </c>
      <c r="C29" s="240">
        <f t="shared" si="1"/>
        <v>8.8120791787908048E-2</v>
      </c>
      <c r="D29" s="233">
        <f t="shared" si="2"/>
        <v>1.123300211341775E-2</v>
      </c>
      <c r="E29" s="247">
        <f t="shared" si="3"/>
        <v>0.53846153846153844</v>
      </c>
      <c r="F29" s="251">
        <f t="shared" si="4"/>
        <v>0</v>
      </c>
      <c r="G29" s="248" t="s">
        <v>209</v>
      </c>
      <c r="H29" s="1374">
        <v>88.821788517666704</v>
      </c>
      <c r="I29" s="234"/>
      <c r="J29" s="425"/>
      <c r="K29" s="418"/>
      <c r="L29" s="235"/>
      <c r="M29" s="236"/>
      <c r="N29" s="236"/>
      <c r="O29" s="237"/>
      <c r="P29" s="41">
        <v>17</v>
      </c>
      <c r="Q29" s="280"/>
      <c r="R29" s="275">
        <v>2.279513118875864E-4</v>
      </c>
      <c r="S29" s="276">
        <v>1.123300211341775E-2</v>
      </c>
      <c r="T29" s="41">
        <f t="shared" si="5"/>
        <v>31</v>
      </c>
      <c r="U29" s="227"/>
      <c r="V29" s="227"/>
      <c r="W29" s="227"/>
      <c r="X29" s="227"/>
      <c r="Y29" s="227"/>
      <c r="Z29" s="227"/>
      <c r="AA29" s="227"/>
      <c r="AB29" s="227"/>
    </row>
    <row r="30" spans="1:28" x14ac:dyDescent="0.35">
      <c r="A30" s="208" t="s">
        <v>120</v>
      </c>
      <c r="B30" s="241">
        <f t="shared" si="0"/>
        <v>46</v>
      </c>
      <c r="C30" s="240">
        <f t="shared" si="1"/>
        <v>1.7097223263660484E-2</v>
      </c>
      <c r="D30" s="233">
        <f t="shared" si="2"/>
        <v>2.1794305425274999E-3</v>
      </c>
      <c r="E30" s="247">
        <f t="shared" si="3"/>
        <v>0.30769230769230771</v>
      </c>
      <c r="F30" s="251">
        <f t="shared" si="4"/>
        <v>1</v>
      </c>
      <c r="G30" s="249" t="s">
        <v>208</v>
      </c>
      <c r="H30" s="1377">
        <v>11.4293510263333</v>
      </c>
      <c r="I30" s="234"/>
      <c r="J30" s="425"/>
      <c r="K30" s="418"/>
      <c r="L30" s="235"/>
      <c r="M30" s="236"/>
      <c r="N30" s="236"/>
      <c r="O30" s="237"/>
      <c r="P30" s="41">
        <v>35</v>
      </c>
      <c r="Q30" s="280"/>
      <c r="R30" s="275">
        <v>4.4227183999510556E-5</v>
      </c>
      <c r="S30" s="276">
        <v>2.1794305425274999E-3</v>
      </c>
      <c r="T30" s="41">
        <f t="shared" si="5"/>
        <v>46</v>
      </c>
      <c r="U30" s="227"/>
      <c r="V30" s="227"/>
      <c r="W30" s="227"/>
      <c r="X30" s="227"/>
      <c r="Y30" s="227"/>
      <c r="Z30" s="227"/>
      <c r="AA30" s="227"/>
      <c r="AB30" s="227"/>
    </row>
    <row r="31" spans="1:28" x14ac:dyDescent="0.35">
      <c r="A31" s="208" t="s">
        <v>113</v>
      </c>
      <c r="B31" s="241">
        <f t="shared" si="0"/>
        <v>42</v>
      </c>
      <c r="C31" s="240">
        <f t="shared" si="1"/>
        <v>2.7659393332926802E-2</v>
      </c>
      <c r="D31" s="233">
        <f t="shared" si="2"/>
        <v>3.5258197011258994E-3</v>
      </c>
      <c r="E31" s="247">
        <f t="shared" si="3"/>
        <v>0.36923076923076925</v>
      </c>
      <c r="F31" s="251">
        <f t="shared" si="4"/>
        <v>0</v>
      </c>
      <c r="G31" s="248" t="s">
        <v>208</v>
      </c>
      <c r="H31" s="1377">
        <v>17.939762000999998</v>
      </c>
      <c r="I31" s="234"/>
      <c r="J31" s="425"/>
      <c r="K31" s="418"/>
      <c r="L31" s="235"/>
      <c r="M31" s="236"/>
      <c r="N31" s="236"/>
      <c r="O31" s="237"/>
      <c r="P31" s="41">
        <v>32</v>
      </c>
      <c r="Q31" s="280"/>
      <c r="R31" s="275">
        <v>7.1549459194947883E-5</v>
      </c>
      <c r="S31" s="276">
        <v>3.5258197011258994E-3</v>
      </c>
      <c r="T31" s="41">
        <f t="shared" si="5"/>
        <v>42</v>
      </c>
      <c r="U31" s="227"/>
      <c r="V31" s="227"/>
      <c r="W31" s="227"/>
      <c r="X31" s="227"/>
      <c r="Y31" s="227"/>
      <c r="Z31" s="227"/>
      <c r="AA31" s="227"/>
      <c r="AB31" s="227"/>
    </row>
    <row r="32" spans="1:28" x14ac:dyDescent="0.35">
      <c r="A32" s="208" t="s">
        <v>114</v>
      </c>
      <c r="B32" s="241">
        <f t="shared" si="0"/>
        <v>20</v>
      </c>
      <c r="C32" s="240">
        <f t="shared" si="1"/>
        <v>0.45618572044541528</v>
      </c>
      <c r="D32" s="233">
        <f t="shared" si="2"/>
        <v>5.8151260989662494E-2</v>
      </c>
      <c r="E32" s="247">
        <f t="shared" si="3"/>
        <v>0.70769230769230773</v>
      </c>
      <c r="F32" s="251">
        <f t="shared" si="4"/>
        <v>-1</v>
      </c>
      <c r="G32" s="248" t="s">
        <v>114</v>
      </c>
      <c r="H32" s="1377">
        <v>44.969601271666697</v>
      </c>
      <c r="I32" s="234"/>
      <c r="J32" s="425"/>
      <c r="K32" s="418"/>
      <c r="L32" s="235"/>
      <c r="M32" s="236"/>
      <c r="N32" s="236"/>
      <c r="O32" s="237"/>
      <c r="P32" s="41">
        <v>28</v>
      </c>
      <c r="Q32" s="280"/>
      <c r="R32" s="275">
        <v>1.180063539263221E-3</v>
      </c>
      <c r="S32" s="276">
        <v>5.8151260989662494E-2</v>
      </c>
      <c r="T32" s="41">
        <f t="shared" si="5"/>
        <v>20</v>
      </c>
      <c r="U32" s="227"/>
      <c r="V32" s="227"/>
      <c r="W32" s="227"/>
      <c r="X32" s="227"/>
      <c r="Y32" s="227"/>
      <c r="Z32" s="227"/>
      <c r="AA32" s="227"/>
      <c r="AB32" s="227"/>
    </row>
    <row r="33" spans="1:28" x14ac:dyDescent="0.35">
      <c r="A33" s="208" t="s">
        <v>121</v>
      </c>
      <c r="B33" s="241">
        <f t="shared" si="0"/>
        <v>53</v>
      </c>
      <c r="C33" s="240">
        <f t="shared" si="1"/>
        <v>4.9988594658231791E-3</v>
      </c>
      <c r="D33" s="233">
        <f t="shared" si="2"/>
        <v>6.3721850206951167E-4</v>
      </c>
      <c r="E33" s="247">
        <f t="shared" si="3"/>
        <v>0.2</v>
      </c>
      <c r="F33" s="251">
        <f t="shared" si="4"/>
        <v>1</v>
      </c>
      <c r="G33" s="249" t="s">
        <v>209</v>
      </c>
      <c r="H33" s="1374">
        <v>3.26121701033333</v>
      </c>
      <c r="I33" s="234"/>
      <c r="J33" s="425"/>
      <c r="K33" s="418"/>
      <c r="L33" s="235"/>
      <c r="M33" s="236"/>
      <c r="N33" s="236"/>
      <c r="O33" s="237"/>
      <c r="P33" s="41">
        <v>37</v>
      </c>
      <c r="Q33" s="280"/>
      <c r="R33" s="275">
        <v>1.2931075062496602E-5</v>
      </c>
      <c r="S33" s="276">
        <v>6.3721850206951167E-4</v>
      </c>
      <c r="T33" s="41">
        <f t="shared" si="5"/>
        <v>53</v>
      </c>
      <c r="U33" s="227"/>
      <c r="V33" s="227"/>
      <c r="W33" s="227"/>
      <c r="X33" s="227"/>
      <c r="Y33" s="227"/>
      <c r="Z33" s="227"/>
      <c r="AA33" s="227"/>
      <c r="AB33" s="227"/>
    </row>
    <row r="34" spans="1:28" x14ac:dyDescent="0.35">
      <c r="A34" s="208" t="s">
        <v>308</v>
      </c>
      <c r="B34" s="241">
        <f t="shared" si="0"/>
        <v>39</v>
      </c>
      <c r="C34" s="240">
        <f t="shared" si="1"/>
        <v>3.3721744248822502E-2</v>
      </c>
      <c r="D34" s="233">
        <f t="shared" si="2"/>
        <v>4.2986044125301942E-3</v>
      </c>
      <c r="E34" s="247">
        <f t="shared" si="3"/>
        <v>0.41538461538461541</v>
      </c>
      <c r="F34" s="251">
        <f t="shared" si="4"/>
        <v>0</v>
      </c>
      <c r="G34" s="248" t="s">
        <v>208</v>
      </c>
      <c r="H34" s="1374">
        <v>37.959476385333303</v>
      </c>
      <c r="I34" s="234"/>
      <c r="J34" s="425"/>
      <c r="K34" s="418"/>
      <c r="L34" s="235"/>
      <c r="M34" s="236"/>
      <c r="N34" s="236"/>
      <c r="O34" s="237"/>
      <c r="P34" s="41">
        <v>31</v>
      </c>
      <c r="Q34" s="280"/>
      <c r="R34" s="275">
        <v>8.7231579343475231E-5</v>
      </c>
      <c r="S34" s="276">
        <v>4.2986044125301942E-3</v>
      </c>
      <c r="T34" s="41">
        <f t="shared" si="5"/>
        <v>39</v>
      </c>
      <c r="U34" s="227"/>
      <c r="V34" s="227"/>
      <c r="W34" s="227"/>
      <c r="X34" s="227"/>
      <c r="Y34" s="227"/>
      <c r="Z34" s="227"/>
      <c r="AA34" s="227"/>
      <c r="AB34" s="227"/>
    </row>
    <row r="35" spans="1:28" x14ac:dyDescent="0.35">
      <c r="A35" s="208" t="s">
        <v>290</v>
      </c>
      <c r="B35" s="241">
        <f t="shared" si="0"/>
        <v>57</v>
      </c>
      <c r="C35" s="240">
        <f t="shared" si="1"/>
        <v>2.5525290011724341E-6</v>
      </c>
      <c r="D35" s="233">
        <f t="shared" si="2"/>
        <v>3.2537796226048554E-7</v>
      </c>
      <c r="E35" s="247">
        <f t="shared" si="3"/>
        <v>0.13846153846153847</v>
      </c>
      <c r="F35" s="251">
        <f t="shared" si="4"/>
        <v>1</v>
      </c>
      <c r="G35" s="248" t="s">
        <v>208</v>
      </c>
      <c r="H35" s="1379">
        <v>4.4101751496666699</v>
      </c>
      <c r="I35" s="234"/>
      <c r="J35" s="425"/>
      <c r="K35" s="418"/>
      <c r="L35" s="235"/>
      <c r="M35" s="236"/>
      <c r="N35" s="236"/>
      <c r="O35" s="237"/>
      <c r="P35" s="41">
        <v>49</v>
      </c>
      <c r="Q35" s="280"/>
      <c r="R35" s="275">
        <v>6.6028949881520333E-9</v>
      </c>
      <c r="S35" s="276">
        <v>3.2537796226048554E-7</v>
      </c>
      <c r="T35" s="41">
        <f t="shared" si="5"/>
        <v>57</v>
      </c>
      <c r="U35" s="227"/>
      <c r="V35" s="227"/>
      <c r="W35" s="227"/>
      <c r="X35" s="227"/>
      <c r="Y35" s="227"/>
      <c r="Z35" s="227"/>
      <c r="AA35" s="227"/>
      <c r="AB35" s="227"/>
    </row>
    <row r="36" spans="1:28" x14ac:dyDescent="0.35">
      <c r="A36" s="208" t="s">
        <v>442</v>
      </c>
      <c r="B36" s="241">
        <f t="shared" ref="B36" si="11">RANK(C36,C$7:C$71,0)</f>
        <v>58</v>
      </c>
      <c r="C36" s="240">
        <f t="shared" ref="C36" si="12">D36/MAX($D$7:$D$71)*10</f>
        <v>0</v>
      </c>
      <c r="D36" s="233">
        <f t="shared" ref="D36" si="13">O36+S36</f>
        <v>0</v>
      </c>
      <c r="E36" s="247">
        <f t="shared" ref="E36" si="14">_xlfn.RANK.EQ(C36,$C$7:$C$71,1)/COUNT($C$7:$C$71)</f>
        <v>1.5384615384615385E-2</v>
      </c>
      <c r="F36" s="251">
        <f t="shared" ref="F36" si="15">IF(E36&gt;0.66,-1,IF(E36&lt;0.335,1,0))</f>
        <v>1</v>
      </c>
      <c r="G36" s="248"/>
      <c r="H36" s="1379">
        <v>19.867618009000001</v>
      </c>
      <c r="I36" s="234"/>
      <c r="J36" s="425"/>
      <c r="K36" s="418"/>
      <c r="L36" s="235"/>
      <c r="M36" s="236"/>
      <c r="N36" s="236"/>
      <c r="O36" s="237"/>
      <c r="P36" s="41"/>
      <c r="Q36" s="280"/>
      <c r="R36" s="275"/>
      <c r="S36" s="276"/>
      <c r="T36" s="41"/>
      <c r="U36" s="227"/>
      <c r="V36" s="227"/>
      <c r="W36" s="227"/>
      <c r="X36" s="227"/>
      <c r="Y36" s="227"/>
      <c r="Z36" s="227"/>
      <c r="AA36" s="227"/>
      <c r="AB36" s="227"/>
    </row>
    <row r="37" spans="1:28" x14ac:dyDescent="0.35">
      <c r="A37" s="90" t="s">
        <v>98</v>
      </c>
      <c r="B37" s="241">
        <f t="shared" si="0"/>
        <v>11</v>
      </c>
      <c r="C37" s="240">
        <f t="shared" si="1"/>
        <v>1.107037654775856</v>
      </c>
      <c r="D37" s="233">
        <f t="shared" si="2"/>
        <v>0.14111716501208971</v>
      </c>
      <c r="E37" s="247">
        <f t="shared" si="3"/>
        <v>0.84615384615384615</v>
      </c>
      <c r="F37" s="251">
        <f t="shared" si="4"/>
        <v>-1</v>
      </c>
      <c r="G37" s="248" t="s">
        <v>97</v>
      </c>
      <c r="H37" s="1374">
        <v>1328.3575658316699</v>
      </c>
      <c r="I37" s="234"/>
      <c r="J37" s="425"/>
      <c r="K37" s="418"/>
      <c r="L37" s="235"/>
      <c r="M37" s="236"/>
      <c r="N37" s="236"/>
      <c r="O37" s="237"/>
      <c r="P37" s="41">
        <v>4</v>
      </c>
      <c r="Q37" s="280"/>
      <c r="R37" s="275">
        <v>2.8636906295903364E-3</v>
      </c>
      <c r="S37" s="276">
        <v>0.14111716501208971</v>
      </c>
      <c r="T37" s="41">
        <f t="shared" si="5"/>
        <v>11</v>
      </c>
      <c r="U37" s="227"/>
      <c r="V37" s="227"/>
      <c r="W37" s="227"/>
      <c r="X37" s="227"/>
      <c r="Y37" s="227"/>
      <c r="Z37" s="227"/>
      <c r="AA37" s="227"/>
      <c r="AB37" s="227"/>
    </row>
    <row r="38" spans="1:28" x14ac:dyDescent="0.35">
      <c r="A38" s="91" t="s">
        <v>110</v>
      </c>
      <c r="B38" s="241">
        <f t="shared" si="0"/>
        <v>12</v>
      </c>
      <c r="C38" s="240">
        <f t="shared" si="1"/>
        <v>1.0275665924678246</v>
      </c>
      <c r="D38" s="233">
        <f t="shared" si="2"/>
        <v>0.13098676794291395</v>
      </c>
      <c r="E38" s="247">
        <f t="shared" si="3"/>
        <v>0.83076923076923082</v>
      </c>
      <c r="F38" s="251">
        <f t="shared" si="4"/>
        <v>-1</v>
      </c>
      <c r="G38" s="248" t="s">
        <v>207</v>
      </c>
      <c r="H38" s="1374">
        <v>681.278912848</v>
      </c>
      <c r="I38" s="234"/>
      <c r="J38" s="425"/>
      <c r="K38" s="418"/>
      <c r="L38" s="235"/>
      <c r="M38" s="236"/>
      <c r="N38" s="236"/>
      <c r="O38" s="237"/>
      <c r="P38" s="41">
        <v>5</v>
      </c>
      <c r="Q38" s="280"/>
      <c r="R38" s="275">
        <v>2.6581144818655527E-3</v>
      </c>
      <c r="S38" s="276">
        <v>0.13098676794291395</v>
      </c>
      <c r="T38" s="41">
        <f t="shared" si="5"/>
        <v>12</v>
      </c>
      <c r="U38" s="227"/>
      <c r="V38" s="227"/>
      <c r="W38" s="227"/>
      <c r="X38" s="227"/>
      <c r="Y38" s="227"/>
      <c r="Z38" s="227"/>
      <c r="AA38" s="227"/>
      <c r="AB38" s="227"/>
    </row>
    <row r="39" spans="1:28" x14ac:dyDescent="0.35">
      <c r="A39" s="90" t="s">
        <v>95</v>
      </c>
      <c r="B39" s="241">
        <f t="shared" si="0"/>
        <v>6</v>
      </c>
      <c r="C39" s="240">
        <f t="shared" si="1"/>
        <v>1.3023396130713438</v>
      </c>
      <c r="D39" s="233">
        <f t="shared" si="2"/>
        <v>0.1660128481508433</v>
      </c>
      <c r="E39" s="247">
        <f t="shared" si="3"/>
        <v>0.92307692307692313</v>
      </c>
      <c r="F39" s="251">
        <f t="shared" si="4"/>
        <v>-1</v>
      </c>
      <c r="G39" s="248" t="s">
        <v>95</v>
      </c>
      <c r="H39" s="1374">
        <v>277.57070821333298</v>
      </c>
      <c r="I39" s="234"/>
      <c r="J39" s="425"/>
      <c r="K39" s="418"/>
      <c r="L39" s="235"/>
      <c r="M39" s="236"/>
      <c r="N39" s="236"/>
      <c r="O39" s="237"/>
      <c r="P39" s="41">
        <v>27</v>
      </c>
      <c r="Q39" s="280"/>
      <c r="R39" s="275">
        <v>3.3688987275250631E-3</v>
      </c>
      <c r="S39" s="276">
        <v>0.1660128481508433</v>
      </c>
      <c r="T39" s="41">
        <f t="shared" si="5"/>
        <v>6</v>
      </c>
      <c r="U39" s="227"/>
      <c r="V39" s="227"/>
      <c r="W39" s="227"/>
      <c r="X39" s="227"/>
      <c r="Y39" s="227"/>
      <c r="Z39" s="227"/>
      <c r="AA39" s="227"/>
      <c r="AB39" s="227"/>
    </row>
    <row r="40" spans="1:28" x14ac:dyDescent="0.35">
      <c r="A40" s="208" t="s">
        <v>122</v>
      </c>
      <c r="B40" s="241">
        <f t="shared" si="0"/>
        <v>35</v>
      </c>
      <c r="C40" s="240">
        <f t="shared" si="1"/>
        <v>6.3801257355281707E-2</v>
      </c>
      <c r="D40" s="233">
        <f t="shared" si="2"/>
        <v>8.132923503859529E-3</v>
      </c>
      <c r="E40" s="247">
        <f t="shared" si="3"/>
        <v>0.47692307692307695</v>
      </c>
      <c r="F40" s="251">
        <f t="shared" si="4"/>
        <v>0</v>
      </c>
      <c r="G40" s="249" t="s">
        <v>208</v>
      </c>
      <c r="H40" s="1374">
        <v>50.136247276666701</v>
      </c>
      <c r="I40" s="234"/>
      <c r="J40" s="425"/>
      <c r="K40" s="418"/>
      <c r="L40" s="235"/>
      <c r="M40" s="236"/>
      <c r="N40" s="236"/>
      <c r="O40" s="237"/>
      <c r="P40" s="41">
        <v>24</v>
      </c>
      <c r="Q40" s="280"/>
      <c r="R40" s="275">
        <v>1.6504141666382141E-4</v>
      </c>
      <c r="S40" s="276">
        <v>8.132923503859529E-3</v>
      </c>
      <c r="T40" s="41">
        <f t="shared" si="5"/>
        <v>35</v>
      </c>
      <c r="U40" s="227"/>
      <c r="V40" s="227"/>
      <c r="W40" s="227"/>
      <c r="X40" s="227"/>
      <c r="Y40" s="227"/>
      <c r="Z40" s="227"/>
      <c r="AA40" s="227"/>
      <c r="AB40" s="227"/>
    </row>
    <row r="41" spans="1:28" x14ac:dyDescent="0.35">
      <c r="A41" s="90" t="s">
        <v>103</v>
      </c>
      <c r="B41" s="241">
        <f t="shared" ref="B41:B71" si="16">RANK(C41,C$7:C$71,0)</f>
        <v>13</v>
      </c>
      <c r="C41" s="240">
        <f t="shared" ref="C41:C71" si="17">D41/MAX($D$7:$D$71)*10</f>
        <v>0.92005386026752833</v>
      </c>
      <c r="D41" s="233">
        <f t="shared" ref="D41:D71" si="18">O41+S41</f>
        <v>0.11728182131769577</v>
      </c>
      <c r="E41" s="247">
        <f t="shared" ref="E41:E71" si="19">_xlfn.RANK.EQ(C41,$C$7:$C$71,1)/COUNT($C$7:$C$71)</f>
        <v>0.8</v>
      </c>
      <c r="F41" s="251">
        <f t="shared" ref="F41:F71" si="20">IF(E41&gt;0.66,-1,IF(E41&lt;0.335,1,0))</f>
        <v>-1</v>
      </c>
      <c r="G41" s="248" t="s">
        <v>206</v>
      </c>
      <c r="H41" s="1374">
        <v>54.165091263333302</v>
      </c>
      <c r="I41" s="367"/>
      <c r="J41" s="425"/>
      <c r="K41" s="419"/>
      <c r="L41" s="235"/>
      <c r="M41" s="236"/>
      <c r="N41" s="236"/>
      <c r="O41" s="237"/>
      <c r="P41" s="41">
        <v>13</v>
      </c>
      <c r="Q41" s="280"/>
      <c r="R41" s="275">
        <v>2.3800000000000002E-3</v>
      </c>
      <c r="S41" s="276">
        <v>0.11728182131769577</v>
      </c>
      <c r="T41" s="41">
        <f t="shared" si="5"/>
        <v>13</v>
      </c>
      <c r="U41" s="227"/>
      <c r="V41" s="227"/>
      <c r="W41" s="227"/>
      <c r="X41" s="227"/>
      <c r="Y41" s="227"/>
      <c r="Z41" s="227"/>
      <c r="AA41" s="227"/>
      <c r="AB41" s="227"/>
    </row>
    <row r="42" spans="1:28" x14ac:dyDescent="0.35">
      <c r="A42" s="90" t="s">
        <v>309</v>
      </c>
      <c r="B42" s="241">
        <f t="shared" si="16"/>
        <v>21</v>
      </c>
      <c r="C42" s="240">
        <f t="shared" si="17"/>
        <v>0.39382970027953296</v>
      </c>
      <c r="D42" s="233">
        <f t="shared" si="18"/>
        <v>5.0202565884952928E-2</v>
      </c>
      <c r="E42" s="247">
        <f t="shared" si="19"/>
        <v>0.69230769230769229</v>
      </c>
      <c r="F42" s="251">
        <f t="shared" si="20"/>
        <v>-1</v>
      </c>
      <c r="G42" s="248" t="s">
        <v>211</v>
      </c>
      <c r="H42" s="1374">
        <v>434.868640088333</v>
      </c>
      <c r="I42" s="234"/>
      <c r="J42" s="425"/>
      <c r="K42" s="418"/>
      <c r="L42" s="235"/>
      <c r="M42" s="236"/>
      <c r="N42" s="236"/>
      <c r="O42" s="237"/>
      <c r="P42" s="41">
        <v>33</v>
      </c>
      <c r="Q42" s="280"/>
      <c r="R42" s="275">
        <v>1.0187606695033497E-3</v>
      </c>
      <c r="S42" s="276">
        <v>5.0202565884952928E-2</v>
      </c>
      <c r="T42" s="41">
        <f t="shared" si="5"/>
        <v>21</v>
      </c>
      <c r="U42" s="227"/>
      <c r="V42" s="227"/>
      <c r="W42" s="227"/>
      <c r="X42" s="227"/>
      <c r="Y42" s="227"/>
      <c r="Z42" s="227"/>
      <c r="AA42" s="227"/>
      <c r="AB42" s="227"/>
    </row>
    <row r="43" spans="1:28" x14ac:dyDescent="0.35">
      <c r="A43" s="208" t="s">
        <v>123</v>
      </c>
      <c r="B43" s="241">
        <f t="shared" si="16"/>
        <v>16</v>
      </c>
      <c r="C43" s="240">
        <f t="shared" si="17"/>
        <v>0.70649348101203724</v>
      </c>
      <c r="D43" s="233">
        <f t="shared" si="18"/>
        <v>9.0058686540456873E-2</v>
      </c>
      <c r="E43" s="247">
        <f t="shared" si="19"/>
        <v>0.76923076923076927</v>
      </c>
      <c r="F43" s="251">
        <f t="shared" si="20"/>
        <v>-1</v>
      </c>
      <c r="G43" s="248" t="s">
        <v>210</v>
      </c>
      <c r="H43" s="1374">
        <v>142.17948308366701</v>
      </c>
      <c r="I43" s="234"/>
      <c r="J43" s="425"/>
      <c r="K43" s="418"/>
      <c r="L43" s="235"/>
      <c r="M43" s="236"/>
      <c r="N43" s="236"/>
      <c r="O43" s="237"/>
      <c r="P43" s="41">
        <v>40</v>
      </c>
      <c r="Q43" s="280"/>
      <c r="R43" s="275">
        <v>1.8275609259654916E-3</v>
      </c>
      <c r="S43" s="276">
        <v>9.0058686540456873E-2</v>
      </c>
      <c r="T43" s="41">
        <f t="shared" si="5"/>
        <v>16</v>
      </c>
      <c r="U43" s="227"/>
      <c r="V43" s="227"/>
      <c r="W43" s="227"/>
      <c r="X43" s="227"/>
      <c r="Y43" s="227"/>
      <c r="Z43" s="227"/>
      <c r="AA43" s="227"/>
      <c r="AB43" s="227"/>
    </row>
    <row r="44" spans="1:28" x14ac:dyDescent="0.35">
      <c r="A44" s="208" t="s">
        <v>294</v>
      </c>
      <c r="B44" s="241">
        <f t="shared" si="16"/>
        <v>4</v>
      </c>
      <c r="C44" s="240">
        <f t="shared" si="17"/>
        <v>2.5866399727490546</v>
      </c>
      <c r="D44" s="233">
        <f t="shared" si="18"/>
        <v>0.32972618256169589</v>
      </c>
      <c r="E44" s="247">
        <f t="shared" si="19"/>
        <v>0.9538461538461539</v>
      </c>
      <c r="F44" s="251">
        <f t="shared" si="20"/>
        <v>-1</v>
      </c>
      <c r="G44" s="248" t="s">
        <v>212</v>
      </c>
      <c r="H44" s="1374">
        <v>1360.50982856467</v>
      </c>
      <c r="I44" s="234"/>
      <c r="J44" s="425"/>
      <c r="K44" s="418"/>
      <c r="L44" s="235"/>
      <c r="M44" s="236"/>
      <c r="N44" s="236"/>
      <c r="O44" s="237"/>
      <c r="P44" s="41">
        <v>1</v>
      </c>
      <c r="Q44" s="280"/>
      <c r="R44" s="275">
        <v>6.6911334227244953E-3</v>
      </c>
      <c r="S44" s="276">
        <v>0.32972618256169589</v>
      </c>
      <c r="T44" s="41">
        <f t="shared" ref="T44:T71" si="21">RANK(S44,S$7:S$71,0)</f>
        <v>4</v>
      </c>
      <c r="U44" s="227"/>
      <c r="V44" s="227"/>
      <c r="W44" s="227"/>
      <c r="X44" s="227"/>
      <c r="Y44" s="227"/>
      <c r="Z44" s="227"/>
      <c r="AA44" s="227"/>
      <c r="AB44" s="227"/>
    </row>
    <row r="45" spans="1:28" x14ac:dyDescent="0.35">
      <c r="A45" s="90" t="s">
        <v>7</v>
      </c>
      <c r="B45" s="241">
        <f t="shared" si="16"/>
        <v>23</v>
      </c>
      <c r="C45" s="240">
        <f t="shared" si="17"/>
        <v>0.31113207689752143</v>
      </c>
      <c r="D45" s="233">
        <f t="shared" si="18"/>
        <v>3.966087011285218E-2</v>
      </c>
      <c r="E45" s="247">
        <f t="shared" si="19"/>
        <v>0.66153846153846152</v>
      </c>
      <c r="F45" s="251">
        <f t="shared" si="20"/>
        <v>-1</v>
      </c>
      <c r="G45" s="248" t="s">
        <v>7</v>
      </c>
      <c r="H45" s="1374">
        <v>2567.2361505303302</v>
      </c>
      <c r="I45" s="234"/>
      <c r="J45" s="425"/>
      <c r="K45" s="418"/>
      <c r="L45" s="235"/>
      <c r="M45" s="236"/>
      <c r="N45" s="236"/>
      <c r="O45" s="237"/>
      <c r="P45" s="41">
        <v>11</v>
      </c>
      <c r="Q45" s="280"/>
      <c r="R45" s="275">
        <v>8.048380372001092E-4</v>
      </c>
      <c r="S45" s="276">
        <v>3.966087011285218E-2</v>
      </c>
      <c r="T45" s="41">
        <f t="shared" si="21"/>
        <v>23</v>
      </c>
      <c r="U45" s="227"/>
      <c r="V45" s="227"/>
      <c r="W45" s="227"/>
      <c r="X45" s="227"/>
      <c r="Y45" s="227"/>
      <c r="Z45" s="227"/>
      <c r="AA45" s="227"/>
      <c r="AB45" s="227"/>
    </row>
    <row r="46" spans="1:28" x14ac:dyDescent="0.35">
      <c r="A46" s="208" t="s">
        <v>124</v>
      </c>
      <c r="B46" s="241">
        <f t="shared" si="16"/>
        <v>56</v>
      </c>
      <c r="C46" s="240">
        <f t="shared" si="17"/>
        <v>3.6187538314535099E-3</v>
      </c>
      <c r="D46" s="233">
        <f t="shared" si="18"/>
        <v>4.6129260316330687E-4</v>
      </c>
      <c r="E46" s="247">
        <f t="shared" si="19"/>
        <v>0.15384615384615385</v>
      </c>
      <c r="F46" s="251">
        <f t="shared" si="20"/>
        <v>1</v>
      </c>
      <c r="G46" s="249" t="s">
        <v>208</v>
      </c>
      <c r="H46" s="1374">
        <v>27.006160184999999</v>
      </c>
      <c r="I46" s="234"/>
      <c r="J46" s="425"/>
      <c r="K46" s="418"/>
      <c r="L46" s="235"/>
      <c r="M46" s="236"/>
      <c r="N46" s="236"/>
      <c r="O46" s="237"/>
      <c r="P46" s="41">
        <v>45</v>
      </c>
      <c r="Q46" s="280"/>
      <c r="R46" s="275">
        <v>9.3610107959929862E-6</v>
      </c>
      <c r="S46" s="276">
        <v>4.6129260316330687E-4</v>
      </c>
      <c r="T46" s="41">
        <f t="shared" si="21"/>
        <v>56</v>
      </c>
      <c r="U46" s="227"/>
      <c r="V46" s="227"/>
      <c r="W46" s="227"/>
      <c r="X46" s="227"/>
      <c r="Y46" s="227"/>
      <c r="Z46" s="227"/>
      <c r="AA46" s="227"/>
      <c r="AB46" s="227"/>
    </row>
    <row r="47" spans="1:28" x14ac:dyDescent="0.35">
      <c r="A47" s="208" t="s">
        <v>125</v>
      </c>
      <c r="B47" s="241">
        <f t="shared" si="16"/>
        <v>43</v>
      </c>
      <c r="C47" s="240">
        <f t="shared" si="17"/>
        <v>2.6344966813272138E-2</v>
      </c>
      <c r="D47" s="233">
        <f t="shared" si="18"/>
        <v>3.3582661014175588E-3</v>
      </c>
      <c r="E47" s="247">
        <f t="shared" si="19"/>
        <v>0.35384615384615387</v>
      </c>
      <c r="F47" s="251">
        <f t="shared" si="20"/>
        <v>0</v>
      </c>
      <c r="G47" s="249" t="s">
        <v>205</v>
      </c>
      <c r="H47" s="1374">
        <v>46.491946964</v>
      </c>
      <c r="I47" s="234"/>
      <c r="J47" s="425"/>
      <c r="K47" s="420"/>
      <c r="L47" s="235"/>
      <c r="M47" s="238"/>
      <c r="N47" s="238"/>
      <c r="O47" s="239"/>
      <c r="P47" s="41">
        <v>50</v>
      </c>
      <c r="Q47" s="280"/>
      <c r="R47" s="275">
        <v>6.814929399606652E-5</v>
      </c>
      <c r="S47" s="276">
        <v>3.3582661014175588E-3</v>
      </c>
      <c r="T47" s="41">
        <f t="shared" si="21"/>
        <v>43</v>
      </c>
      <c r="U47" s="227"/>
      <c r="V47" s="227"/>
      <c r="W47" s="227"/>
      <c r="X47" s="227"/>
      <c r="Y47" s="227"/>
      <c r="Z47" s="227"/>
      <c r="AA47" s="227"/>
      <c r="AB47" s="227"/>
    </row>
    <row r="48" spans="1:28" x14ac:dyDescent="0.35">
      <c r="A48" s="208" t="s">
        <v>447</v>
      </c>
      <c r="B48" s="241">
        <f t="shared" ref="B48" si="22">RANK(C48,C$7:C$71,0)</f>
        <v>58</v>
      </c>
      <c r="C48" s="240">
        <f t="shared" ref="C48" si="23">D48/MAX($D$7:$D$71)*10</f>
        <v>0</v>
      </c>
      <c r="D48" s="233">
        <f t="shared" ref="D48" si="24">O48+S48</f>
        <v>0</v>
      </c>
      <c r="E48" s="247">
        <f t="shared" ref="E48" si="25">_xlfn.RANK.EQ(C48,$C$7:$C$71,1)/COUNT($C$7:$C$71)</f>
        <v>1.5384615384615385E-2</v>
      </c>
      <c r="F48" s="251">
        <f t="shared" ref="F48" si="26">IF(E48&gt;0.66,-1,IF(E48&lt;0.335,1,0))</f>
        <v>1</v>
      </c>
      <c r="G48" s="249"/>
      <c r="H48" s="1374">
        <v>42.221759280999997</v>
      </c>
      <c r="I48" s="234"/>
      <c r="J48" s="425"/>
      <c r="K48" s="420"/>
      <c r="L48" s="235"/>
      <c r="M48" s="238"/>
      <c r="N48" s="238"/>
      <c r="O48" s="239"/>
      <c r="P48" s="41"/>
      <c r="Q48" s="280"/>
      <c r="R48" s="275"/>
      <c r="S48" s="276"/>
      <c r="T48" s="41"/>
      <c r="U48" s="227"/>
      <c r="V48" s="227"/>
      <c r="W48" s="227"/>
      <c r="X48" s="227"/>
      <c r="Y48" s="227"/>
      <c r="Z48" s="227"/>
      <c r="AA48" s="227"/>
      <c r="AB48" s="227"/>
    </row>
    <row r="49" spans="1:28" x14ac:dyDescent="0.35">
      <c r="A49" s="208" t="s">
        <v>11</v>
      </c>
      <c r="B49" s="241">
        <f t="shared" si="16"/>
        <v>17</v>
      </c>
      <c r="C49" s="240">
        <f t="shared" si="17"/>
        <v>0.69121383653968793</v>
      </c>
      <c r="D49" s="233">
        <f t="shared" si="18"/>
        <v>8.8110947815375151E-2</v>
      </c>
      <c r="E49" s="247">
        <f t="shared" si="19"/>
        <v>0.75384615384615383</v>
      </c>
      <c r="F49" s="251">
        <f t="shared" si="20"/>
        <v>-1</v>
      </c>
      <c r="G49" s="248" t="s">
        <v>210</v>
      </c>
      <c r="H49" s="1374">
        <v>474.61816429599997</v>
      </c>
      <c r="I49" s="234"/>
      <c r="J49" s="425"/>
      <c r="K49" s="418"/>
      <c r="L49" s="235"/>
      <c r="M49" s="236"/>
      <c r="N49" s="236"/>
      <c r="O49" s="237"/>
      <c r="P49" s="41">
        <v>41</v>
      </c>
      <c r="Q49" s="280"/>
      <c r="R49" s="275">
        <v>1.7880354640174079E-3</v>
      </c>
      <c r="S49" s="276">
        <v>8.8110947815375151E-2</v>
      </c>
      <c r="T49" s="41">
        <f t="shared" si="21"/>
        <v>17</v>
      </c>
      <c r="U49" s="227"/>
      <c r="V49" s="227"/>
      <c r="W49" s="227"/>
      <c r="X49" s="227"/>
      <c r="Y49" s="227"/>
      <c r="Z49" s="227"/>
      <c r="AA49" s="227"/>
      <c r="AB49" s="227"/>
    </row>
    <row r="50" spans="1:28" x14ac:dyDescent="0.35">
      <c r="A50" s="208" t="s">
        <v>20</v>
      </c>
      <c r="B50" s="241">
        <f t="shared" si="16"/>
        <v>49</v>
      </c>
      <c r="C50" s="240">
        <f t="shared" si="17"/>
        <v>9.8152708151432802E-3</v>
      </c>
      <c r="D50" s="233">
        <f t="shared" si="18"/>
        <v>1.2511798359192824E-3</v>
      </c>
      <c r="E50" s="247">
        <f t="shared" si="19"/>
        <v>0.26153846153846155</v>
      </c>
      <c r="F50" s="251">
        <f t="shared" si="20"/>
        <v>1</v>
      </c>
      <c r="G50" s="249" t="s">
        <v>210</v>
      </c>
      <c r="H50" s="1374">
        <v>3.4892383436666701</v>
      </c>
      <c r="I50" s="234"/>
      <c r="J50" s="425"/>
      <c r="K50" s="418"/>
      <c r="L50" s="235"/>
      <c r="M50" s="236"/>
      <c r="N50" s="236"/>
      <c r="O50" s="237"/>
      <c r="P50" s="41">
        <v>47</v>
      </c>
      <c r="Q50" s="280"/>
      <c r="R50" s="275">
        <v>2.5390192410309998E-5</v>
      </c>
      <c r="S50" s="276">
        <v>1.2511798359192824E-3</v>
      </c>
      <c r="T50" s="41">
        <f t="shared" si="21"/>
        <v>49</v>
      </c>
      <c r="U50" s="227"/>
      <c r="V50" s="227"/>
      <c r="W50" s="227"/>
      <c r="X50" s="227"/>
      <c r="Y50" s="227"/>
      <c r="Z50" s="227"/>
      <c r="AA50" s="227"/>
      <c r="AB50" s="227"/>
    </row>
    <row r="51" spans="1:28" x14ac:dyDescent="0.35">
      <c r="A51" s="208" t="s">
        <v>448</v>
      </c>
      <c r="B51" s="241">
        <f t="shared" ref="B51:B52" si="27">RANK(C51,C$7:C$71,0)</f>
        <v>58</v>
      </c>
      <c r="C51" s="240">
        <f t="shared" ref="C51:C52" si="28">D51/MAX($D$7:$D$71)*10</f>
        <v>0</v>
      </c>
      <c r="D51" s="233">
        <f t="shared" ref="D51:D52" si="29">O51+S51</f>
        <v>0</v>
      </c>
      <c r="E51" s="247">
        <f t="shared" ref="E51:E52" si="30">_xlfn.RANK.EQ(C51,$C$7:$C$71,1)/COUNT($C$7:$C$71)</f>
        <v>1.5384615384615385E-2</v>
      </c>
      <c r="F51" s="251">
        <f t="shared" ref="F51:F52" si="31">IF(E51&gt;0.66,-1,IF(E51&lt;0.335,1,0))</f>
        <v>1</v>
      </c>
      <c r="G51" s="249"/>
      <c r="H51" s="1374">
        <v>21.406091520333302</v>
      </c>
      <c r="I51" s="234"/>
      <c r="J51" s="425"/>
      <c r="K51" s="418"/>
      <c r="L51" s="235"/>
      <c r="M51" s="236"/>
      <c r="N51" s="236"/>
      <c r="O51" s="237"/>
      <c r="P51" s="41"/>
      <c r="Q51" s="280"/>
      <c r="R51" s="275"/>
      <c r="S51" s="276"/>
      <c r="T51" s="41"/>
      <c r="U51" s="227"/>
      <c r="V51" s="227"/>
      <c r="W51" s="227"/>
      <c r="X51" s="227"/>
      <c r="Y51" s="227"/>
      <c r="Z51" s="227"/>
      <c r="AA51" s="227"/>
      <c r="AB51" s="227"/>
    </row>
    <row r="52" spans="1:28" x14ac:dyDescent="0.35">
      <c r="A52" s="208" t="s">
        <v>464</v>
      </c>
      <c r="B52" s="241">
        <f t="shared" si="27"/>
        <v>58</v>
      </c>
      <c r="C52" s="240">
        <f t="shared" si="28"/>
        <v>0</v>
      </c>
      <c r="D52" s="233">
        <f t="shared" si="29"/>
        <v>0</v>
      </c>
      <c r="E52" s="247">
        <f t="shared" si="30"/>
        <v>1.5384615384615385E-2</v>
      </c>
      <c r="F52" s="251">
        <f t="shared" si="31"/>
        <v>1</v>
      </c>
      <c r="G52" s="249"/>
      <c r="H52" s="1374">
        <v>12.543001237666701</v>
      </c>
      <c r="I52" s="234"/>
      <c r="J52" s="425"/>
      <c r="K52" s="418"/>
      <c r="L52" s="235"/>
      <c r="M52" s="236"/>
      <c r="N52" s="236"/>
      <c r="O52" s="237"/>
      <c r="P52" s="41"/>
      <c r="Q52" s="280"/>
      <c r="R52" s="275"/>
      <c r="S52" s="276"/>
      <c r="T52" s="41"/>
      <c r="U52" s="227"/>
      <c r="V52" s="227"/>
      <c r="W52" s="227"/>
      <c r="X52" s="227"/>
      <c r="Y52" s="227"/>
      <c r="Z52" s="227"/>
      <c r="AA52" s="227"/>
      <c r="AB52" s="227"/>
    </row>
    <row r="53" spans="1:28" x14ac:dyDescent="0.35">
      <c r="A53" s="208" t="s">
        <v>421</v>
      </c>
      <c r="B53" s="241">
        <f t="shared" si="16"/>
        <v>32</v>
      </c>
      <c r="C53" s="240">
        <f t="shared" si="17"/>
        <v>7.7058256008769935E-2</v>
      </c>
      <c r="D53" s="233">
        <f t="shared" si="18"/>
        <v>9.82282994785319E-3</v>
      </c>
      <c r="E53" s="247">
        <f t="shared" si="19"/>
        <v>0.52307692307692311</v>
      </c>
      <c r="F53" s="251">
        <f t="shared" si="20"/>
        <v>0</v>
      </c>
      <c r="G53" s="248" t="s">
        <v>205</v>
      </c>
      <c r="H53" s="1374">
        <v>384.44428578066697</v>
      </c>
      <c r="I53" s="234"/>
      <c r="J53" s="425"/>
      <c r="K53" s="420"/>
      <c r="L53" s="235"/>
      <c r="M53" s="238"/>
      <c r="N53" s="238"/>
      <c r="O53" s="239"/>
      <c r="P53" s="41">
        <v>50</v>
      </c>
      <c r="Q53" s="280"/>
      <c r="R53" s="275">
        <v>1.9933468813178475E-4</v>
      </c>
      <c r="S53" s="276">
        <v>9.82282994785319E-3</v>
      </c>
      <c r="T53" s="41">
        <f t="shared" si="21"/>
        <v>32</v>
      </c>
      <c r="U53" s="227"/>
      <c r="V53" s="227"/>
      <c r="W53" s="227"/>
      <c r="X53" s="227"/>
      <c r="Y53" s="227"/>
      <c r="Z53" s="227"/>
      <c r="AA53" s="227"/>
      <c r="AB53" s="227"/>
    </row>
    <row r="54" spans="1:28" x14ac:dyDescent="0.35">
      <c r="A54" s="91" t="s">
        <v>100</v>
      </c>
      <c r="B54" s="241">
        <f t="shared" si="16"/>
        <v>3</v>
      </c>
      <c r="C54" s="240">
        <f t="shared" si="17"/>
        <v>3.0943321254171092</v>
      </c>
      <c r="D54" s="233">
        <f t="shared" si="18"/>
        <v>0.39444311154267692</v>
      </c>
      <c r="E54" s="247">
        <f t="shared" si="19"/>
        <v>0.96923076923076923</v>
      </c>
      <c r="F54" s="251">
        <f t="shared" si="20"/>
        <v>-1</v>
      </c>
      <c r="G54" s="248" t="s">
        <v>94</v>
      </c>
      <c r="H54" s="1374">
        <v>5065.0483590169997</v>
      </c>
      <c r="I54" s="234"/>
      <c r="J54" s="425"/>
      <c r="K54" s="418"/>
      <c r="L54" s="235"/>
      <c r="M54" s="236"/>
      <c r="N54" s="236"/>
      <c r="O54" s="237"/>
      <c r="P54" s="41">
        <v>2</v>
      </c>
      <c r="Q54" s="280"/>
      <c r="R54" s="275">
        <v>8.0044340625355422E-3</v>
      </c>
      <c r="S54" s="276">
        <v>0.39444311154267692</v>
      </c>
      <c r="T54" s="41">
        <f t="shared" si="21"/>
        <v>3</v>
      </c>
      <c r="U54" s="227"/>
      <c r="V54" s="227"/>
      <c r="W54" s="227"/>
      <c r="X54" s="227"/>
      <c r="Y54" s="227"/>
      <c r="Z54" s="227"/>
      <c r="AA54" s="227"/>
      <c r="AB54" s="227"/>
    </row>
    <row r="55" spans="1:28" x14ac:dyDescent="0.35">
      <c r="A55" s="208" t="s">
        <v>15</v>
      </c>
      <c r="B55" s="241">
        <f t="shared" si="16"/>
        <v>29</v>
      </c>
      <c r="C55" s="240">
        <f t="shared" si="17"/>
        <v>0.11378062060372993</v>
      </c>
      <c r="D55" s="233">
        <f t="shared" si="18"/>
        <v>1.4503931771106286E-2</v>
      </c>
      <c r="E55" s="247">
        <f t="shared" si="19"/>
        <v>0.56923076923076921</v>
      </c>
      <c r="F55" s="251">
        <f t="shared" si="20"/>
        <v>0</v>
      </c>
      <c r="G55" s="249" t="s">
        <v>210</v>
      </c>
      <c r="H55" s="1374">
        <v>31.064340464333299</v>
      </c>
      <c r="I55" s="234"/>
      <c r="J55" s="425"/>
      <c r="K55" s="418"/>
      <c r="L55" s="235"/>
      <c r="M55" s="236"/>
      <c r="N55" s="236"/>
      <c r="O55" s="237"/>
      <c r="P55" s="41">
        <v>46</v>
      </c>
      <c r="Q55" s="280"/>
      <c r="R55" s="275">
        <v>2.9432828743105986E-4</v>
      </c>
      <c r="S55" s="276">
        <v>1.4503931771106286E-2</v>
      </c>
      <c r="T55" s="41">
        <f t="shared" si="21"/>
        <v>29</v>
      </c>
      <c r="U55" s="227"/>
      <c r="V55" s="227"/>
      <c r="W55" s="227"/>
      <c r="X55" s="227"/>
      <c r="Y55" s="227"/>
      <c r="Z55" s="227"/>
      <c r="AA55" s="227"/>
      <c r="AB55" s="227"/>
    </row>
    <row r="56" spans="1:28" x14ac:dyDescent="0.35">
      <c r="A56" s="208" t="s">
        <v>176</v>
      </c>
      <c r="B56" s="241">
        <f t="shared" si="16"/>
        <v>28</v>
      </c>
      <c r="C56" s="240">
        <f t="shared" si="17"/>
        <v>0.16474888350914649</v>
      </c>
      <c r="D56" s="233">
        <f t="shared" si="18"/>
        <v>2.1000997824617822E-2</v>
      </c>
      <c r="E56" s="247">
        <f t="shared" si="19"/>
        <v>0.58461538461538465</v>
      </c>
      <c r="F56" s="251">
        <f t="shared" si="20"/>
        <v>0</v>
      </c>
      <c r="G56" s="248" t="s">
        <v>205</v>
      </c>
      <c r="H56" s="1374">
        <v>25.352288555333299</v>
      </c>
      <c r="I56" s="234"/>
      <c r="J56" s="425"/>
      <c r="K56" s="420"/>
      <c r="L56" s="235"/>
      <c r="M56" s="238"/>
      <c r="N56" s="238"/>
      <c r="O56" s="239"/>
      <c r="P56" s="41">
        <v>50</v>
      </c>
      <c r="Q56" s="280"/>
      <c r="R56" s="275">
        <v>4.2617324885496941E-4</v>
      </c>
      <c r="S56" s="276">
        <v>2.1000997824617822E-2</v>
      </c>
      <c r="T56" s="41">
        <f t="shared" si="21"/>
        <v>28</v>
      </c>
      <c r="U56" s="227"/>
      <c r="V56" s="227"/>
      <c r="W56" s="227"/>
      <c r="X56" s="227"/>
      <c r="Y56" s="227"/>
      <c r="Z56" s="227"/>
      <c r="AA56" s="227"/>
      <c r="AB56" s="227"/>
    </row>
    <row r="57" spans="1:28" x14ac:dyDescent="0.35">
      <c r="A57" s="208" t="s">
        <v>126</v>
      </c>
      <c r="B57" s="241">
        <f t="shared" si="16"/>
        <v>50</v>
      </c>
      <c r="C57" s="240">
        <f t="shared" si="17"/>
        <v>8.9013646173148418E-3</v>
      </c>
      <c r="D57" s="233">
        <f t="shared" si="18"/>
        <v>1.1346816742098327E-3</v>
      </c>
      <c r="E57" s="247">
        <f t="shared" si="19"/>
        <v>0.24615384615384617</v>
      </c>
      <c r="F57" s="251">
        <f t="shared" si="20"/>
        <v>1</v>
      </c>
      <c r="G57" s="249" t="s">
        <v>205</v>
      </c>
      <c r="H57" s="1374">
        <v>10.733480725</v>
      </c>
      <c r="I57" s="234"/>
      <c r="J57" s="425"/>
      <c r="K57" s="420"/>
      <c r="L57" s="235"/>
      <c r="M57" s="238"/>
      <c r="N57" s="238"/>
      <c r="O57" s="239"/>
      <c r="P57" s="41">
        <v>50</v>
      </c>
      <c r="Q57" s="280"/>
      <c r="R57" s="275">
        <v>2.3026095214740134E-5</v>
      </c>
      <c r="S57" s="276">
        <v>1.1346816742098327E-3</v>
      </c>
      <c r="T57" s="41">
        <f t="shared" si="21"/>
        <v>50</v>
      </c>
      <c r="U57" s="227"/>
      <c r="V57" s="227"/>
      <c r="W57" s="227"/>
      <c r="X57" s="227"/>
      <c r="Y57" s="227"/>
      <c r="Z57" s="227"/>
      <c r="AA57" s="227"/>
      <c r="AB57" s="227"/>
    </row>
    <row r="58" spans="1:28" x14ac:dyDescent="0.35">
      <c r="A58" s="90" t="s">
        <v>96</v>
      </c>
      <c r="B58" s="241">
        <f t="shared" si="16"/>
        <v>2</v>
      </c>
      <c r="C58" s="240">
        <f t="shared" si="17"/>
        <v>3.6736288928390932</v>
      </c>
      <c r="D58" s="233">
        <f t="shared" si="18"/>
        <v>0.46828767967149104</v>
      </c>
      <c r="E58" s="247">
        <f t="shared" si="19"/>
        <v>0.98461538461538467</v>
      </c>
      <c r="F58" s="251">
        <f t="shared" si="20"/>
        <v>-1</v>
      </c>
      <c r="G58" s="248" t="s">
        <v>177</v>
      </c>
      <c r="H58" s="1374">
        <v>709.73127219100002</v>
      </c>
      <c r="I58" s="234"/>
      <c r="J58" s="425"/>
      <c r="K58" s="418"/>
      <c r="L58" s="235"/>
      <c r="M58" s="236"/>
      <c r="N58" s="236"/>
      <c r="O58" s="237"/>
      <c r="P58" s="41">
        <v>7</v>
      </c>
      <c r="Q58" s="280"/>
      <c r="R58" s="275">
        <v>9.5029618835735675E-3</v>
      </c>
      <c r="S58" s="276">
        <v>0.46828767967149104</v>
      </c>
      <c r="T58" s="41">
        <f t="shared" si="21"/>
        <v>2</v>
      </c>
      <c r="U58" s="227"/>
      <c r="V58" s="227"/>
      <c r="W58" s="227"/>
      <c r="X58" s="227"/>
      <c r="Y58" s="227"/>
      <c r="Z58" s="227"/>
      <c r="AA58" s="227"/>
      <c r="AB58" s="227"/>
    </row>
    <row r="59" spans="1:28" x14ac:dyDescent="0.35">
      <c r="A59" s="90" t="s">
        <v>450</v>
      </c>
      <c r="B59" s="241">
        <f t="shared" ref="B59" si="32">RANK(C59,C$7:C$71,0)</f>
        <v>58</v>
      </c>
      <c r="C59" s="240">
        <f t="shared" ref="C59" si="33">D59/MAX($D$7:$D$71)*10</f>
        <v>0</v>
      </c>
      <c r="D59" s="233">
        <f t="shared" ref="D59" si="34">O59+S59</f>
        <v>0</v>
      </c>
      <c r="E59" s="247">
        <f t="shared" ref="E59" si="35">_xlfn.RANK.EQ(C59,$C$7:$C$71,1)/COUNT($C$7:$C$71)</f>
        <v>1.5384615384615385E-2</v>
      </c>
      <c r="F59" s="251">
        <f t="shared" ref="F59" si="36">IF(E59&gt;0.66,-1,IF(E59&lt;0.335,1,0))</f>
        <v>1</v>
      </c>
      <c r="G59" s="248"/>
      <c r="H59" s="1374">
        <v>71.233649432333294</v>
      </c>
      <c r="I59" s="234"/>
      <c r="J59" s="425"/>
      <c r="K59" s="418"/>
      <c r="L59" s="235"/>
      <c r="M59" s="236"/>
      <c r="N59" s="236"/>
      <c r="O59" s="237"/>
      <c r="P59" s="41"/>
      <c r="Q59" s="280"/>
      <c r="R59" s="275"/>
      <c r="S59" s="276"/>
      <c r="T59" s="41"/>
      <c r="U59" s="227"/>
      <c r="V59" s="227"/>
      <c r="W59" s="227"/>
      <c r="X59" s="227"/>
      <c r="Y59" s="227"/>
      <c r="Z59" s="227"/>
      <c r="AA59" s="227"/>
      <c r="AB59" s="227"/>
    </row>
    <row r="60" spans="1:28" x14ac:dyDescent="0.35">
      <c r="A60" s="208" t="s">
        <v>127</v>
      </c>
      <c r="B60" s="241">
        <f t="shared" si="16"/>
        <v>45</v>
      </c>
      <c r="C60" s="240">
        <f t="shared" si="17"/>
        <v>2.0038669065841175E-2</v>
      </c>
      <c r="D60" s="233">
        <f t="shared" si="18"/>
        <v>2.5543848097556508E-3</v>
      </c>
      <c r="E60" s="247">
        <f t="shared" si="19"/>
        <v>0.32307692307692309</v>
      </c>
      <c r="F60" s="251">
        <f t="shared" si="20"/>
        <v>1</v>
      </c>
      <c r="G60" s="249" t="s">
        <v>209</v>
      </c>
      <c r="H60" s="1374">
        <v>8.0016167046666702</v>
      </c>
      <c r="I60" s="234"/>
      <c r="J60" s="425"/>
      <c r="K60" s="418"/>
      <c r="L60" s="235"/>
      <c r="M60" s="236"/>
      <c r="N60" s="236"/>
      <c r="O60" s="237"/>
      <c r="P60" s="41">
        <v>25</v>
      </c>
      <c r="Q60" s="280"/>
      <c r="R60" s="275">
        <v>5.1836130944371418E-5</v>
      </c>
      <c r="S60" s="276">
        <v>2.5543848097556508E-3</v>
      </c>
      <c r="T60" s="41">
        <f t="shared" si="21"/>
        <v>45</v>
      </c>
      <c r="U60" s="227"/>
      <c r="V60" s="227"/>
      <c r="W60" s="227"/>
      <c r="X60" s="227"/>
      <c r="Y60" s="227"/>
      <c r="Z60" s="227"/>
      <c r="AA60" s="227"/>
      <c r="AB60" s="227"/>
    </row>
    <row r="61" spans="1:28" x14ac:dyDescent="0.35">
      <c r="A61" s="208" t="s">
        <v>178</v>
      </c>
      <c r="B61" s="241">
        <f t="shared" si="16"/>
        <v>10</v>
      </c>
      <c r="C61" s="240">
        <f t="shared" si="17"/>
        <v>1.2045626326563723</v>
      </c>
      <c r="D61" s="233">
        <f t="shared" si="18"/>
        <v>0.15354894484992343</v>
      </c>
      <c r="E61" s="247">
        <f t="shared" si="19"/>
        <v>0.86153846153846159</v>
      </c>
      <c r="F61" s="251">
        <f t="shared" si="20"/>
        <v>-1</v>
      </c>
      <c r="G61" s="248" t="s">
        <v>19</v>
      </c>
      <c r="H61" s="1374">
        <v>202.79070928233301</v>
      </c>
      <c r="I61" s="234"/>
      <c r="J61" s="425"/>
      <c r="K61" s="420"/>
      <c r="L61" s="235"/>
      <c r="M61" s="238"/>
      <c r="N61" s="238"/>
      <c r="O61" s="239"/>
      <c r="P61" s="41">
        <v>50</v>
      </c>
      <c r="Q61" s="280"/>
      <c r="R61" s="275">
        <v>3.1159687378394963E-3</v>
      </c>
      <c r="S61" s="276">
        <v>0.15354894484992343</v>
      </c>
      <c r="T61" s="41">
        <f t="shared" si="21"/>
        <v>10</v>
      </c>
      <c r="U61" s="227"/>
      <c r="V61" s="227"/>
      <c r="W61" s="227"/>
      <c r="X61" s="227"/>
      <c r="Y61" s="227"/>
      <c r="Z61" s="227"/>
      <c r="AA61" s="227"/>
      <c r="AB61" s="227"/>
    </row>
    <row r="62" spans="1:28" x14ac:dyDescent="0.35">
      <c r="A62" s="208" t="s">
        <v>128</v>
      </c>
      <c r="B62" s="241">
        <f t="shared" si="16"/>
        <v>51</v>
      </c>
      <c r="C62" s="240">
        <f t="shared" si="17"/>
        <v>5.7012644201934288E-3</v>
      </c>
      <c r="D62" s="233">
        <f t="shared" si="18"/>
        <v>7.26756012761725E-4</v>
      </c>
      <c r="E62" s="247">
        <f t="shared" si="19"/>
        <v>0.23076923076923078</v>
      </c>
      <c r="F62" s="251">
        <f t="shared" si="20"/>
        <v>1</v>
      </c>
      <c r="G62" s="249" t="s">
        <v>209</v>
      </c>
      <c r="H62" s="1374">
        <v>16.401270479666699</v>
      </c>
      <c r="I62" s="234"/>
      <c r="J62" s="425"/>
      <c r="K62" s="418"/>
      <c r="L62" s="235"/>
      <c r="M62" s="236"/>
      <c r="N62" s="236"/>
      <c r="O62" s="237"/>
      <c r="P62" s="41">
        <v>36</v>
      </c>
      <c r="Q62" s="280"/>
      <c r="R62" s="275">
        <v>1.4748059766973687E-5</v>
      </c>
      <c r="S62" s="276">
        <v>7.26756012761725E-4</v>
      </c>
      <c r="T62" s="41">
        <f t="shared" si="21"/>
        <v>51</v>
      </c>
      <c r="U62" s="227"/>
      <c r="V62" s="227"/>
      <c r="W62" s="227"/>
      <c r="X62" s="227"/>
      <c r="Y62" s="227"/>
      <c r="Z62" s="227"/>
      <c r="AA62" s="227"/>
      <c r="AB62" s="227"/>
    </row>
    <row r="63" spans="1:28" x14ac:dyDescent="0.35">
      <c r="A63" s="90" t="s">
        <v>18</v>
      </c>
      <c r="B63" s="241">
        <f t="shared" si="16"/>
        <v>24</v>
      </c>
      <c r="C63" s="240">
        <f t="shared" si="17"/>
        <v>0.27086419510855181</v>
      </c>
      <c r="D63" s="233">
        <f t="shared" si="18"/>
        <v>3.4527811364049373E-2</v>
      </c>
      <c r="E63" s="247">
        <f t="shared" si="19"/>
        <v>0.64615384615384619</v>
      </c>
      <c r="F63" s="251">
        <f t="shared" si="20"/>
        <v>0</v>
      </c>
      <c r="G63" s="248" t="s">
        <v>210</v>
      </c>
      <c r="H63" s="1377">
        <v>10.187006399333301</v>
      </c>
      <c r="I63" s="234"/>
      <c r="J63" s="425"/>
      <c r="K63" s="418"/>
      <c r="L63" s="235"/>
      <c r="M63" s="236"/>
      <c r="N63" s="236"/>
      <c r="O63" s="237"/>
      <c r="P63" s="41">
        <v>43</v>
      </c>
      <c r="Q63" s="280"/>
      <c r="R63" s="275">
        <v>7.0067287601065383E-4</v>
      </c>
      <c r="S63" s="276">
        <v>3.4527811364049373E-2</v>
      </c>
      <c r="T63" s="41">
        <f t="shared" si="21"/>
        <v>24</v>
      </c>
      <c r="U63" s="227"/>
      <c r="V63" s="227"/>
      <c r="W63" s="227"/>
      <c r="X63" s="227"/>
      <c r="Y63" s="227"/>
      <c r="Z63" s="227"/>
      <c r="AA63" s="227"/>
      <c r="AB63" s="227"/>
    </row>
    <row r="64" spans="1:28" x14ac:dyDescent="0.35">
      <c r="A64" s="208" t="s">
        <v>129</v>
      </c>
      <c r="B64" s="241">
        <f t="shared" si="16"/>
        <v>41</v>
      </c>
      <c r="C64" s="240">
        <f t="shared" si="17"/>
        <v>3.1702874100460715E-2</v>
      </c>
      <c r="D64" s="233">
        <f t="shared" si="18"/>
        <v>4.0412534266488368E-3</v>
      </c>
      <c r="E64" s="247">
        <f t="shared" si="19"/>
        <v>0.38461538461538464</v>
      </c>
      <c r="F64" s="251">
        <f t="shared" si="20"/>
        <v>0</v>
      </c>
      <c r="G64" s="249" t="s">
        <v>209</v>
      </c>
      <c r="H64" s="1374">
        <v>36.346446176999997</v>
      </c>
      <c r="I64" s="234"/>
      <c r="J64" s="425"/>
      <c r="K64" s="418"/>
      <c r="L64" s="235"/>
      <c r="M64" s="236"/>
      <c r="N64" s="236"/>
      <c r="O64" s="237"/>
      <c r="P64" s="41">
        <v>21</v>
      </c>
      <c r="Q64" s="280"/>
      <c r="R64" s="275">
        <v>8.2009155786984841E-5</v>
      </c>
      <c r="S64" s="276">
        <v>4.0412534266488368E-3</v>
      </c>
      <c r="T64" s="41">
        <f t="shared" si="21"/>
        <v>41</v>
      </c>
      <c r="U64" s="227"/>
      <c r="V64" s="227"/>
      <c r="W64" s="227"/>
      <c r="X64" s="227"/>
      <c r="Y64" s="227"/>
      <c r="Z64" s="227"/>
      <c r="AA64" s="227"/>
      <c r="AB64" s="227"/>
    </row>
    <row r="65" spans="1:28" x14ac:dyDescent="0.35">
      <c r="A65" s="208" t="s">
        <v>451</v>
      </c>
      <c r="B65" s="241">
        <f t="shared" ref="B65" si="37">RANK(C65,C$7:C$71,0)</f>
        <v>58</v>
      </c>
      <c r="C65" s="240">
        <f t="shared" ref="C65" si="38">D65/MAX($D$7:$D$71)*10</f>
        <v>0</v>
      </c>
      <c r="D65" s="233">
        <f t="shared" ref="D65" si="39">O65+S65</f>
        <v>0</v>
      </c>
      <c r="E65" s="247">
        <f t="shared" ref="E65" si="40">_xlfn.RANK.EQ(C65,$C$7:$C$71,1)/COUNT($C$7:$C$71)</f>
        <v>1.5384615384615385E-2</v>
      </c>
      <c r="F65" s="251">
        <f t="shared" ref="F65" si="41">IF(E65&gt;0.66,-1,IF(E65&lt;0.335,1,0))</f>
        <v>1</v>
      </c>
      <c r="G65" s="249"/>
      <c r="H65" s="1374">
        <v>79.099454166666703</v>
      </c>
      <c r="I65" s="234"/>
      <c r="J65" s="425"/>
      <c r="K65" s="418"/>
      <c r="L65" s="235"/>
      <c r="M65" s="236"/>
      <c r="N65" s="236"/>
      <c r="O65" s="237"/>
      <c r="P65" s="41"/>
      <c r="Q65" s="280"/>
      <c r="R65" s="275"/>
      <c r="S65" s="276"/>
      <c r="T65" s="41"/>
      <c r="U65" s="227"/>
      <c r="V65" s="227"/>
      <c r="W65" s="227"/>
      <c r="X65" s="227"/>
      <c r="Y65" s="227"/>
      <c r="Z65" s="227"/>
      <c r="AA65" s="227"/>
      <c r="AB65" s="227"/>
    </row>
    <row r="66" spans="1:28" x14ac:dyDescent="0.35">
      <c r="A66" s="208" t="s">
        <v>291</v>
      </c>
      <c r="B66" s="241">
        <f t="shared" si="16"/>
        <v>55</v>
      </c>
      <c r="C66" s="240">
        <f t="shared" si="17"/>
        <v>3.8134769096799504E-3</v>
      </c>
      <c r="D66" s="233">
        <f t="shared" si="18"/>
        <v>4.8611449485163097E-4</v>
      </c>
      <c r="E66" s="247">
        <f t="shared" si="19"/>
        <v>0.16923076923076924</v>
      </c>
      <c r="F66" s="251">
        <f t="shared" si="20"/>
        <v>1</v>
      </c>
      <c r="G66" s="249" t="s">
        <v>208</v>
      </c>
      <c r="H66" s="1374">
        <v>11.0624866293333</v>
      </c>
      <c r="I66" s="234"/>
      <c r="J66" s="425"/>
      <c r="K66" s="418"/>
      <c r="L66" s="235"/>
      <c r="M66" s="236"/>
      <c r="N66" s="236"/>
      <c r="O66" s="237"/>
      <c r="P66" s="41">
        <v>44</v>
      </c>
      <c r="Q66" s="280"/>
      <c r="R66" s="275">
        <v>9.8647214440241473E-6</v>
      </c>
      <c r="S66" s="276">
        <v>4.8611449485163097E-4</v>
      </c>
      <c r="T66" s="41">
        <f t="shared" si="21"/>
        <v>55</v>
      </c>
      <c r="U66" s="227"/>
      <c r="V66" s="227"/>
      <c r="W66" s="227"/>
      <c r="X66" s="227"/>
      <c r="Y66" s="227"/>
      <c r="Z66" s="227"/>
      <c r="AA66" s="227"/>
      <c r="AB66" s="227"/>
    </row>
    <row r="67" spans="1:28" x14ac:dyDescent="0.35">
      <c r="A67" s="208" t="s">
        <v>335</v>
      </c>
      <c r="B67" s="241">
        <f t="shared" si="16"/>
        <v>54</v>
      </c>
      <c r="C67" s="240">
        <f t="shared" si="17"/>
        <v>4.9143638195249598E-3</v>
      </c>
      <c r="D67" s="233">
        <f t="shared" si="18"/>
        <v>6.2644760732168733E-4</v>
      </c>
      <c r="E67" s="247">
        <f t="shared" si="19"/>
        <v>0.18461538461538463</v>
      </c>
      <c r="F67" s="251">
        <f t="shared" si="20"/>
        <v>1</v>
      </c>
      <c r="G67" s="248" t="s">
        <v>209</v>
      </c>
      <c r="H67" s="1379">
        <v>386.09212047266698</v>
      </c>
      <c r="I67" s="234"/>
      <c r="J67" s="425"/>
      <c r="K67" s="418"/>
      <c r="L67" s="235"/>
      <c r="M67" s="236"/>
      <c r="N67" s="236"/>
      <c r="O67" s="237"/>
      <c r="P67" s="41">
        <v>38</v>
      </c>
      <c r="Q67" s="280"/>
      <c r="R67" s="275">
        <v>1.2712501295379001E-5</v>
      </c>
      <c r="S67" s="276">
        <v>6.2644760732168733E-4</v>
      </c>
      <c r="T67" s="41">
        <f t="shared" si="21"/>
        <v>54</v>
      </c>
      <c r="U67" s="227"/>
      <c r="V67" s="227"/>
      <c r="W67" s="227"/>
      <c r="X67" s="227"/>
      <c r="Y67" s="227"/>
      <c r="Z67" s="227"/>
      <c r="AA67" s="227"/>
      <c r="AB67" s="227"/>
    </row>
    <row r="68" spans="1:28" x14ac:dyDescent="0.35">
      <c r="A68" s="90" t="s">
        <v>111</v>
      </c>
      <c r="B68" s="241">
        <f t="shared" si="16"/>
        <v>7</v>
      </c>
      <c r="C68" s="240">
        <f t="shared" si="17"/>
        <v>1.227769781421761</v>
      </c>
      <c r="D68" s="233">
        <f t="shared" si="18"/>
        <v>0.15650722456846519</v>
      </c>
      <c r="E68" s="247">
        <f t="shared" si="19"/>
        <v>0.90769230769230769</v>
      </c>
      <c r="F68" s="251">
        <f t="shared" si="20"/>
        <v>-1</v>
      </c>
      <c r="G68" s="248" t="s">
        <v>12</v>
      </c>
      <c r="H68" s="1374">
        <v>9523.2874112376703</v>
      </c>
      <c r="I68" s="234"/>
      <c r="J68" s="425"/>
      <c r="K68" s="418"/>
      <c r="L68" s="235"/>
      <c r="M68" s="236"/>
      <c r="N68" s="236"/>
      <c r="O68" s="237"/>
      <c r="P68" s="41">
        <v>13</v>
      </c>
      <c r="Q68" s="280"/>
      <c r="R68" s="275">
        <v>3.1760011081678639E-3</v>
      </c>
      <c r="S68" s="276">
        <v>0.15650722456846519</v>
      </c>
      <c r="T68" s="41">
        <f t="shared" si="21"/>
        <v>7</v>
      </c>
      <c r="U68" s="227"/>
      <c r="V68" s="227"/>
      <c r="W68" s="227"/>
      <c r="X68" s="227"/>
      <c r="Y68" s="227"/>
      <c r="Z68" s="227"/>
      <c r="AA68" s="227"/>
      <c r="AB68" s="227"/>
    </row>
    <row r="69" spans="1:28" x14ac:dyDescent="0.35">
      <c r="A69" s="90" t="s">
        <v>179</v>
      </c>
      <c r="B69" s="241">
        <f t="shared" si="16"/>
        <v>40</v>
      </c>
      <c r="C69" s="240">
        <f t="shared" si="17"/>
        <v>3.2557944810023713E-2</v>
      </c>
      <c r="D69" s="233">
        <f t="shared" si="18"/>
        <v>4.15025166523435E-3</v>
      </c>
      <c r="E69" s="247">
        <f t="shared" si="19"/>
        <v>0.4</v>
      </c>
      <c r="F69" s="251">
        <f t="shared" si="20"/>
        <v>0</v>
      </c>
      <c r="G69" s="248" t="s">
        <v>179</v>
      </c>
      <c r="H69" s="1374">
        <v>22.146472718999998</v>
      </c>
      <c r="I69" s="234"/>
      <c r="J69" s="425"/>
      <c r="K69" s="418"/>
      <c r="L69" s="235"/>
      <c r="M69" s="236"/>
      <c r="N69" s="236"/>
      <c r="O69" s="237"/>
      <c r="P69" s="41">
        <v>18</v>
      </c>
      <c r="Q69" s="280"/>
      <c r="R69" s="275">
        <v>8.4221057042600656E-5</v>
      </c>
      <c r="S69" s="276">
        <v>4.15025166523435E-3</v>
      </c>
      <c r="T69" s="41">
        <f t="shared" si="21"/>
        <v>40</v>
      </c>
      <c r="U69" s="227"/>
      <c r="V69" s="227"/>
      <c r="W69" s="227"/>
      <c r="X69" s="227"/>
      <c r="Y69" s="227"/>
      <c r="Z69" s="227"/>
      <c r="AA69" s="227"/>
      <c r="AB69" s="227"/>
    </row>
    <row r="70" spans="1:28" x14ac:dyDescent="0.35">
      <c r="A70" s="1270" t="s">
        <v>454</v>
      </c>
      <c r="B70" s="241">
        <f t="shared" ref="B70" si="42">RANK(C70,C$7:C$71,0)</f>
        <v>58</v>
      </c>
      <c r="C70" s="240">
        <f t="shared" ref="C70" si="43">D70/MAX($D$7:$D$71)*10</f>
        <v>0</v>
      </c>
      <c r="D70" s="233">
        <f t="shared" ref="D70" si="44">O70+S70</f>
        <v>0</v>
      </c>
      <c r="E70" s="247">
        <f t="shared" ref="E70" si="45">_xlfn.RANK.EQ(C70,$C$7:$C$71,1)/COUNT($C$7:$C$71)</f>
        <v>1.5384615384615385E-2</v>
      </c>
      <c r="F70" s="251">
        <f t="shared" ref="F70" si="46">IF(E70&gt;0.66,-1,IF(E70&lt;0.335,1,0))</f>
        <v>1</v>
      </c>
      <c r="G70" s="1290"/>
      <c r="H70" s="1375">
        <v>24.128705737000001</v>
      </c>
      <c r="I70" s="1291"/>
      <c r="J70" s="1292"/>
      <c r="K70" s="1293"/>
      <c r="L70" s="1294"/>
      <c r="M70" s="1295"/>
      <c r="N70" s="1295"/>
      <c r="O70" s="1296"/>
      <c r="P70" s="176"/>
      <c r="Q70" s="280"/>
      <c r="R70" s="1297"/>
      <c r="S70" s="1298"/>
      <c r="T70" s="176"/>
      <c r="U70" s="227"/>
      <c r="V70" s="227"/>
      <c r="W70" s="227"/>
      <c r="X70" s="227"/>
      <c r="Y70" s="227"/>
      <c r="Z70" s="227"/>
      <c r="AA70" s="227"/>
      <c r="AB70" s="227"/>
    </row>
    <row r="71" spans="1:28" ht="18.600000000000001" thickBot="1" x14ac:dyDescent="0.4">
      <c r="A71" s="159" t="s">
        <v>180</v>
      </c>
      <c r="B71" s="281">
        <f t="shared" si="16"/>
        <v>5</v>
      </c>
      <c r="C71" s="282">
        <f t="shared" si="17"/>
        <v>2.3080005396275158</v>
      </c>
      <c r="D71" s="283">
        <f t="shared" si="18"/>
        <v>0.29420724000987397</v>
      </c>
      <c r="E71" s="284">
        <f t="shared" si="19"/>
        <v>0.93846153846153846</v>
      </c>
      <c r="F71" s="285">
        <f t="shared" si="20"/>
        <v>-1</v>
      </c>
      <c r="G71" s="286" t="s">
        <v>83</v>
      </c>
      <c r="H71" s="1376">
        <v>3714.0424060649998</v>
      </c>
      <c r="I71" s="287"/>
      <c r="J71" s="426"/>
      <c r="K71" s="421"/>
      <c r="L71" s="288"/>
      <c r="M71" s="289"/>
      <c r="N71" s="289"/>
      <c r="O71" s="290"/>
      <c r="P71" s="78">
        <v>6</v>
      </c>
      <c r="Q71" s="291"/>
      <c r="R71" s="292">
        <v>5.9703475215203729E-3</v>
      </c>
      <c r="S71" s="293">
        <v>0.29420724000987397</v>
      </c>
      <c r="T71" s="78">
        <f t="shared" si="21"/>
        <v>5</v>
      </c>
      <c r="U71" s="227"/>
      <c r="V71" s="227"/>
      <c r="W71" s="227"/>
      <c r="X71" s="227"/>
      <c r="Y71" s="227"/>
      <c r="Z71" s="227"/>
      <c r="AA71" s="227"/>
      <c r="AB71" s="227"/>
    </row>
    <row r="72" spans="1:28" s="216" customFormat="1" x14ac:dyDescent="0.35">
      <c r="B72" s="54"/>
      <c r="F72" s="225"/>
      <c r="I72" s="226"/>
      <c r="J72" s="226"/>
      <c r="P72" s="143"/>
      <c r="Q72" s="189"/>
      <c r="U72" s="143"/>
      <c r="V72" s="143"/>
      <c r="W72" s="143"/>
      <c r="X72" s="143"/>
      <c r="Y72" s="143"/>
    </row>
    <row r="73" spans="1:28" s="216" customFormat="1" x14ac:dyDescent="0.35">
      <c r="B73" s="54"/>
      <c r="F73" s="225"/>
      <c r="I73" s="226"/>
      <c r="J73" s="226"/>
      <c r="P73" s="143"/>
      <c r="Q73" s="189"/>
      <c r="U73" s="143"/>
      <c r="V73" s="143"/>
      <c r="W73" s="143"/>
      <c r="X73" s="143"/>
      <c r="Y73" s="143"/>
    </row>
    <row r="74" spans="1:28" s="216" customFormat="1" x14ac:dyDescent="0.35">
      <c r="B74" s="54"/>
      <c r="F74" s="225"/>
      <c r="I74" s="226"/>
      <c r="J74" s="226"/>
      <c r="P74" s="143"/>
      <c r="Q74" s="189"/>
      <c r="U74" s="143"/>
      <c r="V74" s="143"/>
      <c r="W74" s="143"/>
      <c r="X74" s="143"/>
      <c r="Y74" s="143"/>
    </row>
    <row r="75" spans="1:28" s="216" customFormat="1" x14ac:dyDescent="0.35">
      <c r="B75" s="54"/>
      <c r="F75" s="225"/>
      <c r="I75" s="226"/>
      <c r="J75" s="226"/>
      <c r="P75" s="143"/>
      <c r="Q75" s="189"/>
      <c r="U75" s="143"/>
      <c r="V75" s="143"/>
      <c r="W75" s="143"/>
      <c r="X75" s="143"/>
      <c r="Y75" s="143"/>
    </row>
    <row r="76" spans="1:28" s="216" customFormat="1" x14ac:dyDescent="0.35">
      <c r="B76" s="54"/>
      <c r="F76" s="225"/>
      <c r="I76" s="226"/>
      <c r="J76" s="226"/>
      <c r="P76" s="143"/>
      <c r="Q76" s="189"/>
      <c r="U76" s="143"/>
      <c r="V76" s="143"/>
      <c r="W76" s="143"/>
      <c r="X76" s="143"/>
      <c r="Y76" s="143"/>
    </row>
    <row r="77" spans="1:28" s="216" customFormat="1" x14ac:dyDescent="0.35">
      <c r="B77" s="54"/>
      <c r="F77" s="225"/>
      <c r="I77" s="226"/>
      <c r="J77" s="226"/>
      <c r="P77" s="143"/>
      <c r="Q77" s="189"/>
      <c r="U77" s="143"/>
      <c r="V77" s="143"/>
      <c r="W77" s="143"/>
      <c r="X77" s="143"/>
      <c r="Y77" s="143"/>
    </row>
    <row r="78" spans="1:28" s="216" customFormat="1" x14ac:dyDescent="0.35">
      <c r="B78" s="54"/>
      <c r="F78" s="225"/>
      <c r="I78" s="226"/>
      <c r="J78" s="226"/>
      <c r="P78" s="143"/>
      <c r="Q78" s="189"/>
      <c r="U78" s="143"/>
      <c r="V78" s="143"/>
      <c r="W78" s="143"/>
      <c r="X78" s="143"/>
      <c r="Y78" s="143"/>
    </row>
    <row r="79" spans="1:28" s="216" customFormat="1" x14ac:dyDescent="0.35">
      <c r="B79" s="54"/>
      <c r="F79" s="225"/>
      <c r="I79" s="226"/>
      <c r="J79" s="226"/>
      <c r="P79" s="143"/>
      <c r="Q79" s="189"/>
      <c r="U79" s="143"/>
      <c r="V79" s="143"/>
      <c r="W79" s="143"/>
      <c r="X79" s="143"/>
      <c r="Y79" s="143"/>
    </row>
    <row r="80" spans="1:28" s="216" customFormat="1" x14ac:dyDescent="0.35">
      <c r="B80" s="54"/>
      <c r="F80" s="225"/>
      <c r="I80" s="226"/>
      <c r="J80" s="226"/>
      <c r="P80" s="143"/>
      <c r="Q80" s="189"/>
      <c r="U80" s="143"/>
      <c r="V80" s="143"/>
      <c r="W80" s="143"/>
      <c r="X80" s="143"/>
      <c r="Y80" s="143"/>
    </row>
    <row r="81" spans="2:25" s="216" customFormat="1" x14ac:dyDescent="0.35">
      <c r="B81" s="54"/>
      <c r="F81" s="225"/>
      <c r="I81" s="226"/>
      <c r="J81" s="226"/>
      <c r="P81" s="143"/>
      <c r="Q81" s="189"/>
      <c r="U81" s="143"/>
      <c r="V81" s="143"/>
      <c r="W81" s="143"/>
      <c r="X81" s="143"/>
      <c r="Y81" s="143"/>
    </row>
    <row r="82" spans="2:25" s="216" customFormat="1" x14ac:dyDescent="0.35">
      <c r="B82" s="54"/>
      <c r="F82" s="225"/>
      <c r="I82" s="226"/>
      <c r="J82" s="226"/>
      <c r="P82" s="143"/>
      <c r="Q82" s="189"/>
      <c r="U82" s="143"/>
      <c r="V82" s="143"/>
      <c r="W82" s="143"/>
      <c r="X82" s="143"/>
      <c r="Y82" s="143"/>
    </row>
    <row r="83" spans="2:25" s="216" customFormat="1" x14ac:dyDescent="0.35">
      <c r="B83" s="54"/>
      <c r="F83" s="225"/>
      <c r="I83" s="226"/>
      <c r="J83" s="226"/>
      <c r="P83" s="143"/>
      <c r="Q83" s="189"/>
      <c r="U83" s="143"/>
      <c r="V83" s="143"/>
      <c r="W83" s="143"/>
      <c r="X83" s="143"/>
      <c r="Y83" s="143"/>
    </row>
    <row r="84" spans="2:25" s="216" customFormat="1" x14ac:dyDescent="0.35">
      <c r="B84" s="54"/>
      <c r="F84" s="225"/>
      <c r="I84" s="226"/>
      <c r="J84" s="226"/>
      <c r="P84" s="143"/>
      <c r="Q84" s="189"/>
      <c r="U84" s="143"/>
      <c r="V84" s="143"/>
      <c r="W84" s="143"/>
      <c r="X84" s="143"/>
      <c r="Y84" s="143"/>
    </row>
    <row r="85" spans="2:25" s="216" customFormat="1" x14ac:dyDescent="0.35">
      <c r="B85" s="54"/>
      <c r="F85" s="225"/>
      <c r="I85" s="226"/>
      <c r="J85" s="226"/>
      <c r="P85" s="143"/>
      <c r="Q85" s="189"/>
      <c r="U85" s="143"/>
      <c r="V85" s="143"/>
      <c r="W85" s="143"/>
      <c r="X85" s="143"/>
      <c r="Y85" s="143"/>
    </row>
    <row r="86" spans="2:25" s="216" customFormat="1" x14ac:dyDescent="0.35">
      <c r="B86" s="54"/>
      <c r="F86" s="225"/>
      <c r="I86" s="226"/>
      <c r="J86" s="226"/>
      <c r="P86" s="143"/>
      <c r="Q86" s="189"/>
      <c r="U86" s="143"/>
      <c r="V86" s="143"/>
      <c r="W86" s="143"/>
      <c r="X86" s="143"/>
      <c r="Y86" s="143"/>
    </row>
    <row r="87" spans="2:25" s="216" customFormat="1" x14ac:dyDescent="0.35">
      <c r="B87" s="54"/>
      <c r="F87" s="225"/>
      <c r="I87" s="226"/>
      <c r="J87" s="226"/>
      <c r="P87" s="143"/>
      <c r="Q87" s="189"/>
      <c r="U87" s="143"/>
      <c r="V87" s="143"/>
      <c r="W87" s="143"/>
      <c r="X87" s="143"/>
      <c r="Y87" s="143"/>
    </row>
    <row r="88" spans="2:25" s="216" customFormat="1" x14ac:dyDescent="0.35">
      <c r="B88" s="54"/>
      <c r="F88" s="225"/>
      <c r="I88" s="226"/>
      <c r="J88" s="226"/>
      <c r="P88" s="143"/>
      <c r="Q88" s="189"/>
      <c r="U88" s="143"/>
      <c r="V88" s="143"/>
      <c r="W88" s="143"/>
      <c r="X88" s="143"/>
      <c r="Y88" s="143"/>
    </row>
    <row r="89" spans="2:25" s="216" customFormat="1" x14ac:dyDescent="0.35">
      <c r="B89" s="54"/>
      <c r="F89" s="225"/>
      <c r="I89" s="226"/>
      <c r="J89" s="226"/>
      <c r="P89" s="143"/>
      <c r="Q89" s="189"/>
      <c r="U89" s="143"/>
      <c r="V89" s="143"/>
      <c r="W89" s="143"/>
      <c r="X89" s="143"/>
      <c r="Y89" s="143"/>
    </row>
    <row r="90" spans="2:25" s="216" customFormat="1" x14ac:dyDescent="0.35">
      <c r="B90" s="54"/>
      <c r="F90" s="225"/>
      <c r="I90" s="226"/>
      <c r="J90" s="226"/>
      <c r="P90" s="143"/>
      <c r="Q90" s="189"/>
      <c r="U90" s="143"/>
      <c r="V90" s="143"/>
      <c r="W90" s="143"/>
      <c r="X90" s="143"/>
      <c r="Y90" s="143"/>
    </row>
    <row r="91" spans="2:25" s="216" customFormat="1" x14ac:dyDescent="0.35">
      <c r="B91" s="54"/>
      <c r="F91" s="225"/>
      <c r="I91" s="226"/>
      <c r="J91" s="226"/>
      <c r="P91" s="143"/>
      <c r="Q91" s="189"/>
      <c r="U91" s="143"/>
      <c r="V91" s="143"/>
      <c r="W91" s="143"/>
      <c r="X91" s="143"/>
      <c r="Y91" s="143"/>
    </row>
    <row r="92" spans="2:25" s="216" customFormat="1" x14ac:dyDescent="0.35">
      <c r="B92" s="54"/>
      <c r="F92" s="225"/>
      <c r="I92" s="226"/>
      <c r="J92" s="226"/>
      <c r="P92" s="143"/>
      <c r="Q92" s="189"/>
      <c r="U92" s="143"/>
      <c r="V92" s="143"/>
      <c r="W92" s="143"/>
      <c r="X92" s="143"/>
      <c r="Y92" s="143"/>
    </row>
    <row r="93" spans="2:25" s="216" customFormat="1" x14ac:dyDescent="0.35">
      <c r="B93" s="54"/>
      <c r="F93" s="225"/>
      <c r="I93" s="226"/>
      <c r="J93" s="226"/>
      <c r="P93" s="143"/>
      <c r="Q93" s="189"/>
      <c r="U93" s="143"/>
      <c r="V93" s="143"/>
      <c r="W93" s="143"/>
      <c r="X93" s="143"/>
      <c r="Y93" s="143"/>
    </row>
    <row r="94" spans="2:25" s="216" customFormat="1" x14ac:dyDescent="0.35">
      <c r="B94" s="54"/>
      <c r="F94" s="225"/>
      <c r="I94" s="226"/>
      <c r="J94" s="226"/>
      <c r="P94" s="143"/>
      <c r="Q94" s="189"/>
      <c r="U94" s="143"/>
      <c r="V94" s="143"/>
      <c r="W94" s="143"/>
      <c r="X94" s="143"/>
      <c r="Y94" s="143"/>
    </row>
    <row r="95" spans="2:25" s="216" customFormat="1" x14ac:dyDescent="0.35">
      <c r="B95" s="54"/>
      <c r="F95" s="225"/>
      <c r="I95" s="226"/>
      <c r="J95" s="226"/>
      <c r="P95" s="143"/>
      <c r="Q95" s="189"/>
      <c r="U95" s="143"/>
      <c r="V95" s="143"/>
      <c r="W95" s="143"/>
      <c r="X95" s="143"/>
      <c r="Y95" s="143"/>
    </row>
    <row r="96" spans="2:25" s="216" customFormat="1" x14ac:dyDescent="0.35">
      <c r="B96" s="54"/>
      <c r="F96" s="225"/>
      <c r="I96" s="226"/>
      <c r="J96" s="226"/>
      <c r="P96" s="143"/>
      <c r="Q96" s="189"/>
      <c r="U96" s="143"/>
      <c r="V96" s="143"/>
      <c r="W96" s="143"/>
      <c r="X96" s="143"/>
      <c r="Y96" s="143"/>
    </row>
    <row r="97" spans="2:25" s="216" customFormat="1" x14ac:dyDescent="0.35">
      <c r="B97" s="54"/>
      <c r="F97" s="225"/>
      <c r="I97" s="226"/>
      <c r="J97" s="226"/>
      <c r="P97" s="143"/>
      <c r="Q97" s="189"/>
      <c r="U97" s="143"/>
      <c r="V97" s="143"/>
      <c r="W97" s="143"/>
      <c r="X97" s="143"/>
      <c r="Y97" s="143"/>
    </row>
    <row r="98" spans="2:25" s="216" customFormat="1" x14ac:dyDescent="0.35">
      <c r="B98" s="54"/>
      <c r="F98" s="225"/>
      <c r="I98" s="226"/>
      <c r="J98" s="226"/>
      <c r="P98" s="143"/>
      <c r="Q98" s="189"/>
      <c r="U98" s="143"/>
      <c r="V98" s="143"/>
      <c r="W98" s="143"/>
      <c r="X98" s="143"/>
      <c r="Y98" s="143"/>
    </row>
    <row r="99" spans="2:25" s="216" customFormat="1" x14ac:dyDescent="0.35">
      <c r="B99" s="54"/>
      <c r="F99" s="225"/>
      <c r="I99" s="226"/>
      <c r="J99" s="226"/>
      <c r="P99" s="143"/>
      <c r="Q99" s="189"/>
      <c r="U99" s="143"/>
      <c r="V99" s="143"/>
      <c r="W99" s="143"/>
      <c r="X99" s="143"/>
      <c r="Y99" s="143"/>
    </row>
    <row r="100" spans="2:25" s="216" customFormat="1" x14ac:dyDescent="0.35">
      <c r="B100" s="54"/>
      <c r="F100" s="225"/>
      <c r="I100" s="226"/>
      <c r="J100" s="226"/>
      <c r="P100" s="143"/>
      <c r="Q100" s="189"/>
      <c r="U100" s="143"/>
      <c r="V100" s="143"/>
      <c r="W100" s="143"/>
      <c r="X100" s="143"/>
      <c r="Y100" s="143"/>
    </row>
    <row r="101" spans="2:25" s="216" customFormat="1" x14ac:dyDescent="0.35">
      <c r="B101" s="54"/>
      <c r="F101" s="225"/>
      <c r="I101" s="226"/>
      <c r="J101" s="226"/>
      <c r="P101" s="143"/>
      <c r="Q101" s="189"/>
      <c r="U101" s="143"/>
      <c r="V101" s="143"/>
      <c r="W101" s="143"/>
      <c r="X101" s="143"/>
      <c r="Y101" s="143"/>
    </row>
    <row r="102" spans="2:25" s="216" customFormat="1" x14ac:dyDescent="0.35">
      <c r="B102" s="54"/>
      <c r="F102" s="225"/>
      <c r="I102" s="226"/>
      <c r="J102" s="226"/>
      <c r="P102" s="143"/>
      <c r="Q102" s="189"/>
      <c r="U102" s="143"/>
      <c r="V102" s="143"/>
      <c r="W102" s="143"/>
      <c r="X102" s="143"/>
      <c r="Y102" s="143"/>
    </row>
    <row r="103" spans="2:25" s="216" customFormat="1" x14ac:dyDescent="0.35">
      <c r="B103" s="54"/>
      <c r="F103" s="225"/>
      <c r="I103" s="226"/>
      <c r="J103" s="226"/>
      <c r="P103" s="143"/>
      <c r="Q103" s="189"/>
      <c r="U103" s="143"/>
      <c r="V103" s="143"/>
      <c r="W103" s="143"/>
      <c r="X103" s="143"/>
      <c r="Y103" s="143"/>
    </row>
    <row r="104" spans="2:25" s="216" customFormat="1" x14ac:dyDescent="0.35">
      <c r="B104" s="54"/>
      <c r="F104" s="225"/>
      <c r="I104" s="226"/>
      <c r="J104" s="226"/>
      <c r="P104" s="143"/>
      <c r="Q104" s="189"/>
      <c r="U104" s="143"/>
      <c r="V104" s="143"/>
      <c r="W104" s="143"/>
      <c r="X104" s="143"/>
      <c r="Y104" s="143"/>
    </row>
    <row r="105" spans="2:25" s="216" customFormat="1" x14ac:dyDescent="0.35">
      <c r="B105" s="54"/>
      <c r="F105" s="225"/>
      <c r="I105" s="226"/>
      <c r="J105" s="226"/>
      <c r="P105" s="143"/>
      <c r="Q105" s="189"/>
      <c r="U105" s="143"/>
      <c r="V105" s="143"/>
      <c r="W105" s="143"/>
      <c r="X105" s="143"/>
      <c r="Y105" s="143"/>
    </row>
    <row r="106" spans="2:25" s="216" customFormat="1" x14ac:dyDescent="0.35">
      <c r="B106" s="54"/>
      <c r="F106" s="225"/>
      <c r="I106" s="226"/>
      <c r="J106" s="226"/>
      <c r="P106" s="143"/>
      <c r="Q106" s="189"/>
      <c r="U106" s="143"/>
      <c r="V106" s="143"/>
      <c r="W106" s="143"/>
      <c r="X106" s="143"/>
      <c r="Y106" s="143"/>
    </row>
    <row r="107" spans="2:25" s="216" customFormat="1" x14ac:dyDescent="0.35">
      <c r="B107" s="54"/>
      <c r="F107" s="225"/>
      <c r="I107" s="226"/>
      <c r="J107" s="226"/>
      <c r="P107" s="143"/>
      <c r="Q107" s="189"/>
      <c r="U107" s="143"/>
      <c r="V107" s="143"/>
      <c r="W107" s="143"/>
      <c r="X107" s="143"/>
      <c r="Y107" s="143"/>
    </row>
    <row r="108" spans="2:25" s="216" customFormat="1" x14ac:dyDescent="0.35">
      <c r="B108" s="54"/>
      <c r="F108" s="225"/>
      <c r="I108" s="226"/>
      <c r="J108" s="226"/>
      <c r="P108" s="143"/>
      <c r="Q108" s="189"/>
      <c r="U108" s="143"/>
      <c r="V108" s="143"/>
      <c r="W108" s="143"/>
      <c r="X108" s="143"/>
      <c r="Y108" s="143"/>
    </row>
    <row r="109" spans="2:25" s="216" customFormat="1" x14ac:dyDescent="0.35">
      <c r="B109" s="54"/>
      <c r="F109" s="225"/>
      <c r="I109" s="226"/>
      <c r="J109" s="226"/>
      <c r="P109" s="143"/>
      <c r="Q109" s="189"/>
      <c r="U109" s="143"/>
      <c r="V109" s="143"/>
      <c r="W109" s="143"/>
      <c r="X109" s="143"/>
      <c r="Y109" s="143"/>
    </row>
    <row r="110" spans="2:25" s="216" customFormat="1" x14ac:dyDescent="0.35">
      <c r="B110" s="54"/>
      <c r="F110" s="225"/>
      <c r="I110" s="226"/>
      <c r="J110" s="226"/>
      <c r="P110" s="143"/>
      <c r="Q110" s="189"/>
      <c r="U110" s="143"/>
      <c r="V110" s="143"/>
      <c r="W110" s="143"/>
      <c r="X110" s="143"/>
      <c r="Y110" s="143"/>
    </row>
    <row r="111" spans="2:25" s="216" customFormat="1" x14ac:dyDescent="0.35">
      <c r="B111" s="54"/>
      <c r="F111" s="225"/>
      <c r="I111" s="226"/>
      <c r="J111" s="226"/>
      <c r="P111" s="143"/>
      <c r="Q111" s="189"/>
      <c r="U111" s="143"/>
      <c r="V111" s="143"/>
      <c r="W111" s="143"/>
      <c r="X111" s="143"/>
      <c r="Y111" s="143"/>
    </row>
    <row r="112" spans="2:25" s="216" customFormat="1" x14ac:dyDescent="0.35">
      <c r="B112" s="54"/>
      <c r="F112" s="225"/>
      <c r="I112" s="226"/>
      <c r="J112" s="226"/>
      <c r="P112" s="143"/>
      <c r="Q112" s="189"/>
      <c r="U112" s="143"/>
      <c r="V112" s="143"/>
      <c r="W112" s="143"/>
      <c r="X112" s="143"/>
      <c r="Y112" s="143"/>
    </row>
    <row r="113" spans="2:25" s="216" customFormat="1" x14ac:dyDescent="0.35">
      <c r="B113" s="54"/>
      <c r="F113" s="225"/>
      <c r="I113" s="226"/>
      <c r="J113" s="226"/>
      <c r="P113" s="143"/>
      <c r="Q113" s="189"/>
      <c r="U113" s="143"/>
      <c r="V113" s="143"/>
      <c r="W113" s="143"/>
      <c r="X113" s="143"/>
      <c r="Y113" s="143"/>
    </row>
    <row r="114" spans="2:25" s="216" customFormat="1" x14ac:dyDescent="0.35">
      <c r="B114" s="54"/>
      <c r="F114" s="225"/>
      <c r="I114" s="226"/>
      <c r="J114" s="226"/>
      <c r="P114" s="143"/>
      <c r="Q114" s="189"/>
      <c r="U114" s="143"/>
      <c r="V114" s="143"/>
      <c r="W114" s="143"/>
      <c r="X114" s="143"/>
      <c r="Y114" s="143"/>
    </row>
    <row r="115" spans="2:25" s="216" customFormat="1" x14ac:dyDescent="0.35">
      <c r="B115" s="54"/>
      <c r="F115" s="225"/>
      <c r="I115" s="226"/>
      <c r="J115" s="226"/>
      <c r="P115" s="143"/>
      <c r="Q115" s="189"/>
      <c r="U115" s="143"/>
      <c r="V115" s="143"/>
      <c r="W115" s="143"/>
      <c r="X115" s="143"/>
      <c r="Y115" s="143"/>
    </row>
    <row r="116" spans="2:25" s="216" customFormat="1" x14ac:dyDescent="0.35">
      <c r="B116" s="54"/>
      <c r="F116" s="225"/>
      <c r="I116" s="226"/>
      <c r="J116" s="226"/>
      <c r="P116" s="143"/>
      <c r="Q116" s="189"/>
      <c r="U116" s="143"/>
      <c r="V116" s="143"/>
      <c r="W116" s="143"/>
      <c r="X116" s="143"/>
      <c r="Y116" s="143"/>
    </row>
    <row r="117" spans="2:25" s="216" customFormat="1" x14ac:dyDescent="0.35">
      <c r="B117" s="54"/>
      <c r="F117" s="225"/>
      <c r="I117" s="226"/>
      <c r="J117" s="226"/>
      <c r="P117" s="143"/>
      <c r="Q117" s="189"/>
      <c r="U117" s="143"/>
      <c r="V117" s="143"/>
      <c r="W117" s="143"/>
      <c r="X117" s="143"/>
      <c r="Y117" s="143"/>
    </row>
    <row r="118" spans="2:25" s="216" customFormat="1" x14ac:dyDescent="0.35">
      <c r="B118" s="54"/>
      <c r="F118" s="225"/>
      <c r="I118" s="226"/>
      <c r="J118" s="226"/>
      <c r="P118" s="143"/>
      <c r="Q118" s="189"/>
      <c r="U118" s="143"/>
      <c r="V118" s="143"/>
      <c r="W118" s="143"/>
      <c r="X118" s="143"/>
      <c r="Y118" s="143"/>
    </row>
    <row r="119" spans="2:25" s="216" customFormat="1" x14ac:dyDescent="0.35">
      <c r="B119" s="54"/>
      <c r="F119" s="225"/>
      <c r="I119" s="226"/>
      <c r="J119" s="226"/>
      <c r="P119" s="143"/>
      <c r="Q119" s="189"/>
      <c r="U119" s="143"/>
      <c r="V119" s="143"/>
      <c r="W119" s="143"/>
      <c r="X119" s="143"/>
      <c r="Y119" s="143"/>
    </row>
    <row r="120" spans="2:25" s="216" customFormat="1" x14ac:dyDescent="0.35">
      <c r="B120" s="54"/>
      <c r="F120" s="225"/>
      <c r="I120" s="226"/>
      <c r="J120" s="226"/>
      <c r="P120" s="143"/>
      <c r="Q120" s="189"/>
      <c r="U120" s="143"/>
      <c r="V120" s="143"/>
      <c r="W120" s="143"/>
      <c r="X120" s="143"/>
      <c r="Y120" s="143"/>
    </row>
    <row r="121" spans="2:25" s="216" customFormat="1" x14ac:dyDescent="0.35">
      <c r="B121" s="54"/>
      <c r="F121" s="225"/>
      <c r="I121" s="226"/>
      <c r="J121" s="226"/>
      <c r="P121" s="143"/>
      <c r="Q121" s="189"/>
      <c r="U121" s="143"/>
      <c r="V121" s="143"/>
      <c r="W121" s="143"/>
      <c r="X121" s="143"/>
      <c r="Y121" s="143"/>
    </row>
    <row r="122" spans="2:25" s="216" customFormat="1" x14ac:dyDescent="0.35">
      <c r="B122" s="54"/>
      <c r="F122" s="225"/>
      <c r="I122" s="226"/>
      <c r="J122" s="226"/>
      <c r="P122" s="143"/>
      <c r="Q122" s="189"/>
      <c r="U122" s="143"/>
      <c r="V122" s="143"/>
      <c r="W122" s="143"/>
      <c r="X122" s="143"/>
      <c r="Y122" s="143"/>
    </row>
    <row r="123" spans="2:25" s="216" customFormat="1" x14ac:dyDescent="0.35">
      <c r="B123" s="54"/>
      <c r="F123" s="225"/>
      <c r="I123" s="226"/>
      <c r="J123" s="226"/>
      <c r="P123" s="143"/>
      <c r="Q123" s="189"/>
      <c r="U123" s="143"/>
      <c r="V123" s="143"/>
      <c r="W123" s="143"/>
      <c r="X123" s="143"/>
      <c r="Y123" s="143"/>
    </row>
    <row r="124" spans="2:25" s="216" customFormat="1" x14ac:dyDescent="0.35">
      <c r="B124" s="54"/>
      <c r="F124" s="225"/>
      <c r="I124" s="226"/>
      <c r="J124" s="226"/>
      <c r="P124" s="143"/>
      <c r="Q124" s="189"/>
      <c r="U124" s="143"/>
      <c r="V124" s="143"/>
      <c r="W124" s="143"/>
      <c r="X124" s="143"/>
      <c r="Y124" s="143"/>
    </row>
    <row r="125" spans="2:25" s="216" customFormat="1" x14ac:dyDescent="0.35">
      <c r="B125" s="54"/>
      <c r="F125" s="225"/>
      <c r="I125" s="226"/>
      <c r="J125" s="226"/>
      <c r="P125" s="143"/>
      <c r="Q125" s="189"/>
      <c r="U125" s="143"/>
      <c r="V125" s="143"/>
      <c r="W125" s="143"/>
      <c r="X125" s="143"/>
      <c r="Y125" s="143"/>
    </row>
    <row r="126" spans="2:25" s="216" customFormat="1" x14ac:dyDescent="0.35">
      <c r="B126" s="54"/>
      <c r="F126" s="225"/>
      <c r="I126" s="226"/>
      <c r="J126" s="226"/>
      <c r="P126" s="143"/>
      <c r="Q126" s="189"/>
      <c r="U126" s="143"/>
      <c r="V126" s="143"/>
      <c r="W126" s="143"/>
      <c r="X126" s="143"/>
      <c r="Y126" s="143"/>
    </row>
    <row r="127" spans="2:25" s="216" customFormat="1" x14ac:dyDescent="0.35">
      <c r="B127" s="54"/>
      <c r="F127" s="225"/>
      <c r="I127" s="226"/>
      <c r="J127" s="226"/>
      <c r="P127" s="143"/>
      <c r="Q127" s="189"/>
      <c r="U127" s="143"/>
      <c r="V127" s="143"/>
      <c r="W127" s="143"/>
      <c r="X127" s="143"/>
      <c r="Y127" s="143"/>
    </row>
    <row r="128" spans="2:25" s="216" customFormat="1" x14ac:dyDescent="0.35">
      <c r="B128" s="54"/>
      <c r="F128" s="225"/>
      <c r="I128" s="226"/>
      <c r="J128" s="226"/>
      <c r="P128" s="143"/>
      <c r="Q128" s="189"/>
      <c r="U128" s="143"/>
      <c r="V128" s="143"/>
      <c r="W128" s="143"/>
      <c r="X128" s="143"/>
      <c r="Y128" s="143"/>
    </row>
    <row r="129" spans="2:25" s="216" customFormat="1" x14ac:dyDescent="0.35">
      <c r="B129" s="54"/>
      <c r="F129" s="225"/>
      <c r="I129" s="226"/>
      <c r="J129" s="226"/>
      <c r="P129" s="143"/>
      <c r="Q129" s="189"/>
      <c r="U129" s="143"/>
      <c r="V129" s="143"/>
      <c r="W129" s="143"/>
      <c r="X129" s="143"/>
      <c r="Y129" s="143"/>
    </row>
    <row r="130" spans="2:25" s="216" customFormat="1" x14ac:dyDescent="0.35">
      <c r="B130" s="54"/>
      <c r="F130" s="225"/>
      <c r="I130" s="226"/>
      <c r="J130" s="226"/>
      <c r="P130" s="143"/>
      <c r="Q130" s="189"/>
      <c r="U130" s="143"/>
      <c r="V130" s="143"/>
      <c r="W130" s="143"/>
      <c r="X130" s="143"/>
      <c r="Y130" s="143"/>
    </row>
    <row r="131" spans="2:25" s="216" customFormat="1" x14ac:dyDescent="0.35">
      <c r="B131" s="54"/>
      <c r="F131" s="225"/>
      <c r="I131" s="226"/>
      <c r="J131" s="226"/>
      <c r="P131" s="143"/>
      <c r="Q131" s="189"/>
      <c r="U131" s="143"/>
      <c r="V131" s="143"/>
      <c r="W131" s="143"/>
      <c r="X131" s="143"/>
      <c r="Y131" s="143"/>
    </row>
    <row r="132" spans="2:25" s="216" customFormat="1" x14ac:dyDescent="0.35">
      <c r="B132" s="54"/>
      <c r="F132" s="225"/>
      <c r="I132" s="226"/>
      <c r="J132" s="226"/>
      <c r="P132" s="143"/>
      <c r="Q132" s="189"/>
      <c r="U132" s="143"/>
      <c r="V132" s="143"/>
      <c r="W132" s="143"/>
      <c r="X132" s="143"/>
      <c r="Y132" s="143"/>
    </row>
    <row r="133" spans="2:25" s="216" customFormat="1" x14ac:dyDescent="0.35">
      <c r="B133" s="54"/>
      <c r="F133" s="225"/>
      <c r="I133" s="226"/>
      <c r="J133" s="226"/>
      <c r="P133" s="143"/>
      <c r="Q133" s="189"/>
      <c r="U133" s="143"/>
      <c r="V133" s="143"/>
      <c r="W133" s="143"/>
      <c r="X133" s="143"/>
      <c r="Y133" s="143"/>
    </row>
    <row r="134" spans="2:25" s="216" customFormat="1" x14ac:dyDescent="0.35">
      <c r="B134" s="54"/>
      <c r="F134" s="225"/>
      <c r="I134" s="226"/>
      <c r="J134" s="226"/>
      <c r="P134" s="143"/>
      <c r="Q134" s="189"/>
      <c r="U134" s="143"/>
      <c r="V134" s="143"/>
      <c r="W134" s="143"/>
      <c r="X134" s="143"/>
      <c r="Y134" s="143"/>
    </row>
    <row r="135" spans="2:25" s="216" customFormat="1" x14ac:dyDescent="0.35">
      <c r="B135" s="54"/>
      <c r="F135" s="225"/>
      <c r="I135" s="226"/>
      <c r="J135" s="226"/>
      <c r="P135" s="143"/>
      <c r="Q135" s="189"/>
      <c r="U135" s="143"/>
      <c r="V135" s="143"/>
      <c r="W135" s="143"/>
      <c r="X135" s="143"/>
      <c r="Y135" s="143"/>
    </row>
    <row r="136" spans="2:25" s="216" customFormat="1" x14ac:dyDescent="0.35">
      <c r="B136" s="54"/>
      <c r="F136" s="225"/>
      <c r="I136" s="226"/>
      <c r="J136" s="226"/>
      <c r="P136" s="143"/>
      <c r="Q136" s="189"/>
      <c r="U136" s="143"/>
      <c r="V136" s="143"/>
      <c r="W136" s="143"/>
      <c r="X136" s="143"/>
      <c r="Y136" s="143"/>
    </row>
    <row r="137" spans="2:25" s="216" customFormat="1" x14ac:dyDescent="0.35">
      <c r="B137" s="54"/>
      <c r="F137" s="225"/>
      <c r="I137" s="226"/>
      <c r="J137" s="226"/>
      <c r="P137" s="143"/>
      <c r="Q137" s="189"/>
      <c r="U137" s="143"/>
      <c r="V137" s="143"/>
      <c r="W137" s="143"/>
      <c r="X137" s="143"/>
      <c r="Y137" s="143"/>
    </row>
    <row r="138" spans="2:25" s="216" customFormat="1" x14ac:dyDescent="0.35">
      <c r="B138" s="54"/>
      <c r="F138" s="225"/>
      <c r="I138" s="226"/>
      <c r="J138" s="226"/>
      <c r="P138" s="143"/>
      <c r="Q138" s="189"/>
      <c r="U138" s="143"/>
      <c r="V138" s="143"/>
      <c r="W138" s="143"/>
      <c r="X138" s="143"/>
      <c r="Y138" s="143"/>
    </row>
    <row r="139" spans="2:25" s="216" customFormat="1" x14ac:dyDescent="0.35">
      <c r="B139" s="54"/>
      <c r="F139" s="225"/>
      <c r="I139" s="226"/>
      <c r="J139" s="226"/>
      <c r="P139" s="143"/>
      <c r="Q139" s="189"/>
      <c r="U139" s="143"/>
      <c r="V139" s="143"/>
      <c r="W139" s="143"/>
      <c r="X139" s="143"/>
      <c r="Y139" s="143"/>
    </row>
    <row r="140" spans="2:25" s="216" customFormat="1" x14ac:dyDescent="0.35">
      <c r="B140" s="54"/>
      <c r="F140" s="225"/>
      <c r="I140" s="226"/>
      <c r="J140" s="226"/>
      <c r="P140" s="143"/>
      <c r="Q140" s="189"/>
      <c r="U140" s="143"/>
      <c r="V140" s="143"/>
      <c r="W140" s="143"/>
      <c r="X140" s="143"/>
      <c r="Y140" s="143"/>
    </row>
    <row r="141" spans="2:25" s="216" customFormat="1" x14ac:dyDescent="0.35">
      <c r="B141" s="54"/>
      <c r="F141" s="225"/>
      <c r="I141" s="226"/>
      <c r="J141" s="226"/>
      <c r="P141" s="143"/>
      <c r="Q141" s="189"/>
      <c r="U141" s="143"/>
      <c r="V141" s="143"/>
      <c r="W141" s="143"/>
      <c r="X141" s="143"/>
      <c r="Y141" s="143"/>
    </row>
    <row r="142" spans="2:25" s="216" customFormat="1" x14ac:dyDescent="0.35">
      <c r="B142" s="54"/>
      <c r="F142" s="225"/>
      <c r="I142" s="226"/>
      <c r="J142" s="226"/>
      <c r="P142" s="143"/>
      <c r="Q142" s="189"/>
      <c r="U142" s="143"/>
      <c r="V142" s="143"/>
      <c r="W142" s="143"/>
      <c r="X142" s="143"/>
      <c r="Y142" s="143"/>
    </row>
    <row r="143" spans="2:25" s="216" customFormat="1" x14ac:dyDescent="0.35">
      <c r="B143" s="54"/>
      <c r="F143" s="225"/>
      <c r="I143" s="226"/>
      <c r="J143" s="226"/>
      <c r="P143" s="143"/>
      <c r="Q143" s="189"/>
      <c r="U143" s="143"/>
      <c r="V143" s="143"/>
      <c r="W143" s="143"/>
      <c r="X143" s="143"/>
      <c r="Y143" s="143"/>
    </row>
    <row r="144" spans="2:25" s="216" customFormat="1" x14ac:dyDescent="0.35">
      <c r="B144" s="54"/>
      <c r="F144" s="225"/>
      <c r="I144" s="226"/>
      <c r="J144" s="226"/>
      <c r="P144" s="143"/>
      <c r="Q144" s="189"/>
      <c r="U144" s="143"/>
      <c r="V144" s="143"/>
      <c r="W144" s="143"/>
      <c r="X144" s="143"/>
      <c r="Y144" s="143"/>
    </row>
    <row r="145" spans="2:25" s="216" customFormat="1" x14ac:dyDescent="0.35">
      <c r="B145" s="54"/>
      <c r="F145" s="225"/>
      <c r="I145" s="226"/>
      <c r="J145" s="226"/>
      <c r="P145" s="143"/>
      <c r="Q145" s="189"/>
      <c r="U145" s="143"/>
      <c r="V145" s="143"/>
      <c r="W145" s="143"/>
      <c r="X145" s="143"/>
      <c r="Y145" s="143"/>
    </row>
    <row r="146" spans="2:25" s="216" customFormat="1" x14ac:dyDescent="0.35">
      <c r="B146" s="54"/>
      <c r="F146" s="225"/>
      <c r="I146" s="226"/>
      <c r="J146" s="226"/>
      <c r="P146" s="143"/>
      <c r="Q146" s="189"/>
      <c r="U146" s="143"/>
      <c r="V146" s="143"/>
      <c r="W146" s="143"/>
      <c r="X146" s="143"/>
      <c r="Y146" s="143"/>
    </row>
    <row r="147" spans="2:25" s="216" customFormat="1" x14ac:dyDescent="0.35">
      <c r="B147" s="54"/>
      <c r="F147" s="225"/>
      <c r="I147" s="226"/>
      <c r="J147" s="226"/>
      <c r="P147" s="143"/>
      <c r="Q147" s="189"/>
      <c r="U147" s="143"/>
      <c r="V147" s="143"/>
      <c r="W147" s="143"/>
      <c r="X147" s="143"/>
      <c r="Y147" s="143"/>
    </row>
    <row r="148" spans="2:25" s="216" customFormat="1" x14ac:dyDescent="0.35">
      <c r="B148" s="54"/>
      <c r="F148" s="225"/>
      <c r="I148" s="226"/>
      <c r="J148" s="226"/>
      <c r="P148" s="143"/>
      <c r="Q148" s="189"/>
      <c r="U148" s="143"/>
      <c r="V148" s="143"/>
      <c r="W148" s="143"/>
      <c r="X148" s="143"/>
      <c r="Y148" s="143"/>
    </row>
    <row r="149" spans="2:25" s="216" customFormat="1" x14ac:dyDescent="0.35">
      <c r="B149" s="54"/>
      <c r="F149" s="225"/>
      <c r="I149" s="226"/>
      <c r="J149" s="226"/>
      <c r="P149" s="143"/>
      <c r="Q149" s="189"/>
      <c r="U149" s="143"/>
      <c r="V149" s="143"/>
      <c r="W149" s="143"/>
      <c r="X149" s="143"/>
      <c r="Y149" s="143"/>
    </row>
    <row r="150" spans="2:25" s="216" customFormat="1" x14ac:dyDescent="0.35">
      <c r="B150" s="54"/>
      <c r="F150" s="225"/>
      <c r="I150" s="226"/>
      <c r="J150" s="226"/>
      <c r="P150" s="143"/>
      <c r="Q150" s="189"/>
      <c r="U150" s="143"/>
      <c r="V150" s="143"/>
      <c r="W150" s="143"/>
      <c r="X150" s="143"/>
      <c r="Y150" s="143"/>
    </row>
    <row r="151" spans="2:25" s="216" customFormat="1" x14ac:dyDescent="0.35">
      <c r="B151" s="54"/>
      <c r="F151" s="225"/>
      <c r="I151" s="226"/>
      <c r="J151" s="226"/>
      <c r="P151" s="143"/>
      <c r="Q151" s="189"/>
      <c r="U151" s="143"/>
      <c r="V151" s="143"/>
      <c r="W151" s="143"/>
      <c r="X151" s="143"/>
      <c r="Y151" s="143"/>
    </row>
    <row r="152" spans="2:25" s="216" customFormat="1" x14ac:dyDescent="0.35">
      <c r="B152" s="54"/>
      <c r="F152" s="225"/>
      <c r="I152" s="226"/>
      <c r="J152" s="226"/>
      <c r="P152" s="143"/>
      <c r="Q152" s="189"/>
      <c r="U152" s="143"/>
      <c r="V152" s="143"/>
      <c r="W152" s="143"/>
      <c r="X152" s="143"/>
      <c r="Y152" s="143"/>
    </row>
    <row r="153" spans="2:25" s="216" customFormat="1" x14ac:dyDescent="0.35">
      <c r="B153" s="54"/>
      <c r="F153" s="225"/>
      <c r="I153" s="226"/>
      <c r="J153" s="226"/>
      <c r="P153" s="143"/>
      <c r="Q153" s="189"/>
      <c r="U153" s="143"/>
      <c r="V153" s="143"/>
      <c r="W153" s="143"/>
      <c r="X153" s="143"/>
      <c r="Y153" s="143"/>
    </row>
    <row r="154" spans="2:25" s="216" customFormat="1" x14ac:dyDescent="0.35">
      <c r="B154" s="54"/>
      <c r="F154" s="225"/>
      <c r="I154" s="226"/>
      <c r="J154" s="226"/>
      <c r="P154" s="143"/>
      <c r="Q154" s="189"/>
      <c r="U154" s="143"/>
      <c r="V154" s="143"/>
      <c r="W154" s="143"/>
      <c r="X154" s="143"/>
      <c r="Y154" s="143"/>
    </row>
    <row r="155" spans="2:25" s="216" customFormat="1" x14ac:dyDescent="0.35">
      <c r="B155" s="54"/>
      <c r="F155" s="225"/>
      <c r="I155" s="226"/>
      <c r="J155" s="226"/>
      <c r="P155" s="143"/>
      <c r="Q155" s="189"/>
      <c r="U155" s="143"/>
      <c r="V155" s="143"/>
      <c r="W155" s="143"/>
      <c r="X155" s="143"/>
      <c r="Y155" s="143"/>
    </row>
    <row r="156" spans="2:25" s="216" customFormat="1" x14ac:dyDescent="0.35">
      <c r="B156" s="54"/>
      <c r="F156" s="225"/>
      <c r="I156" s="226"/>
      <c r="J156" s="226"/>
      <c r="P156" s="143"/>
      <c r="Q156" s="189"/>
      <c r="U156" s="143"/>
      <c r="V156" s="143"/>
      <c r="W156" s="143"/>
      <c r="X156" s="143"/>
      <c r="Y156" s="143"/>
    </row>
    <row r="157" spans="2:25" s="216" customFormat="1" x14ac:dyDescent="0.35">
      <c r="B157" s="54"/>
      <c r="F157" s="225"/>
      <c r="I157" s="226"/>
      <c r="J157" s="226"/>
      <c r="P157" s="143"/>
      <c r="Q157" s="189"/>
      <c r="U157" s="143"/>
      <c r="V157" s="143"/>
      <c r="W157" s="143"/>
      <c r="X157" s="143"/>
      <c r="Y157" s="143"/>
    </row>
    <row r="158" spans="2:25" s="216" customFormat="1" x14ac:dyDescent="0.35">
      <c r="B158" s="54"/>
      <c r="F158" s="225"/>
      <c r="I158" s="226"/>
      <c r="J158" s="226"/>
      <c r="P158" s="143"/>
      <c r="Q158" s="189"/>
      <c r="U158" s="143"/>
      <c r="V158" s="143"/>
      <c r="W158" s="143"/>
      <c r="X158" s="143"/>
      <c r="Y158" s="143"/>
    </row>
    <row r="159" spans="2:25" s="216" customFormat="1" x14ac:dyDescent="0.35">
      <c r="B159" s="54"/>
      <c r="F159" s="225"/>
      <c r="I159" s="226"/>
      <c r="J159" s="226"/>
      <c r="P159" s="143"/>
      <c r="Q159" s="189"/>
      <c r="U159" s="143"/>
      <c r="V159" s="143"/>
      <c r="W159" s="143"/>
      <c r="X159" s="143"/>
      <c r="Y159" s="143"/>
    </row>
    <row r="160" spans="2:25" s="216" customFormat="1" x14ac:dyDescent="0.35">
      <c r="B160" s="54"/>
      <c r="F160" s="225"/>
      <c r="I160" s="226"/>
      <c r="J160" s="226"/>
      <c r="P160" s="143"/>
      <c r="Q160" s="189"/>
      <c r="U160" s="143"/>
      <c r="V160" s="143"/>
      <c r="W160" s="143"/>
      <c r="X160" s="143"/>
      <c r="Y160" s="143"/>
    </row>
    <row r="161" spans="2:25" s="216" customFormat="1" x14ac:dyDescent="0.35">
      <c r="B161" s="54"/>
      <c r="F161" s="225"/>
      <c r="I161" s="226"/>
      <c r="J161" s="226"/>
      <c r="P161" s="143"/>
      <c r="Q161" s="189"/>
      <c r="U161" s="143"/>
      <c r="V161" s="143"/>
      <c r="W161" s="143"/>
      <c r="X161" s="143"/>
      <c r="Y161" s="143"/>
    </row>
    <row r="162" spans="2:25" s="216" customFormat="1" x14ac:dyDescent="0.35">
      <c r="B162" s="54"/>
      <c r="F162" s="225"/>
      <c r="I162" s="226"/>
      <c r="J162" s="226"/>
      <c r="P162" s="143"/>
      <c r="Q162" s="189"/>
      <c r="U162" s="143"/>
      <c r="V162" s="143"/>
      <c r="W162" s="143"/>
      <c r="X162" s="143"/>
      <c r="Y162" s="143"/>
    </row>
    <row r="163" spans="2:25" s="216" customFormat="1" x14ac:dyDescent="0.35">
      <c r="B163" s="54"/>
      <c r="F163" s="225"/>
      <c r="I163" s="226"/>
      <c r="J163" s="226"/>
      <c r="P163" s="143"/>
      <c r="Q163" s="189"/>
      <c r="U163" s="143"/>
      <c r="V163" s="143"/>
      <c r="W163" s="143"/>
      <c r="X163" s="143"/>
      <c r="Y163" s="143"/>
    </row>
    <row r="164" spans="2:25" s="216" customFormat="1" x14ac:dyDescent="0.35">
      <c r="B164" s="54"/>
      <c r="F164" s="225"/>
      <c r="I164" s="226"/>
      <c r="J164" s="226"/>
      <c r="P164" s="143"/>
      <c r="Q164" s="189"/>
      <c r="U164" s="143"/>
      <c r="V164" s="143"/>
      <c r="W164" s="143"/>
      <c r="X164" s="143"/>
      <c r="Y164" s="143"/>
    </row>
    <row r="165" spans="2:25" s="216" customFormat="1" x14ac:dyDescent="0.35">
      <c r="B165" s="54"/>
      <c r="F165" s="225"/>
      <c r="I165" s="226"/>
      <c r="J165" s="226"/>
      <c r="P165" s="143"/>
      <c r="Q165" s="189"/>
      <c r="U165" s="143"/>
      <c r="V165" s="143"/>
      <c r="W165" s="143"/>
      <c r="X165" s="143"/>
      <c r="Y165" s="143"/>
    </row>
    <row r="166" spans="2:25" s="216" customFormat="1" x14ac:dyDescent="0.35">
      <c r="B166" s="54"/>
      <c r="F166" s="225"/>
      <c r="I166" s="226"/>
      <c r="J166" s="226"/>
      <c r="P166" s="143"/>
      <c r="Q166" s="189"/>
      <c r="U166" s="143"/>
      <c r="V166" s="143"/>
      <c r="W166" s="143"/>
      <c r="X166" s="143"/>
      <c r="Y166" s="143"/>
    </row>
    <row r="167" spans="2:25" s="216" customFormat="1" x14ac:dyDescent="0.35">
      <c r="B167" s="54"/>
      <c r="F167" s="225"/>
      <c r="I167" s="226"/>
      <c r="J167" s="226"/>
      <c r="P167" s="143"/>
      <c r="Q167" s="189"/>
      <c r="U167" s="143"/>
      <c r="V167" s="143"/>
      <c r="W167" s="143"/>
      <c r="X167" s="143"/>
      <c r="Y167" s="143"/>
    </row>
    <row r="168" spans="2:25" s="216" customFormat="1" x14ac:dyDescent="0.35">
      <c r="B168" s="54"/>
      <c r="F168" s="225"/>
      <c r="I168" s="226"/>
      <c r="J168" s="226"/>
      <c r="P168" s="143"/>
      <c r="Q168" s="189"/>
      <c r="U168" s="143"/>
      <c r="V168" s="143"/>
      <c r="W168" s="143"/>
      <c r="X168" s="143"/>
      <c r="Y168" s="143"/>
    </row>
    <row r="169" spans="2:25" s="216" customFormat="1" x14ac:dyDescent="0.35">
      <c r="B169" s="54"/>
      <c r="F169" s="225"/>
      <c r="I169" s="226"/>
      <c r="J169" s="226"/>
      <c r="P169" s="143"/>
      <c r="Q169" s="189"/>
      <c r="U169" s="143"/>
      <c r="V169" s="143"/>
      <c r="W169" s="143"/>
      <c r="X169" s="143"/>
      <c r="Y169" s="143"/>
    </row>
    <row r="170" spans="2:25" s="216" customFormat="1" x14ac:dyDescent="0.35">
      <c r="B170" s="54"/>
      <c r="F170" s="225"/>
      <c r="I170" s="226"/>
      <c r="J170" s="226"/>
      <c r="P170" s="143"/>
      <c r="Q170" s="189"/>
      <c r="U170" s="143"/>
      <c r="V170" s="143"/>
      <c r="W170" s="143"/>
      <c r="X170" s="143"/>
      <c r="Y170" s="143"/>
    </row>
    <row r="171" spans="2:25" s="216" customFormat="1" x14ac:dyDescent="0.35">
      <c r="B171" s="54"/>
      <c r="F171" s="225"/>
      <c r="I171" s="226"/>
      <c r="J171" s="226"/>
      <c r="P171" s="143"/>
      <c r="Q171" s="189"/>
      <c r="U171" s="143"/>
      <c r="V171" s="143"/>
      <c r="W171" s="143"/>
      <c r="X171" s="143"/>
      <c r="Y171" s="143"/>
    </row>
    <row r="172" spans="2:25" s="216" customFormat="1" x14ac:dyDescent="0.35">
      <c r="B172" s="54"/>
      <c r="F172" s="225"/>
      <c r="I172" s="226"/>
      <c r="J172" s="226"/>
      <c r="P172" s="143"/>
      <c r="Q172" s="189"/>
      <c r="U172" s="143"/>
      <c r="V172" s="143"/>
      <c r="W172" s="143"/>
      <c r="X172" s="143"/>
      <c r="Y172" s="143"/>
    </row>
    <row r="173" spans="2:25" s="216" customFormat="1" x14ac:dyDescent="0.35">
      <c r="B173" s="54"/>
      <c r="F173" s="225"/>
      <c r="I173" s="226"/>
      <c r="J173" s="226"/>
      <c r="P173" s="143"/>
      <c r="Q173" s="189"/>
      <c r="U173" s="143"/>
      <c r="V173" s="143"/>
      <c r="W173" s="143"/>
      <c r="X173" s="143"/>
      <c r="Y173" s="143"/>
    </row>
    <row r="174" spans="2:25" s="216" customFormat="1" x14ac:dyDescent="0.35">
      <c r="B174" s="54"/>
      <c r="F174" s="225"/>
      <c r="I174" s="226"/>
      <c r="J174" s="226"/>
      <c r="P174" s="143"/>
      <c r="Q174" s="189"/>
      <c r="U174" s="143"/>
      <c r="V174" s="143"/>
      <c r="W174" s="143"/>
      <c r="X174" s="143"/>
      <c r="Y174" s="143"/>
    </row>
    <row r="175" spans="2:25" s="216" customFormat="1" x14ac:dyDescent="0.35">
      <c r="B175" s="54"/>
      <c r="F175" s="225"/>
      <c r="I175" s="226"/>
      <c r="J175" s="226"/>
      <c r="P175" s="143"/>
      <c r="Q175" s="189"/>
      <c r="U175" s="143"/>
      <c r="V175" s="143"/>
      <c r="W175" s="143"/>
      <c r="X175" s="143"/>
      <c r="Y175" s="143"/>
    </row>
    <row r="176" spans="2:25" s="216" customFormat="1" x14ac:dyDescent="0.35">
      <c r="B176" s="54"/>
      <c r="F176" s="225"/>
      <c r="I176" s="226"/>
      <c r="J176" s="226"/>
      <c r="P176" s="143"/>
      <c r="Q176" s="189"/>
      <c r="U176" s="143"/>
      <c r="V176" s="143"/>
      <c r="W176" s="143"/>
      <c r="X176" s="143"/>
      <c r="Y176" s="143"/>
    </row>
    <row r="177" spans="2:25" s="216" customFormat="1" x14ac:dyDescent="0.35">
      <c r="B177" s="54"/>
      <c r="F177" s="225"/>
      <c r="I177" s="226"/>
      <c r="J177" s="226"/>
      <c r="P177" s="143"/>
      <c r="Q177" s="189"/>
      <c r="U177" s="143"/>
      <c r="V177" s="143"/>
      <c r="W177" s="143"/>
      <c r="X177" s="143"/>
      <c r="Y177" s="143"/>
    </row>
    <row r="178" spans="2:25" s="216" customFormat="1" x14ac:dyDescent="0.35">
      <c r="B178" s="54"/>
      <c r="F178" s="225"/>
      <c r="I178" s="226"/>
      <c r="J178" s="226"/>
      <c r="P178" s="143"/>
      <c r="Q178" s="189"/>
      <c r="U178" s="143"/>
      <c r="V178" s="143"/>
      <c r="W178" s="143"/>
      <c r="X178" s="143"/>
      <c r="Y178" s="143"/>
    </row>
    <row r="179" spans="2:25" s="216" customFormat="1" x14ac:dyDescent="0.35">
      <c r="B179" s="54"/>
      <c r="F179" s="225"/>
      <c r="I179" s="226"/>
      <c r="J179" s="226"/>
      <c r="P179" s="143"/>
      <c r="Q179" s="189"/>
      <c r="U179" s="143"/>
      <c r="V179" s="143"/>
      <c r="W179" s="143"/>
      <c r="X179" s="143"/>
      <c r="Y179" s="143"/>
    </row>
    <row r="180" spans="2:25" s="216" customFormat="1" x14ac:dyDescent="0.35">
      <c r="B180" s="54"/>
      <c r="F180" s="225"/>
      <c r="I180" s="226"/>
      <c r="J180" s="226"/>
      <c r="P180" s="143"/>
      <c r="Q180" s="189"/>
      <c r="U180" s="143"/>
      <c r="V180" s="143"/>
      <c r="W180" s="143"/>
      <c r="X180" s="143"/>
      <c r="Y180" s="143"/>
    </row>
    <row r="181" spans="2:25" s="216" customFormat="1" x14ac:dyDescent="0.35">
      <c r="B181" s="54"/>
      <c r="F181" s="225"/>
      <c r="I181" s="226"/>
      <c r="J181" s="226"/>
      <c r="P181" s="143"/>
      <c r="Q181" s="189"/>
      <c r="U181" s="143"/>
      <c r="V181" s="143"/>
      <c r="W181" s="143"/>
      <c r="X181" s="143"/>
      <c r="Y181" s="143"/>
    </row>
    <row r="182" spans="2:25" s="216" customFormat="1" x14ac:dyDescent="0.35">
      <c r="B182" s="54"/>
      <c r="F182" s="225"/>
      <c r="I182" s="226"/>
      <c r="J182" s="226"/>
      <c r="P182" s="143"/>
      <c r="Q182" s="189"/>
      <c r="U182" s="143"/>
      <c r="V182" s="143"/>
      <c r="W182" s="143"/>
      <c r="X182" s="143"/>
      <c r="Y182" s="143"/>
    </row>
    <row r="183" spans="2:25" s="216" customFormat="1" x14ac:dyDescent="0.35">
      <c r="B183" s="54"/>
      <c r="F183" s="225"/>
      <c r="I183" s="226"/>
      <c r="J183" s="226"/>
      <c r="P183" s="143"/>
      <c r="Q183" s="189"/>
      <c r="U183" s="143"/>
      <c r="V183" s="143"/>
      <c r="W183" s="143"/>
      <c r="X183" s="143"/>
      <c r="Y183" s="143"/>
    </row>
    <row r="184" spans="2:25" s="216" customFormat="1" x14ac:dyDescent="0.35">
      <c r="B184" s="54"/>
      <c r="F184" s="225"/>
      <c r="I184" s="226"/>
      <c r="J184" s="226"/>
      <c r="P184" s="143"/>
      <c r="Q184" s="189"/>
      <c r="U184" s="143"/>
      <c r="V184" s="143"/>
      <c r="W184" s="143"/>
      <c r="X184" s="143"/>
      <c r="Y184" s="143"/>
    </row>
    <row r="185" spans="2:25" s="216" customFormat="1" x14ac:dyDescent="0.35">
      <c r="B185" s="54"/>
      <c r="F185" s="225"/>
      <c r="I185" s="226"/>
      <c r="J185" s="226"/>
      <c r="P185" s="143"/>
      <c r="Q185" s="189"/>
      <c r="U185" s="143"/>
      <c r="V185" s="143"/>
      <c r="W185" s="143"/>
      <c r="X185" s="143"/>
      <c r="Y185" s="143"/>
    </row>
    <row r="186" spans="2:25" s="216" customFormat="1" x14ac:dyDescent="0.35">
      <c r="B186" s="54"/>
      <c r="F186" s="225"/>
      <c r="I186" s="226"/>
      <c r="J186" s="226"/>
      <c r="P186" s="143"/>
      <c r="Q186" s="189"/>
      <c r="U186" s="143"/>
      <c r="V186" s="143"/>
      <c r="W186" s="143"/>
      <c r="X186" s="143"/>
      <c r="Y186" s="143"/>
    </row>
    <row r="187" spans="2:25" s="216" customFormat="1" x14ac:dyDescent="0.35">
      <c r="B187" s="54"/>
      <c r="F187" s="225"/>
      <c r="I187" s="226"/>
      <c r="J187" s="226"/>
      <c r="P187" s="143"/>
      <c r="Q187" s="189"/>
      <c r="U187" s="143"/>
      <c r="V187" s="143"/>
      <c r="W187" s="143"/>
      <c r="X187" s="143"/>
      <c r="Y187" s="143"/>
    </row>
    <row r="188" spans="2:25" s="216" customFormat="1" x14ac:dyDescent="0.35">
      <c r="B188" s="54"/>
      <c r="F188" s="225"/>
      <c r="I188" s="226"/>
      <c r="J188" s="226"/>
      <c r="P188" s="143"/>
      <c r="Q188" s="189"/>
      <c r="U188" s="143"/>
      <c r="V188" s="143"/>
      <c r="W188" s="143"/>
      <c r="X188" s="143"/>
      <c r="Y188" s="143"/>
    </row>
    <row r="189" spans="2:25" s="216" customFormat="1" x14ac:dyDescent="0.35">
      <c r="B189" s="54"/>
      <c r="F189" s="225"/>
      <c r="I189" s="226"/>
      <c r="J189" s="226"/>
      <c r="P189" s="143"/>
      <c r="Q189" s="189"/>
      <c r="U189" s="143"/>
      <c r="V189" s="143"/>
      <c r="W189" s="143"/>
      <c r="X189" s="143"/>
      <c r="Y189" s="143"/>
    </row>
    <row r="190" spans="2:25" s="216" customFormat="1" x14ac:dyDescent="0.35">
      <c r="B190" s="54"/>
      <c r="F190" s="225"/>
      <c r="I190" s="226"/>
      <c r="J190" s="226"/>
      <c r="P190" s="143"/>
      <c r="Q190" s="189"/>
      <c r="U190" s="143"/>
      <c r="V190" s="143"/>
      <c r="W190" s="143"/>
      <c r="X190" s="143"/>
      <c r="Y190" s="143"/>
    </row>
    <row r="191" spans="2:25" s="216" customFormat="1" x14ac:dyDescent="0.35">
      <c r="B191" s="54"/>
      <c r="F191" s="225"/>
      <c r="I191" s="226"/>
      <c r="J191" s="226"/>
      <c r="P191" s="143"/>
      <c r="Q191" s="189"/>
      <c r="U191" s="143"/>
      <c r="V191" s="143"/>
      <c r="W191" s="143"/>
      <c r="X191" s="143"/>
      <c r="Y191" s="143"/>
    </row>
    <row r="192" spans="2:25" s="216" customFormat="1" x14ac:dyDescent="0.35">
      <c r="B192" s="54"/>
      <c r="F192" s="225"/>
      <c r="I192" s="226"/>
      <c r="J192" s="226"/>
      <c r="P192" s="143"/>
      <c r="Q192" s="189"/>
      <c r="U192" s="143"/>
      <c r="V192" s="143"/>
      <c r="W192" s="143"/>
      <c r="X192" s="143"/>
      <c r="Y192" s="143"/>
    </row>
    <row r="193" spans="2:25" s="216" customFormat="1" x14ac:dyDescent="0.35">
      <c r="B193" s="54"/>
      <c r="F193" s="225"/>
      <c r="I193" s="226"/>
      <c r="J193" s="226"/>
      <c r="P193" s="143"/>
      <c r="Q193" s="189"/>
      <c r="U193" s="143"/>
      <c r="V193" s="143"/>
      <c r="W193" s="143"/>
      <c r="X193" s="143"/>
      <c r="Y193" s="143"/>
    </row>
    <row r="194" spans="2:25" s="216" customFormat="1" x14ac:dyDescent="0.35">
      <c r="B194" s="54"/>
      <c r="F194" s="225"/>
      <c r="I194" s="226"/>
      <c r="J194" s="226"/>
      <c r="P194" s="143"/>
      <c r="Q194" s="189"/>
      <c r="U194" s="143"/>
      <c r="V194" s="143"/>
      <c r="W194" s="143"/>
      <c r="X194" s="143"/>
      <c r="Y194" s="143"/>
    </row>
    <row r="195" spans="2:25" s="216" customFormat="1" x14ac:dyDescent="0.35">
      <c r="B195" s="54"/>
      <c r="F195" s="225"/>
      <c r="I195" s="226"/>
      <c r="J195" s="226"/>
      <c r="P195" s="143"/>
      <c r="Q195" s="189"/>
      <c r="U195" s="143"/>
      <c r="V195" s="143"/>
      <c r="W195" s="143"/>
      <c r="X195" s="143"/>
      <c r="Y195" s="143"/>
    </row>
    <row r="196" spans="2:25" s="216" customFormat="1" x14ac:dyDescent="0.35">
      <c r="B196" s="54"/>
      <c r="F196" s="225"/>
      <c r="I196" s="226"/>
      <c r="J196" s="226"/>
      <c r="P196" s="143"/>
      <c r="Q196" s="189"/>
      <c r="U196" s="143"/>
      <c r="V196" s="143"/>
      <c r="W196" s="143"/>
      <c r="X196" s="143"/>
      <c r="Y196" s="143"/>
    </row>
    <row r="197" spans="2:25" s="216" customFormat="1" x14ac:dyDescent="0.35">
      <c r="B197" s="54"/>
      <c r="F197" s="225"/>
      <c r="I197" s="226"/>
      <c r="J197" s="226"/>
      <c r="P197" s="143"/>
      <c r="Q197" s="189"/>
      <c r="U197" s="143"/>
      <c r="V197" s="143"/>
      <c r="W197" s="143"/>
      <c r="X197" s="143"/>
      <c r="Y197" s="143"/>
    </row>
    <row r="198" spans="2:25" s="216" customFormat="1" x14ac:dyDescent="0.35">
      <c r="B198" s="54"/>
      <c r="F198" s="225"/>
      <c r="I198" s="226"/>
      <c r="J198" s="226"/>
      <c r="P198" s="143"/>
      <c r="Q198" s="189"/>
      <c r="U198" s="143"/>
      <c r="V198" s="143"/>
      <c r="W198" s="143"/>
      <c r="X198" s="143"/>
      <c r="Y198" s="143"/>
    </row>
    <row r="199" spans="2:25" s="216" customFormat="1" x14ac:dyDescent="0.35">
      <c r="B199" s="54"/>
      <c r="F199" s="225"/>
      <c r="I199" s="226"/>
      <c r="J199" s="226"/>
      <c r="P199" s="143"/>
      <c r="Q199" s="189"/>
      <c r="U199" s="143"/>
      <c r="V199" s="143"/>
      <c r="W199" s="143"/>
      <c r="X199" s="143"/>
      <c r="Y199" s="143"/>
    </row>
    <row r="200" spans="2:25" s="216" customFormat="1" x14ac:dyDescent="0.35">
      <c r="B200" s="54"/>
      <c r="F200" s="225"/>
      <c r="I200" s="226"/>
      <c r="J200" s="226"/>
      <c r="P200" s="143"/>
      <c r="Q200" s="189"/>
      <c r="U200" s="143"/>
      <c r="V200" s="143"/>
      <c r="W200" s="143"/>
      <c r="X200" s="143"/>
      <c r="Y200" s="143"/>
    </row>
    <row r="201" spans="2:25" s="216" customFormat="1" x14ac:dyDescent="0.35">
      <c r="B201" s="54"/>
      <c r="F201" s="225"/>
      <c r="I201" s="226"/>
      <c r="J201" s="226"/>
      <c r="P201" s="143"/>
      <c r="Q201" s="189"/>
      <c r="U201" s="143"/>
      <c r="V201" s="143"/>
      <c r="W201" s="143"/>
      <c r="X201" s="143"/>
      <c r="Y201" s="143"/>
    </row>
    <row r="202" spans="2:25" s="216" customFormat="1" x14ac:dyDescent="0.35">
      <c r="B202" s="54"/>
      <c r="F202" s="225"/>
      <c r="I202" s="226"/>
      <c r="J202" s="226"/>
      <c r="P202" s="143"/>
      <c r="Q202" s="189"/>
      <c r="U202" s="143"/>
      <c r="V202" s="143"/>
      <c r="W202" s="143"/>
      <c r="X202" s="143"/>
      <c r="Y202" s="143"/>
    </row>
    <row r="203" spans="2:25" s="216" customFormat="1" x14ac:dyDescent="0.35">
      <c r="B203" s="54"/>
      <c r="F203" s="225"/>
      <c r="I203" s="226"/>
      <c r="J203" s="226"/>
      <c r="P203" s="143"/>
      <c r="Q203" s="189"/>
      <c r="U203" s="143"/>
      <c r="V203" s="143"/>
      <c r="W203" s="143"/>
      <c r="X203" s="143"/>
      <c r="Y203" s="143"/>
    </row>
    <row r="204" spans="2:25" s="216" customFormat="1" x14ac:dyDescent="0.35">
      <c r="B204" s="54"/>
      <c r="F204" s="225"/>
      <c r="I204" s="226"/>
      <c r="J204" s="226"/>
      <c r="P204" s="143"/>
      <c r="Q204" s="189"/>
      <c r="U204" s="143"/>
      <c r="V204" s="143"/>
      <c r="W204" s="143"/>
      <c r="X204" s="143"/>
      <c r="Y204" s="143"/>
    </row>
    <row r="205" spans="2:25" s="216" customFormat="1" x14ac:dyDescent="0.35">
      <c r="B205" s="54"/>
      <c r="F205" s="225"/>
      <c r="I205" s="226"/>
      <c r="J205" s="226"/>
      <c r="P205" s="143"/>
      <c r="Q205" s="189"/>
      <c r="U205" s="143"/>
      <c r="V205" s="143"/>
      <c r="W205" s="143"/>
      <c r="X205" s="143"/>
      <c r="Y205" s="143"/>
    </row>
    <row r="206" spans="2:25" s="216" customFormat="1" x14ac:dyDescent="0.35">
      <c r="B206" s="54"/>
      <c r="F206" s="225"/>
      <c r="I206" s="226"/>
      <c r="J206" s="226"/>
      <c r="P206" s="143"/>
      <c r="Q206" s="189"/>
      <c r="U206" s="143"/>
      <c r="V206" s="143"/>
      <c r="W206" s="143"/>
      <c r="X206" s="143"/>
      <c r="Y206" s="143"/>
    </row>
    <row r="207" spans="2:25" s="216" customFormat="1" x14ac:dyDescent="0.35">
      <c r="B207" s="54"/>
      <c r="F207" s="225"/>
      <c r="I207" s="226"/>
      <c r="J207" s="226"/>
      <c r="P207" s="143"/>
      <c r="Q207" s="189"/>
      <c r="U207" s="143"/>
      <c r="V207" s="143"/>
      <c r="W207" s="143"/>
      <c r="X207" s="143"/>
      <c r="Y207" s="143"/>
    </row>
    <row r="208" spans="2:25" s="216" customFormat="1" x14ac:dyDescent="0.35">
      <c r="B208" s="54"/>
      <c r="F208" s="225"/>
      <c r="I208" s="226"/>
      <c r="J208" s="226"/>
      <c r="P208" s="143"/>
      <c r="Q208" s="189"/>
      <c r="U208" s="143"/>
      <c r="V208" s="143"/>
      <c r="W208" s="143"/>
      <c r="X208" s="143"/>
      <c r="Y208" s="143"/>
    </row>
    <row r="209" spans="2:25" s="216" customFormat="1" x14ac:dyDescent="0.35">
      <c r="B209" s="54"/>
      <c r="F209" s="225"/>
      <c r="I209" s="226"/>
      <c r="J209" s="226"/>
      <c r="P209" s="143"/>
      <c r="Q209" s="189"/>
      <c r="U209" s="143"/>
      <c r="V209" s="143"/>
      <c r="W209" s="143"/>
      <c r="X209" s="143"/>
      <c r="Y209" s="143"/>
    </row>
    <row r="210" spans="2:25" s="216" customFormat="1" x14ac:dyDescent="0.35">
      <c r="B210" s="54"/>
      <c r="F210" s="225"/>
      <c r="I210" s="226"/>
      <c r="J210" s="226"/>
      <c r="P210" s="143"/>
      <c r="Q210" s="189"/>
      <c r="U210" s="143"/>
      <c r="V210" s="143"/>
      <c r="W210" s="143"/>
      <c r="X210" s="143"/>
      <c r="Y210" s="143"/>
    </row>
    <row r="211" spans="2:25" s="216" customFormat="1" x14ac:dyDescent="0.35">
      <c r="B211" s="54"/>
      <c r="F211" s="225"/>
      <c r="I211" s="226"/>
      <c r="J211" s="226"/>
      <c r="P211" s="143"/>
      <c r="Q211" s="189"/>
      <c r="U211" s="143"/>
      <c r="V211" s="143"/>
      <c r="W211" s="143"/>
      <c r="X211" s="143"/>
      <c r="Y211" s="143"/>
    </row>
    <row r="212" spans="2:25" s="216" customFormat="1" x14ac:dyDescent="0.35">
      <c r="B212" s="54"/>
      <c r="F212" s="225"/>
      <c r="I212" s="226"/>
      <c r="J212" s="226"/>
      <c r="P212" s="143"/>
      <c r="Q212" s="189"/>
      <c r="U212" s="143"/>
      <c r="V212" s="143"/>
      <c r="W212" s="143"/>
      <c r="X212" s="143"/>
      <c r="Y212" s="143"/>
    </row>
    <row r="213" spans="2:25" s="216" customFormat="1" x14ac:dyDescent="0.35">
      <c r="B213" s="54"/>
      <c r="F213" s="225"/>
      <c r="I213" s="226"/>
      <c r="J213" s="226"/>
      <c r="P213" s="143"/>
      <c r="Q213" s="189"/>
      <c r="U213" s="143"/>
      <c r="V213" s="143"/>
      <c r="W213" s="143"/>
      <c r="X213" s="143"/>
      <c r="Y213" s="143"/>
    </row>
    <row r="214" spans="2:25" s="216" customFormat="1" x14ac:dyDescent="0.35">
      <c r="B214" s="54"/>
      <c r="F214" s="225"/>
      <c r="I214" s="226"/>
      <c r="J214" s="226"/>
      <c r="P214" s="143"/>
      <c r="Q214" s="189"/>
      <c r="U214" s="143"/>
      <c r="V214" s="143"/>
      <c r="W214" s="143"/>
      <c r="X214" s="143"/>
      <c r="Y214" s="143"/>
    </row>
    <row r="215" spans="2:25" s="216" customFormat="1" x14ac:dyDescent="0.35">
      <c r="B215" s="54"/>
      <c r="F215" s="225"/>
      <c r="I215" s="226"/>
      <c r="J215" s="226"/>
      <c r="P215" s="143"/>
      <c r="Q215" s="189"/>
      <c r="U215" s="143"/>
      <c r="V215" s="143"/>
      <c r="W215" s="143"/>
      <c r="X215" s="143"/>
      <c r="Y215" s="143"/>
    </row>
    <row r="216" spans="2:25" s="216" customFormat="1" x14ac:dyDescent="0.35">
      <c r="B216" s="54"/>
      <c r="F216" s="225"/>
      <c r="I216" s="226"/>
      <c r="J216" s="226"/>
      <c r="P216" s="143"/>
      <c r="Q216" s="189"/>
      <c r="U216" s="143"/>
      <c r="V216" s="143"/>
      <c r="W216" s="143"/>
      <c r="X216" s="143"/>
      <c r="Y216" s="143"/>
    </row>
    <row r="217" spans="2:25" s="216" customFormat="1" x14ac:dyDescent="0.35">
      <c r="B217" s="54"/>
      <c r="F217" s="225"/>
      <c r="I217" s="226"/>
      <c r="J217" s="226"/>
      <c r="P217" s="143"/>
      <c r="Q217" s="189"/>
      <c r="U217" s="143"/>
      <c r="V217" s="143"/>
      <c r="W217" s="143"/>
      <c r="X217" s="143"/>
      <c r="Y217" s="143"/>
    </row>
    <row r="218" spans="2:25" s="216" customFormat="1" x14ac:dyDescent="0.35">
      <c r="B218" s="54"/>
      <c r="F218" s="225"/>
      <c r="I218" s="226"/>
      <c r="J218" s="226"/>
      <c r="P218" s="143"/>
      <c r="Q218" s="189"/>
      <c r="U218" s="143"/>
      <c r="V218" s="143"/>
      <c r="W218" s="143"/>
      <c r="X218" s="143"/>
      <c r="Y218" s="143"/>
    </row>
    <row r="219" spans="2:25" s="216" customFormat="1" x14ac:dyDescent="0.35">
      <c r="B219" s="54"/>
      <c r="F219" s="225"/>
      <c r="I219" s="226"/>
      <c r="J219" s="226"/>
      <c r="P219" s="143"/>
      <c r="Q219" s="189"/>
      <c r="U219" s="143"/>
      <c r="V219" s="143"/>
      <c r="W219" s="143"/>
      <c r="X219" s="143"/>
      <c r="Y219" s="143"/>
    </row>
    <row r="220" spans="2:25" s="216" customFormat="1" x14ac:dyDescent="0.35">
      <c r="B220" s="54"/>
      <c r="F220" s="225"/>
      <c r="I220" s="226"/>
      <c r="J220" s="226"/>
      <c r="P220" s="143"/>
      <c r="Q220" s="189"/>
      <c r="U220" s="143"/>
      <c r="V220" s="143"/>
      <c r="W220" s="143"/>
      <c r="X220" s="143"/>
      <c r="Y220" s="143"/>
    </row>
    <row r="221" spans="2:25" s="216" customFormat="1" x14ac:dyDescent="0.35">
      <c r="B221" s="54"/>
      <c r="F221" s="225"/>
      <c r="I221" s="226"/>
      <c r="J221" s="226"/>
      <c r="P221" s="143"/>
      <c r="Q221" s="189"/>
      <c r="U221" s="143"/>
      <c r="V221" s="143"/>
      <c r="W221" s="143"/>
      <c r="X221" s="143"/>
      <c r="Y221" s="143"/>
    </row>
    <row r="222" spans="2:25" s="216" customFormat="1" x14ac:dyDescent="0.35">
      <c r="B222" s="54"/>
      <c r="F222" s="225"/>
      <c r="I222" s="226"/>
      <c r="J222" s="226"/>
      <c r="P222" s="143"/>
      <c r="Q222" s="189"/>
      <c r="U222" s="143"/>
      <c r="V222" s="143"/>
      <c r="W222" s="143"/>
      <c r="X222" s="143"/>
      <c r="Y222" s="143"/>
    </row>
    <row r="223" spans="2:25" s="216" customFormat="1" x14ac:dyDescent="0.35">
      <c r="B223" s="54"/>
      <c r="F223" s="225"/>
      <c r="I223" s="226"/>
      <c r="J223" s="226"/>
      <c r="P223" s="143"/>
      <c r="Q223" s="189"/>
      <c r="U223" s="143"/>
      <c r="V223" s="143"/>
      <c r="W223" s="143"/>
      <c r="X223" s="143"/>
      <c r="Y223" s="143"/>
    </row>
    <row r="224" spans="2:25" s="216" customFormat="1" x14ac:dyDescent="0.35">
      <c r="B224" s="54"/>
      <c r="F224" s="225"/>
      <c r="I224" s="226"/>
      <c r="J224" s="226"/>
      <c r="P224" s="143"/>
      <c r="Q224" s="189"/>
      <c r="U224" s="143"/>
      <c r="V224" s="143"/>
      <c r="W224" s="143"/>
      <c r="X224" s="143"/>
      <c r="Y224" s="143"/>
    </row>
    <row r="225" spans="2:25" s="216" customFormat="1" x14ac:dyDescent="0.35">
      <c r="B225" s="54"/>
      <c r="F225" s="225"/>
      <c r="I225" s="226"/>
      <c r="J225" s="226"/>
      <c r="P225" s="143"/>
      <c r="Q225" s="189"/>
      <c r="U225" s="143"/>
      <c r="V225" s="143"/>
      <c r="W225" s="143"/>
      <c r="X225" s="143"/>
      <c r="Y225" s="143"/>
    </row>
    <row r="226" spans="2:25" s="216" customFormat="1" x14ac:dyDescent="0.35">
      <c r="B226" s="54"/>
      <c r="F226" s="225"/>
      <c r="I226" s="226"/>
      <c r="J226" s="226"/>
      <c r="P226" s="143"/>
      <c r="Q226" s="189"/>
      <c r="U226" s="143"/>
      <c r="V226" s="143"/>
      <c r="W226" s="143"/>
      <c r="X226" s="143"/>
      <c r="Y226" s="143"/>
    </row>
    <row r="227" spans="2:25" s="216" customFormat="1" x14ac:dyDescent="0.35">
      <c r="B227" s="54"/>
      <c r="F227" s="225"/>
      <c r="I227" s="226"/>
      <c r="J227" s="226"/>
      <c r="P227" s="143"/>
      <c r="Q227" s="189"/>
      <c r="U227" s="143"/>
      <c r="V227" s="143"/>
      <c r="W227" s="143"/>
      <c r="X227" s="143"/>
      <c r="Y227" s="143"/>
    </row>
    <row r="228" spans="2:25" s="216" customFormat="1" x14ac:dyDescent="0.35">
      <c r="B228" s="54"/>
      <c r="F228" s="225"/>
      <c r="I228" s="226"/>
      <c r="J228" s="226"/>
      <c r="P228" s="143"/>
      <c r="Q228" s="189"/>
      <c r="U228" s="143"/>
      <c r="V228" s="143"/>
      <c r="W228" s="143"/>
      <c r="X228" s="143"/>
      <c r="Y228" s="143"/>
    </row>
    <row r="229" spans="2:25" s="216" customFormat="1" x14ac:dyDescent="0.35">
      <c r="B229" s="54"/>
      <c r="F229" s="225"/>
      <c r="I229" s="226"/>
      <c r="J229" s="226"/>
      <c r="P229" s="143"/>
      <c r="Q229" s="189"/>
      <c r="U229" s="143"/>
      <c r="V229" s="143"/>
      <c r="W229" s="143"/>
      <c r="X229" s="143"/>
      <c r="Y229" s="143"/>
    </row>
    <row r="230" spans="2:25" s="216" customFormat="1" x14ac:dyDescent="0.35">
      <c r="B230" s="54"/>
      <c r="F230" s="225"/>
      <c r="I230" s="226"/>
      <c r="J230" s="226"/>
      <c r="P230" s="143"/>
      <c r="Q230" s="189"/>
      <c r="U230" s="143"/>
      <c r="V230" s="143"/>
      <c r="W230" s="143"/>
      <c r="X230" s="143"/>
      <c r="Y230" s="143"/>
    </row>
    <row r="231" spans="2:25" s="216" customFormat="1" x14ac:dyDescent="0.35">
      <c r="B231" s="54"/>
      <c r="F231" s="225"/>
      <c r="I231" s="226"/>
      <c r="J231" s="226"/>
      <c r="P231" s="143"/>
      <c r="Q231" s="189"/>
      <c r="U231" s="143"/>
      <c r="V231" s="143"/>
      <c r="W231" s="143"/>
      <c r="X231" s="143"/>
      <c r="Y231" s="143"/>
    </row>
    <row r="232" spans="2:25" s="216" customFormat="1" x14ac:dyDescent="0.35">
      <c r="B232" s="54"/>
      <c r="F232" s="225"/>
      <c r="I232" s="226"/>
      <c r="J232" s="226"/>
      <c r="P232" s="143"/>
      <c r="Q232" s="189"/>
      <c r="U232" s="143"/>
      <c r="V232" s="143"/>
      <c r="W232" s="143"/>
      <c r="X232" s="143"/>
      <c r="Y232" s="143"/>
    </row>
    <row r="233" spans="2:25" s="216" customFormat="1" x14ac:dyDescent="0.35">
      <c r="B233" s="54"/>
      <c r="F233" s="225"/>
      <c r="I233" s="226"/>
      <c r="J233" s="226"/>
      <c r="P233" s="143"/>
      <c r="Q233" s="189"/>
      <c r="U233" s="143"/>
      <c r="V233" s="143"/>
      <c r="W233" s="143"/>
      <c r="X233" s="143"/>
      <c r="Y233" s="143"/>
    </row>
    <row r="234" spans="2:25" s="216" customFormat="1" x14ac:dyDescent="0.35">
      <c r="B234" s="54"/>
      <c r="F234" s="225"/>
      <c r="I234" s="226"/>
      <c r="J234" s="226"/>
      <c r="P234" s="143"/>
      <c r="Q234" s="189"/>
      <c r="U234" s="143"/>
      <c r="V234" s="143"/>
      <c r="W234" s="143"/>
      <c r="X234" s="143"/>
      <c r="Y234" s="143"/>
    </row>
    <row r="235" spans="2:25" s="216" customFormat="1" x14ac:dyDescent="0.35">
      <c r="B235" s="54"/>
      <c r="F235" s="225"/>
      <c r="I235" s="226"/>
      <c r="J235" s="226"/>
      <c r="P235" s="143"/>
      <c r="Q235" s="189"/>
      <c r="U235" s="143"/>
      <c r="V235" s="143"/>
      <c r="W235" s="143"/>
      <c r="X235" s="143"/>
      <c r="Y235" s="143"/>
    </row>
    <row r="236" spans="2:25" s="216" customFormat="1" x14ac:dyDescent="0.35">
      <c r="B236" s="54"/>
      <c r="F236" s="225"/>
      <c r="I236" s="226"/>
      <c r="J236" s="226"/>
      <c r="P236" s="143"/>
      <c r="Q236" s="189"/>
      <c r="U236" s="143"/>
      <c r="V236" s="143"/>
      <c r="W236" s="143"/>
      <c r="X236" s="143"/>
      <c r="Y236" s="143"/>
    </row>
    <row r="237" spans="2:25" s="216" customFormat="1" x14ac:dyDescent="0.35">
      <c r="B237" s="54"/>
      <c r="F237" s="225"/>
      <c r="I237" s="226"/>
      <c r="J237" s="226"/>
      <c r="P237" s="143"/>
      <c r="Q237" s="189"/>
      <c r="U237" s="143"/>
      <c r="V237" s="143"/>
      <c r="W237" s="143"/>
      <c r="X237" s="143"/>
      <c r="Y237" s="143"/>
    </row>
    <row r="238" spans="2:25" s="216" customFormat="1" x14ac:dyDescent="0.35">
      <c r="B238" s="54"/>
      <c r="F238" s="225"/>
      <c r="I238" s="226"/>
      <c r="J238" s="226"/>
      <c r="P238" s="143"/>
      <c r="Q238" s="189"/>
      <c r="U238" s="143"/>
      <c r="V238" s="143"/>
      <c r="W238" s="143"/>
      <c r="X238" s="143"/>
      <c r="Y238" s="143"/>
    </row>
    <row r="239" spans="2:25" s="216" customFormat="1" x14ac:dyDescent="0.35">
      <c r="B239" s="54"/>
      <c r="F239" s="225"/>
      <c r="I239" s="226"/>
      <c r="J239" s="226"/>
      <c r="P239" s="143"/>
      <c r="Q239" s="189"/>
      <c r="U239" s="143"/>
      <c r="V239" s="143"/>
      <c r="W239" s="143"/>
      <c r="X239" s="143"/>
      <c r="Y239" s="143"/>
    </row>
    <row r="240" spans="2:25" s="216" customFormat="1" x14ac:dyDescent="0.35">
      <c r="B240" s="54"/>
      <c r="F240" s="225"/>
      <c r="I240" s="226"/>
      <c r="J240" s="226"/>
      <c r="P240" s="143"/>
      <c r="Q240" s="189"/>
      <c r="U240" s="143"/>
      <c r="V240" s="143"/>
      <c r="W240" s="143"/>
      <c r="X240" s="143"/>
      <c r="Y240" s="143"/>
    </row>
    <row r="241" spans="2:25" s="216" customFormat="1" x14ac:dyDescent="0.35">
      <c r="B241" s="54"/>
      <c r="F241" s="225"/>
      <c r="I241" s="226"/>
      <c r="J241" s="226"/>
      <c r="P241" s="143"/>
      <c r="Q241" s="189"/>
      <c r="U241" s="143"/>
      <c r="V241" s="143"/>
      <c r="W241" s="143"/>
      <c r="X241" s="143"/>
      <c r="Y241" s="143"/>
    </row>
    <row r="242" spans="2:25" s="216" customFormat="1" x14ac:dyDescent="0.35">
      <c r="B242" s="54"/>
      <c r="F242" s="225"/>
      <c r="I242" s="226"/>
      <c r="J242" s="226"/>
      <c r="P242" s="143"/>
      <c r="Q242" s="189"/>
      <c r="U242" s="143"/>
      <c r="V242" s="143"/>
      <c r="W242" s="143"/>
      <c r="X242" s="143"/>
      <c r="Y242" s="143"/>
    </row>
    <row r="243" spans="2:25" s="216" customFormat="1" x14ac:dyDescent="0.35">
      <c r="B243" s="54"/>
      <c r="F243" s="225"/>
      <c r="I243" s="226"/>
      <c r="J243" s="226"/>
      <c r="P243" s="143"/>
      <c r="Q243" s="189"/>
      <c r="U243" s="143"/>
      <c r="V243" s="143"/>
      <c r="W243" s="143"/>
      <c r="X243" s="143"/>
      <c r="Y243" s="143"/>
    </row>
    <row r="244" spans="2:25" s="216" customFormat="1" x14ac:dyDescent="0.35">
      <c r="B244" s="54"/>
      <c r="F244" s="225"/>
      <c r="I244" s="226"/>
      <c r="J244" s="226"/>
      <c r="P244" s="143"/>
      <c r="Q244" s="189"/>
      <c r="U244" s="143"/>
      <c r="V244" s="143"/>
      <c r="W244" s="143"/>
      <c r="X244" s="143"/>
      <c r="Y244" s="143"/>
    </row>
    <row r="245" spans="2:25" s="216" customFormat="1" x14ac:dyDescent="0.35">
      <c r="B245" s="54"/>
      <c r="F245" s="225"/>
      <c r="I245" s="226"/>
      <c r="J245" s="226"/>
      <c r="P245" s="143"/>
      <c r="Q245" s="189"/>
      <c r="U245" s="143"/>
      <c r="V245" s="143"/>
      <c r="W245" s="143"/>
      <c r="X245" s="143"/>
      <c r="Y245" s="143"/>
    </row>
    <row r="246" spans="2:25" s="216" customFormat="1" x14ac:dyDescent="0.35">
      <c r="B246" s="54"/>
      <c r="F246" s="225"/>
      <c r="I246" s="226"/>
      <c r="J246" s="226"/>
      <c r="P246" s="143"/>
      <c r="Q246" s="189"/>
      <c r="U246" s="143"/>
      <c r="V246" s="143"/>
      <c r="W246" s="143"/>
      <c r="X246" s="143"/>
      <c r="Y246" s="143"/>
    </row>
    <row r="247" spans="2:25" s="216" customFormat="1" x14ac:dyDescent="0.35">
      <c r="B247" s="54"/>
      <c r="F247" s="225"/>
      <c r="I247" s="226"/>
      <c r="J247" s="226"/>
      <c r="P247" s="143"/>
      <c r="Q247" s="189"/>
      <c r="U247" s="143"/>
      <c r="V247" s="143"/>
      <c r="W247" s="143"/>
      <c r="X247" s="143"/>
      <c r="Y247" s="143"/>
    </row>
    <row r="248" spans="2:25" s="216" customFormat="1" x14ac:dyDescent="0.35">
      <c r="B248" s="54"/>
      <c r="F248" s="225"/>
      <c r="I248" s="226"/>
      <c r="J248" s="226"/>
      <c r="P248" s="143"/>
      <c r="Q248" s="189"/>
      <c r="U248" s="143"/>
      <c r="V248" s="143"/>
      <c r="W248" s="143"/>
      <c r="X248" s="143"/>
      <c r="Y248" s="143"/>
    </row>
    <row r="249" spans="2:25" s="216" customFormat="1" x14ac:dyDescent="0.35">
      <c r="B249" s="54"/>
      <c r="F249" s="225"/>
      <c r="I249" s="226"/>
      <c r="J249" s="226"/>
      <c r="P249" s="143"/>
      <c r="Q249" s="189"/>
      <c r="U249" s="143"/>
      <c r="V249" s="143"/>
      <c r="W249" s="143"/>
      <c r="X249" s="143"/>
      <c r="Y249" s="143"/>
    </row>
    <row r="250" spans="2:25" s="216" customFormat="1" x14ac:dyDescent="0.35">
      <c r="B250" s="54"/>
      <c r="F250" s="225"/>
      <c r="I250" s="226"/>
      <c r="J250" s="226"/>
      <c r="P250" s="143"/>
      <c r="Q250" s="189"/>
      <c r="U250" s="143"/>
      <c r="V250" s="143"/>
      <c r="W250" s="143"/>
      <c r="X250" s="143"/>
      <c r="Y250" s="143"/>
    </row>
    <row r="251" spans="2:25" s="216" customFormat="1" x14ac:dyDescent="0.35">
      <c r="B251" s="54"/>
      <c r="F251" s="225"/>
      <c r="I251" s="226"/>
      <c r="J251" s="226"/>
      <c r="P251" s="143"/>
      <c r="Q251" s="189"/>
      <c r="U251" s="143"/>
      <c r="V251" s="143"/>
      <c r="W251" s="143"/>
      <c r="X251" s="143"/>
      <c r="Y251" s="143"/>
    </row>
    <row r="252" spans="2:25" s="216" customFormat="1" x14ac:dyDescent="0.35">
      <c r="B252" s="54"/>
      <c r="F252" s="225"/>
      <c r="I252" s="226"/>
      <c r="J252" s="226"/>
      <c r="P252" s="143"/>
      <c r="Q252" s="189"/>
      <c r="U252" s="143"/>
      <c r="V252" s="143"/>
      <c r="W252" s="143"/>
      <c r="X252" s="143"/>
      <c r="Y252" s="143"/>
    </row>
    <row r="253" spans="2:25" s="216" customFormat="1" x14ac:dyDescent="0.35">
      <c r="B253" s="54"/>
      <c r="F253" s="225"/>
      <c r="I253" s="226"/>
      <c r="J253" s="226"/>
      <c r="P253" s="143"/>
      <c r="Q253" s="189"/>
      <c r="U253" s="143"/>
      <c r="V253" s="143"/>
      <c r="W253" s="143"/>
      <c r="X253" s="143"/>
      <c r="Y253" s="143"/>
    </row>
    <row r="254" spans="2:25" s="216" customFormat="1" x14ac:dyDescent="0.35">
      <c r="B254" s="54"/>
      <c r="F254" s="225"/>
      <c r="I254" s="226"/>
      <c r="J254" s="226"/>
      <c r="P254" s="143"/>
      <c r="Q254" s="189"/>
      <c r="U254" s="143"/>
      <c r="V254" s="143"/>
      <c r="W254" s="143"/>
      <c r="X254" s="143"/>
      <c r="Y254" s="143"/>
    </row>
    <row r="255" spans="2:25" s="216" customFormat="1" x14ac:dyDescent="0.35">
      <c r="B255" s="54"/>
      <c r="F255" s="225"/>
      <c r="I255" s="226"/>
      <c r="J255" s="226"/>
      <c r="P255" s="143"/>
      <c r="Q255" s="189"/>
      <c r="U255" s="143"/>
      <c r="V255" s="143"/>
      <c r="W255" s="143"/>
      <c r="X255" s="143"/>
      <c r="Y255" s="143"/>
    </row>
    <row r="256" spans="2:25" s="216" customFormat="1" x14ac:dyDescent="0.35">
      <c r="B256" s="54"/>
      <c r="F256" s="225"/>
      <c r="I256" s="226"/>
      <c r="J256" s="226"/>
      <c r="P256" s="143"/>
      <c r="Q256" s="189"/>
      <c r="U256" s="143"/>
      <c r="V256" s="143"/>
      <c r="W256" s="143"/>
      <c r="X256" s="143"/>
      <c r="Y256" s="143"/>
    </row>
    <row r="257" spans="2:25" s="216" customFormat="1" x14ac:dyDescent="0.35">
      <c r="B257" s="54"/>
      <c r="F257" s="225"/>
      <c r="I257" s="226"/>
      <c r="J257" s="226"/>
      <c r="P257" s="143"/>
      <c r="Q257" s="189"/>
      <c r="U257" s="143"/>
      <c r="V257" s="143"/>
      <c r="W257" s="143"/>
      <c r="X257" s="143"/>
      <c r="Y257" s="143"/>
    </row>
    <row r="258" spans="2:25" s="216" customFormat="1" x14ac:dyDescent="0.35">
      <c r="B258" s="54"/>
      <c r="F258" s="225"/>
      <c r="I258" s="226"/>
      <c r="J258" s="226"/>
      <c r="P258" s="143"/>
      <c r="Q258" s="189"/>
      <c r="U258" s="143"/>
      <c r="V258" s="143"/>
      <c r="W258" s="143"/>
      <c r="X258" s="143"/>
      <c r="Y258" s="143"/>
    </row>
    <row r="259" spans="2:25" s="216" customFormat="1" x14ac:dyDescent="0.35">
      <c r="B259" s="54"/>
      <c r="F259" s="225"/>
      <c r="I259" s="226"/>
      <c r="J259" s="226"/>
      <c r="P259" s="143"/>
      <c r="Q259" s="189"/>
      <c r="U259" s="143"/>
      <c r="V259" s="143"/>
      <c r="W259" s="143"/>
      <c r="X259" s="143"/>
      <c r="Y259" s="143"/>
    </row>
    <row r="260" spans="2:25" s="216" customFormat="1" x14ac:dyDescent="0.35">
      <c r="B260" s="54"/>
      <c r="F260" s="225"/>
      <c r="I260" s="226"/>
      <c r="J260" s="226"/>
      <c r="P260" s="143"/>
      <c r="Q260" s="189"/>
      <c r="U260" s="143"/>
      <c r="V260" s="143"/>
      <c r="W260" s="143"/>
      <c r="X260" s="143"/>
      <c r="Y260" s="143"/>
    </row>
    <row r="261" spans="2:25" s="216" customFormat="1" x14ac:dyDescent="0.35">
      <c r="B261" s="54"/>
      <c r="F261" s="225"/>
      <c r="I261" s="226"/>
      <c r="J261" s="226"/>
      <c r="P261" s="143"/>
      <c r="Q261" s="189"/>
      <c r="U261" s="143"/>
      <c r="V261" s="143"/>
      <c r="W261" s="143"/>
      <c r="X261" s="143"/>
      <c r="Y261" s="143"/>
    </row>
    <row r="262" spans="2:25" s="216" customFormat="1" x14ac:dyDescent="0.35">
      <c r="B262" s="54"/>
      <c r="F262" s="225"/>
      <c r="I262" s="226"/>
      <c r="J262" s="226"/>
      <c r="P262" s="143"/>
      <c r="Q262" s="189"/>
      <c r="U262" s="143"/>
      <c r="V262" s="143"/>
      <c r="W262" s="143"/>
      <c r="X262" s="143"/>
      <c r="Y262" s="143"/>
    </row>
    <row r="263" spans="2:25" s="216" customFormat="1" x14ac:dyDescent="0.35">
      <c r="B263" s="54"/>
      <c r="F263" s="225"/>
      <c r="I263" s="226"/>
      <c r="J263" s="226"/>
      <c r="P263" s="143"/>
      <c r="Q263" s="189"/>
      <c r="U263" s="143"/>
      <c r="V263" s="143"/>
      <c r="W263" s="143"/>
      <c r="X263" s="143"/>
      <c r="Y263" s="143"/>
    </row>
    <row r="264" spans="2:25" s="216" customFormat="1" x14ac:dyDescent="0.35">
      <c r="B264" s="54"/>
      <c r="F264" s="225"/>
      <c r="I264" s="226"/>
      <c r="J264" s="226"/>
      <c r="P264" s="143"/>
      <c r="Q264" s="189"/>
      <c r="U264" s="143"/>
      <c r="V264" s="143"/>
      <c r="W264" s="143"/>
      <c r="X264" s="143"/>
      <c r="Y264" s="143"/>
    </row>
    <row r="265" spans="2:25" s="216" customFormat="1" x14ac:dyDescent="0.35">
      <c r="B265" s="54"/>
      <c r="F265" s="225"/>
      <c r="I265" s="226"/>
      <c r="J265" s="226"/>
      <c r="P265" s="143"/>
      <c r="Q265" s="189"/>
      <c r="U265" s="143"/>
      <c r="V265" s="143"/>
      <c r="W265" s="143"/>
      <c r="X265" s="143"/>
      <c r="Y265" s="143"/>
    </row>
    <row r="266" spans="2:25" s="216" customFormat="1" x14ac:dyDescent="0.35">
      <c r="B266" s="54"/>
      <c r="F266" s="225"/>
      <c r="I266" s="226"/>
      <c r="J266" s="226"/>
      <c r="P266" s="143"/>
      <c r="Q266" s="189"/>
      <c r="U266" s="143"/>
      <c r="V266" s="143"/>
      <c r="W266" s="143"/>
      <c r="X266" s="143"/>
      <c r="Y266" s="143"/>
    </row>
    <row r="267" spans="2:25" s="216" customFormat="1" x14ac:dyDescent="0.35">
      <c r="B267" s="54"/>
      <c r="F267" s="225"/>
      <c r="I267" s="226"/>
      <c r="J267" s="226"/>
      <c r="P267" s="143"/>
      <c r="Q267" s="189"/>
      <c r="U267" s="143"/>
      <c r="V267" s="143"/>
      <c r="W267" s="143"/>
      <c r="X267" s="143"/>
      <c r="Y267" s="143"/>
    </row>
    <row r="268" spans="2:25" s="216" customFormat="1" x14ac:dyDescent="0.35">
      <c r="B268" s="54"/>
      <c r="F268" s="225"/>
      <c r="I268" s="226"/>
      <c r="J268" s="226"/>
      <c r="P268" s="143"/>
      <c r="Q268" s="189"/>
      <c r="U268" s="143"/>
      <c r="V268" s="143"/>
      <c r="W268" s="143"/>
      <c r="X268" s="143"/>
      <c r="Y268" s="143"/>
    </row>
    <row r="269" spans="2:25" s="216" customFormat="1" x14ac:dyDescent="0.35">
      <c r="B269" s="54"/>
      <c r="F269" s="225"/>
      <c r="I269" s="226"/>
      <c r="J269" s="226"/>
      <c r="P269" s="143"/>
      <c r="Q269" s="189"/>
      <c r="U269" s="143"/>
      <c r="V269" s="143"/>
      <c r="W269" s="143"/>
      <c r="X269" s="143"/>
      <c r="Y269" s="143"/>
    </row>
    <row r="270" spans="2:25" s="216" customFormat="1" x14ac:dyDescent="0.35">
      <c r="B270" s="54"/>
      <c r="F270" s="225"/>
      <c r="I270" s="226"/>
      <c r="J270" s="226"/>
      <c r="P270" s="143"/>
      <c r="Q270" s="189"/>
      <c r="U270" s="143"/>
      <c r="V270" s="143"/>
      <c r="W270" s="143"/>
      <c r="X270" s="143"/>
      <c r="Y270" s="143"/>
    </row>
    <row r="271" spans="2:25" s="216" customFormat="1" x14ac:dyDescent="0.35">
      <c r="B271" s="54"/>
      <c r="F271" s="225"/>
      <c r="I271" s="226"/>
      <c r="J271" s="226"/>
      <c r="P271" s="143"/>
      <c r="Q271" s="189"/>
      <c r="U271" s="143"/>
      <c r="V271" s="143"/>
      <c r="W271" s="143"/>
      <c r="X271" s="143"/>
      <c r="Y271" s="143"/>
    </row>
    <row r="272" spans="2:25" s="216" customFormat="1" x14ac:dyDescent="0.35">
      <c r="B272" s="54"/>
      <c r="F272" s="225"/>
      <c r="I272" s="226"/>
      <c r="J272" s="226"/>
      <c r="P272" s="143"/>
      <c r="Q272" s="189"/>
      <c r="U272" s="143"/>
      <c r="V272" s="143"/>
      <c r="W272" s="143"/>
      <c r="X272" s="143"/>
      <c r="Y272" s="143"/>
    </row>
    <row r="273" spans="2:25" s="216" customFormat="1" x14ac:dyDescent="0.35">
      <c r="B273" s="54"/>
      <c r="F273" s="225"/>
      <c r="I273" s="226"/>
      <c r="J273" s="226"/>
      <c r="P273" s="143"/>
      <c r="Q273" s="189"/>
      <c r="U273" s="143"/>
      <c r="V273" s="143"/>
      <c r="W273" s="143"/>
      <c r="X273" s="143"/>
      <c r="Y273" s="143"/>
    </row>
    <row r="274" spans="2:25" s="216" customFormat="1" x14ac:dyDescent="0.35">
      <c r="B274" s="54"/>
      <c r="F274" s="225"/>
      <c r="I274" s="226"/>
      <c r="J274" s="226"/>
      <c r="P274" s="143"/>
      <c r="Q274" s="189"/>
      <c r="U274" s="143"/>
      <c r="V274" s="143"/>
      <c r="W274" s="143"/>
      <c r="X274" s="143"/>
      <c r="Y274" s="143"/>
    </row>
    <row r="275" spans="2:25" s="216" customFormat="1" x14ac:dyDescent="0.35">
      <c r="B275" s="54"/>
      <c r="F275" s="225"/>
      <c r="I275" s="226"/>
      <c r="J275" s="226"/>
      <c r="P275" s="143"/>
      <c r="Q275" s="189"/>
      <c r="U275" s="143"/>
      <c r="V275" s="143"/>
      <c r="W275" s="143"/>
      <c r="X275" s="143"/>
      <c r="Y275" s="143"/>
    </row>
    <row r="276" spans="2:25" s="216" customFormat="1" x14ac:dyDescent="0.35">
      <c r="B276" s="54"/>
      <c r="F276" s="225"/>
      <c r="I276" s="226"/>
      <c r="J276" s="226"/>
      <c r="P276" s="143"/>
      <c r="Q276" s="189"/>
      <c r="U276" s="143"/>
      <c r="V276" s="143"/>
      <c r="W276" s="143"/>
      <c r="X276" s="143"/>
      <c r="Y276" s="143"/>
    </row>
    <row r="277" spans="2:25" s="216" customFormat="1" x14ac:dyDescent="0.35">
      <c r="B277" s="54"/>
      <c r="F277" s="225"/>
      <c r="I277" s="226"/>
      <c r="J277" s="226"/>
      <c r="P277" s="143"/>
      <c r="Q277" s="189"/>
      <c r="U277" s="143"/>
      <c r="V277" s="143"/>
      <c r="W277" s="143"/>
      <c r="X277" s="143"/>
      <c r="Y277" s="143"/>
    </row>
    <row r="278" spans="2:25" s="216" customFormat="1" x14ac:dyDescent="0.35">
      <c r="B278" s="54"/>
      <c r="F278" s="225"/>
      <c r="I278" s="226"/>
      <c r="J278" s="226"/>
      <c r="P278" s="143"/>
      <c r="Q278" s="189"/>
      <c r="U278" s="143"/>
      <c r="V278" s="143"/>
      <c r="W278" s="143"/>
      <c r="X278" s="143"/>
      <c r="Y278" s="143"/>
    </row>
    <row r="279" spans="2:25" s="216" customFormat="1" x14ac:dyDescent="0.35">
      <c r="B279" s="54"/>
      <c r="F279" s="225"/>
      <c r="I279" s="226"/>
      <c r="J279" s="226"/>
      <c r="P279" s="143"/>
      <c r="Q279" s="189"/>
      <c r="U279" s="143"/>
      <c r="V279" s="143"/>
      <c r="W279" s="143"/>
      <c r="X279" s="143"/>
      <c r="Y279" s="143"/>
    </row>
    <row r="280" spans="2:25" s="216" customFormat="1" x14ac:dyDescent="0.35">
      <c r="B280" s="54"/>
      <c r="F280" s="225"/>
      <c r="I280" s="226"/>
      <c r="J280" s="226"/>
      <c r="P280" s="143"/>
      <c r="Q280" s="189"/>
      <c r="U280" s="143"/>
      <c r="V280" s="143"/>
      <c r="W280" s="143"/>
      <c r="X280" s="143"/>
      <c r="Y280" s="143"/>
    </row>
    <row r="281" spans="2:25" s="216" customFormat="1" x14ac:dyDescent="0.35">
      <c r="B281" s="54"/>
      <c r="F281" s="225"/>
      <c r="I281" s="226"/>
      <c r="J281" s="226"/>
      <c r="P281" s="143"/>
      <c r="Q281" s="189"/>
      <c r="U281" s="143"/>
      <c r="V281" s="143"/>
      <c r="W281" s="143"/>
      <c r="X281" s="143"/>
      <c r="Y281" s="143"/>
    </row>
    <row r="282" spans="2:25" s="216" customFormat="1" x14ac:dyDescent="0.35">
      <c r="B282" s="54"/>
      <c r="F282" s="225"/>
      <c r="I282" s="226"/>
      <c r="J282" s="226"/>
      <c r="P282" s="143"/>
      <c r="Q282" s="189"/>
      <c r="U282" s="143"/>
      <c r="V282" s="143"/>
      <c r="W282" s="143"/>
      <c r="X282" s="143"/>
      <c r="Y282" s="143"/>
    </row>
    <row r="283" spans="2:25" s="216" customFormat="1" x14ac:dyDescent="0.35">
      <c r="B283" s="54"/>
      <c r="F283" s="225"/>
      <c r="I283" s="226"/>
      <c r="J283" s="226"/>
      <c r="P283" s="143"/>
      <c r="Q283" s="189"/>
      <c r="U283" s="143"/>
      <c r="V283" s="143"/>
      <c r="W283" s="143"/>
      <c r="X283" s="143"/>
      <c r="Y283" s="143"/>
    </row>
    <row r="284" spans="2:25" s="216" customFormat="1" x14ac:dyDescent="0.35">
      <c r="B284" s="54"/>
      <c r="F284" s="225"/>
      <c r="I284" s="226"/>
      <c r="J284" s="226"/>
      <c r="P284" s="143"/>
      <c r="Q284" s="189"/>
      <c r="U284" s="143"/>
      <c r="V284" s="143"/>
      <c r="W284" s="143"/>
      <c r="X284" s="143"/>
      <c r="Y284" s="143"/>
    </row>
    <row r="285" spans="2:25" s="216" customFormat="1" x14ac:dyDescent="0.35">
      <c r="B285" s="54"/>
      <c r="F285" s="225"/>
      <c r="I285" s="226"/>
      <c r="J285" s="226"/>
      <c r="P285" s="143"/>
      <c r="Q285" s="189"/>
      <c r="U285" s="143"/>
      <c r="V285" s="143"/>
      <c r="W285" s="143"/>
      <c r="X285" s="143"/>
      <c r="Y285" s="143"/>
    </row>
    <row r="286" spans="2:25" s="216" customFormat="1" x14ac:dyDescent="0.35">
      <c r="B286" s="54"/>
      <c r="F286" s="225"/>
      <c r="I286" s="226"/>
      <c r="J286" s="226"/>
      <c r="P286" s="143"/>
      <c r="Q286" s="189"/>
      <c r="U286" s="143"/>
      <c r="V286" s="143"/>
      <c r="W286" s="143"/>
      <c r="X286" s="143"/>
      <c r="Y286" s="143"/>
    </row>
    <row r="287" spans="2:25" s="216" customFormat="1" x14ac:dyDescent="0.35">
      <c r="B287" s="54"/>
      <c r="F287" s="225"/>
      <c r="I287" s="226"/>
      <c r="J287" s="226"/>
      <c r="P287" s="143"/>
      <c r="Q287" s="189"/>
      <c r="U287" s="143"/>
      <c r="V287" s="143"/>
      <c r="W287" s="143"/>
      <c r="X287" s="143"/>
      <c r="Y287" s="143"/>
    </row>
    <row r="288" spans="2:25" s="216" customFormat="1" x14ac:dyDescent="0.35">
      <c r="B288" s="54"/>
      <c r="F288" s="225"/>
      <c r="I288" s="226"/>
      <c r="J288" s="226"/>
      <c r="P288" s="143"/>
      <c r="Q288" s="189"/>
      <c r="U288" s="143"/>
      <c r="V288" s="143"/>
      <c r="W288" s="143"/>
      <c r="X288" s="143"/>
      <c r="Y288" s="143"/>
    </row>
    <row r="289" spans="2:25" s="216" customFormat="1" x14ac:dyDescent="0.35">
      <c r="B289" s="54"/>
      <c r="F289" s="225"/>
      <c r="I289" s="226"/>
      <c r="J289" s="226"/>
      <c r="P289" s="143"/>
      <c r="Q289" s="189"/>
      <c r="U289" s="143"/>
      <c r="V289" s="143"/>
      <c r="W289" s="143"/>
      <c r="X289" s="143"/>
      <c r="Y289" s="143"/>
    </row>
    <row r="290" spans="2:25" s="216" customFormat="1" x14ac:dyDescent="0.35">
      <c r="B290" s="54"/>
      <c r="F290" s="225"/>
      <c r="I290" s="226"/>
      <c r="J290" s="226"/>
      <c r="P290" s="143"/>
      <c r="Q290" s="189"/>
      <c r="U290" s="143"/>
      <c r="V290" s="143"/>
      <c r="W290" s="143"/>
      <c r="X290" s="143"/>
      <c r="Y290" s="143"/>
    </row>
    <row r="291" spans="2:25" s="216" customFormat="1" x14ac:dyDescent="0.35">
      <c r="B291" s="54"/>
      <c r="F291" s="225"/>
      <c r="I291" s="226"/>
      <c r="J291" s="226"/>
      <c r="P291" s="143"/>
      <c r="Q291" s="189"/>
      <c r="U291" s="143"/>
      <c r="V291" s="143"/>
      <c r="W291" s="143"/>
      <c r="X291" s="143"/>
      <c r="Y291" s="143"/>
    </row>
    <row r="292" spans="2:25" s="216" customFormat="1" x14ac:dyDescent="0.35">
      <c r="B292" s="54"/>
      <c r="F292" s="225"/>
      <c r="I292" s="226"/>
      <c r="J292" s="226"/>
      <c r="P292" s="143"/>
      <c r="Q292" s="189"/>
      <c r="U292" s="143"/>
      <c r="V292" s="143"/>
      <c r="W292" s="143"/>
      <c r="X292" s="143"/>
      <c r="Y292" s="143"/>
    </row>
    <row r="293" spans="2:25" s="216" customFormat="1" x14ac:dyDescent="0.35">
      <c r="B293" s="54"/>
      <c r="F293" s="225"/>
      <c r="I293" s="226"/>
      <c r="J293" s="226"/>
      <c r="P293" s="143"/>
      <c r="Q293" s="189"/>
      <c r="U293" s="143"/>
      <c r="V293" s="143"/>
      <c r="W293" s="143"/>
      <c r="X293" s="143"/>
      <c r="Y293" s="143"/>
    </row>
    <row r="294" spans="2:25" s="216" customFormat="1" x14ac:dyDescent="0.35">
      <c r="B294" s="54"/>
      <c r="F294" s="225"/>
      <c r="I294" s="226"/>
      <c r="J294" s="226"/>
      <c r="P294" s="143"/>
      <c r="Q294" s="189"/>
      <c r="U294" s="143"/>
      <c r="V294" s="143"/>
      <c r="W294" s="143"/>
      <c r="X294" s="143"/>
      <c r="Y294" s="143"/>
    </row>
    <row r="295" spans="2:25" s="216" customFormat="1" x14ac:dyDescent="0.35">
      <c r="B295" s="54"/>
      <c r="F295" s="225"/>
      <c r="I295" s="226"/>
      <c r="J295" s="226"/>
      <c r="P295" s="143"/>
      <c r="Q295" s="189"/>
      <c r="U295" s="143"/>
      <c r="V295" s="143"/>
      <c r="W295" s="143"/>
      <c r="X295" s="143"/>
      <c r="Y295" s="143"/>
    </row>
    <row r="296" spans="2:25" s="216" customFormat="1" x14ac:dyDescent="0.35">
      <c r="B296" s="54"/>
      <c r="F296" s="225"/>
      <c r="I296" s="226"/>
      <c r="J296" s="226"/>
      <c r="P296" s="143"/>
      <c r="Q296" s="189"/>
      <c r="U296" s="143"/>
      <c r="V296" s="143"/>
      <c r="W296" s="143"/>
      <c r="X296" s="143"/>
      <c r="Y296" s="143"/>
    </row>
    <row r="297" spans="2:25" s="216" customFormat="1" x14ac:dyDescent="0.35">
      <c r="B297" s="54"/>
      <c r="F297" s="225"/>
      <c r="I297" s="226"/>
      <c r="J297" s="226"/>
      <c r="P297" s="143"/>
      <c r="Q297" s="189"/>
      <c r="U297" s="143"/>
      <c r="V297" s="143"/>
      <c r="W297" s="143"/>
      <c r="X297" s="143"/>
      <c r="Y297" s="143"/>
    </row>
    <row r="298" spans="2:25" s="216" customFormat="1" x14ac:dyDescent="0.35">
      <c r="B298" s="54"/>
      <c r="F298" s="225"/>
      <c r="I298" s="226"/>
      <c r="J298" s="226"/>
      <c r="P298" s="143"/>
      <c r="Q298" s="189"/>
      <c r="U298" s="143"/>
      <c r="V298" s="143"/>
      <c r="W298" s="143"/>
      <c r="X298" s="143"/>
      <c r="Y298" s="143"/>
    </row>
    <row r="299" spans="2:25" s="216" customFormat="1" x14ac:dyDescent="0.35">
      <c r="B299" s="54"/>
      <c r="F299" s="225"/>
      <c r="I299" s="226"/>
      <c r="J299" s="226"/>
      <c r="P299" s="143"/>
      <c r="Q299" s="189"/>
      <c r="U299" s="143"/>
      <c r="V299" s="143"/>
      <c r="W299" s="143"/>
      <c r="X299" s="143"/>
      <c r="Y299" s="143"/>
    </row>
    <row r="300" spans="2:25" s="216" customFormat="1" x14ac:dyDescent="0.35">
      <c r="B300" s="54"/>
      <c r="F300" s="225"/>
      <c r="I300" s="226"/>
      <c r="J300" s="226"/>
      <c r="P300" s="143"/>
      <c r="Q300" s="189"/>
      <c r="U300" s="143"/>
      <c r="V300" s="143"/>
      <c r="W300" s="143"/>
      <c r="X300" s="143"/>
      <c r="Y300" s="143"/>
    </row>
    <row r="301" spans="2:25" s="216" customFormat="1" x14ac:dyDescent="0.35">
      <c r="B301" s="54"/>
      <c r="F301" s="225"/>
      <c r="I301" s="226"/>
      <c r="J301" s="226"/>
      <c r="P301" s="143"/>
      <c r="Q301" s="189"/>
      <c r="U301" s="143"/>
      <c r="V301" s="143"/>
      <c r="W301" s="143"/>
      <c r="X301" s="143"/>
      <c r="Y301" s="143"/>
    </row>
    <row r="302" spans="2:25" s="216" customFormat="1" x14ac:dyDescent="0.35">
      <c r="B302" s="54"/>
      <c r="F302" s="225"/>
      <c r="I302" s="226"/>
      <c r="J302" s="226"/>
      <c r="P302" s="143"/>
      <c r="Q302" s="189"/>
      <c r="U302" s="143"/>
      <c r="V302" s="143"/>
      <c r="W302" s="143"/>
      <c r="X302" s="143"/>
      <c r="Y302" s="143"/>
    </row>
    <row r="303" spans="2:25" s="216" customFormat="1" x14ac:dyDescent="0.35">
      <c r="B303" s="54"/>
      <c r="F303" s="225"/>
      <c r="I303" s="226"/>
      <c r="J303" s="226"/>
      <c r="P303" s="143"/>
      <c r="Q303" s="189"/>
      <c r="U303" s="143"/>
      <c r="V303" s="143"/>
      <c r="W303" s="143"/>
      <c r="X303" s="143"/>
      <c r="Y303" s="143"/>
    </row>
    <row r="304" spans="2:25" s="216" customFormat="1" x14ac:dyDescent="0.35">
      <c r="B304" s="54"/>
      <c r="F304" s="225"/>
      <c r="I304" s="226"/>
      <c r="J304" s="226"/>
      <c r="P304" s="143"/>
      <c r="Q304" s="189"/>
      <c r="U304" s="143"/>
      <c r="V304" s="143"/>
      <c r="W304" s="143"/>
      <c r="X304" s="143"/>
      <c r="Y304" s="143"/>
    </row>
    <row r="305" spans="2:25" s="216" customFormat="1" x14ac:dyDescent="0.35">
      <c r="B305" s="54"/>
      <c r="F305" s="225"/>
      <c r="I305" s="226"/>
      <c r="J305" s="226"/>
      <c r="P305" s="143"/>
      <c r="Q305" s="189"/>
      <c r="U305" s="143"/>
      <c r="V305" s="143"/>
      <c r="W305" s="143"/>
      <c r="X305" s="143"/>
      <c r="Y305" s="143"/>
    </row>
    <row r="306" spans="2:25" s="216" customFormat="1" x14ac:dyDescent="0.35">
      <c r="B306" s="54"/>
      <c r="F306" s="225"/>
      <c r="I306" s="226"/>
      <c r="J306" s="226"/>
      <c r="P306" s="143"/>
      <c r="Q306" s="189"/>
      <c r="U306" s="143"/>
      <c r="V306" s="143"/>
      <c r="W306" s="143"/>
      <c r="X306" s="143"/>
      <c r="Y306" s="143"/>
    </row>
    <row r="307" spans="2:25" s="216" customFormat="1" x14ac:dyDescent="0.35">
      <c r="B307" s="54"/>
      <c r="F307" s="225"/>
      <c r="I307" s="226"/>
      <c r="J307" s="226"/>
      <c r="P307" s="143"/>
      <c r="Q307" s="189"/>
      <c r="U307" s="143"/>
      <c r="V307" s="143"/>
      <c r="W307" s="143"/>
      <c r="X307" s="143"/>
      <c r="Y307" s="143"/>
    </row>
    <row r="308" spans="2:25" s="216" customFormat="1" x14ac:dyDescent="0.35">
      <c r="B308" s="54"/>
      <c r="F308" s="225"/>
      <c r="I308" s="226"/>
      <c r="J308" s="226"/>
      <c r="P308" s="143"/>
      <c r="Q308" s="189"/>
      <c r="U308" s="143"/>
      <c r="V308" s="143"/>
      <c r="W308" s="143"/>
      <c r="X308" s="143"/>
      <c r="Y308" s="143"/>
    </row>
    <row r="309" spans="2:25" s="216" customFormat="1" x14ac:dyDescent="0.35">
      <c r="B309" s="54"/>
      <c r="F309" s="225"/>
      <c r="I309" s="226"/>
      <c r="J309" s="226"/>
      <c r="P309" s="143"/>
      <c r="Q309" s="189"/>
      <c r="U309" s="143"/>
      <c r="V309" s="143"/>
      <c r="W309" s="143"/>
      <c r="X309" s="143"/>
      <c r="Y309" s="143"/>
    </row>
    <row r="310" spans="2:25" s="216" customFormat="1" x14ac:dyDescent="0.35">
      <c r="B310" s="54"/>
      <c r="F310" s="225"/>
      <c r="I310" s="226"/>
      <c r="J310" s="226"/>
      <c r="P310" s="143"/>
      <c r="Q310" s="189"/>
      <c r="U310" s="143"/>
      <c r="V310" s="143"/>
      <c r="W310" s="143"/>
      <c r="X310" s="143"/>
      <c r="Y310" s="143"/>
    </row>
    <row r="311" spans="2:25" s="216" customFormat="1" x14ac:dyDescent="0.35">
      <c r="B311" s="54"/>
      <c r="F311" s="225"/>
      <c r="I311" s="226"/>
      <c r="J311" s="226"/>
      <c r="P311" s="143"/>
      <c r="Q311" s="189"/>
      <c r="U311" s="143"/>
      <c r="V311" s="143"/>
      <c r="W311" s="143"/>
      <c r="X311" s="143"/>
      <c r="Y311" s="143"/>
    </row>
    <row r="312" spans="2:25" s="216" customFormat="1" x14ac:dyDescent="0.35">
      <c r="B312" s="54"/>
      <c r="F312" s="225"/>
      <c r="I312" s="226"/>
      <c r="J312" s="226"/>
      <c r="P312" s="143"/>
      <c r="Q312" s="189"/>
      <c r="U312" s="143"/>
      <c r="V312" s="143"/>
      <c r="W312" s="143"/>
      <c r="X312" s="143"/>
      <c r="Y312" s="143"/>
    </row>
    <row r="313" spans="2:25" s="216" customFormat="1" x14ac:dyDescent="0.35">
      <c r="B313" s="54"/>
      <c r="F313" s="225"/>
      <c r="I313" s="226"/>
      <c r="J313" s="226"/>
      <c r="P313" s="143"/>
      <c r="Q313" s="189"/>
      <c r="U313" s="143"/>
      <c r="V313" s="143"/>
      <c r="W313" s="143"/>
      <c r="X313" s="143"/>
      <c r="Y313" s="143"/>
    </row>
    <row r="314" spans="2:25" s="216" customFormat="1" x14ac:dyDescent="0.35">
      <c r="B314" s="54"/>
      <c r="F314" s="225"/>
      <c r="I314" s="226"/>
      <c r="J314" s="226"/>
      <c r="P314" s="143"/>
      <c r="Q314" s="189"/>
      <c r="U314" s="143"/>
      <c r="V314" s="143"/>
      <c r="W314" s="143"/>
      <c r="X314" s="143"/>
      <c r="Y314" s="143"/>
    </row>
    <row r="315" spans="2:25" s="216" customFormat="1" x14ac:dyDescent="0.35">
      <c r="B315" s="54"/>
      <c r="F315" s="225"/>
      <c r="I315" s="226"/>
      <c r="J315" s="226"/>
      <c r="P315" s="143"/>
      <c r="Q315" s="189"/>
      <c r="U315" s="143"/>
      <c r="V315" s="143"/>
      <c r="W315" s="143"/>
      <c r="X315" s="143"/>
      <c r="Y315" s="143"/>
    </row>
    <row r="316" spans="2:25" s="216" customFormat="1" x14ac:dyDescent="0.35">
      <c r="B316" s="54"/>
      <c r="F316" s="225"/>
      <c r="I316" s="226"/>
      <c r="J316" s="226"/>
      <c r="P316" s="143"/>
      <c r="Q316" s="189"/>
      <c r="U316" s="143"/>
      <c r="V316" s="143"/>
      <c r="W316" s="143"/>
      <c r="X316" s="143"/>
      <c r="Y316" s="143"/>
    </row>
    <row r="317" spans="2:25" s="216" customFormat="1" x14ac:dyDescent="0.35">
      <c r="B317" s="54"/>
      <c r="F317" s="225"/>
      <c r="I317" s="226"/>
      <c r="J317" s="226"/>
      <c r="P317" s="143"/>
      <c r="Q317" s="189"/>
      <c r="U317" s="143"/>
      <c r="V317" s="143"/>
      <c r="W317" s="143"/>
      <c r="X317" s="143"/>
      <c r="Y317" s="143"/>
    </row>
    <row r="318" spans="2:25" s="216" customFormat="1" x14ac:dyDescent="0.35">
      <c r="B318" s="54"/>
      <c r="F318" s="225"/>
      <c r="I318" s="226"/>
      <c r="J318" s="226"/>
      <c r="P318" s="143"/>
      <c r="Q318" s="189"/>
      <c r="U318" s="143"/>
      <c r="V318" s="143"/>
      <c r="W318" s="143"/>
      <c r="X318" s="143"/>
      <c r="Y318" s="143"/>
    </row>
    <row r="319" spans="2:25" s="216" customFormat="1" x14ac:dyDescent="0.35">
      <c r="B319" s="54"/>
      <c r="F319" s="225"/>
      <c r="I319" s="226"/>
      <c r="J319" s="226"/>
      <c r="P319" s="143"/>
      <c r="Q319" s="189"/>
      <c r="U319" s="143"/>
      <c r="V319" s="143"/>
      <c r="W319" s="143"/>
      <c r="X319" s="143"/>
      <c r="Y319" s="143"/>
    </row>
    <row r="320" spans="2:25" s="216" customFormat="1" x14ac:dyDescent="0.35">
      <c r="B320" s="54"/>
      <c r="F320" s="225"/>
      <c r="I320" s="226"/>
      <c r="J320" s="226"/>
      <c r="P320" s="143"/>
      <c r="Q320" s="189"/>
      <c r="U320" s="143"/>
      <c r="V320" s="143"/>
      <c r="W320" s="143"/>
      <c r="X320" s="143"/>
      <c r="Y320" s="143"/>
    </row>
    <row r="321" spans="2:25" s="216" customFormat="1" x14ac:dyDescent="0.35">
      <c r="B321" s="54"/>
      <c r="F321" s="225"/>
      <c r="I321" s="226"/>
      <c r="J321" s="226"/>
      <c r="P321" s="143"/>
      <c r="Q321" s="189"/>
      <c r="U321" s="143"/>
      <c r="V321" s="143"/>
      <c r="W321" s="143"/>
      <c r="X321" s="143"/>
      <c r="Y321" s="143"/>
    </row>
    <row r="322" spans="2:25" s="216" customFormat="1" x14ac:dyDescent="0.35">
      <c r="B322" s="54"/>
      <c r="F322" s="225"/>
      <c r="I322" s="226"/>
      <c r="J322" s="226"/>
      <c r="P322" s="143"/>
      <c r="Q322" s="189"/>
      <c r="U322" s="143"/>
      <c r="V322" s="143"/>
      <c r="W322" s="143"/>
      <c r="X322" s="143"/>
      <c r="Y322" s="143"/>
    </row>
    <row r="323" spans="2:25" s="216" customFormat="1" x14ac:dyDescent="0.35">
      <c r="B323" s="54"/>
      <c r="F323" s="225"/>
      <c r="I323" s="226"/>
      <c r="J323" s="226"/>
      <c r="P323" s="143"/>
      <c r="Q323" s="189"/>
      <c r="U323" s="143"/>
      <c r="V323" s="143"/>
      <c r="W323" s="143"/>
      <c r="X323" s="143"/>
      <c r="Y323" s="143"/>
    </row>
    <row r="324" spans="2:25" s="216" customFormat="1" x14ac:dyDescent="0.35">
      <c r="B324" s="54"/>
      <c r="F324" s="225"/>
      <c r="I324" s="226"/>
      <c r="J324" s="226"/>
      <c r="P324" s="143"/>
      <c r="Q324" s="189"/>
      <c r="U324" s="143"/>
      <c r="V324" s="143"/>
      <c r="W324" s="143"/>
      <c r="X324" s="143"/>
      <c r="Y324" s="143"/>
    </row>
    <row r="325" spans="2:25" s="216" customFormat="1" x14ac:dyDescent="0.35">
      <c r="B325" s="54"/>
      <c r="F325" s="225"/>
      <c r="I325" s="226"/>
      <c r="J325" s="226"/>
      <c r="P325" s="143"/>
      <c r="Q325" s="189"/>
      <c r="U325" s="143"/>
      <c r="V325" s="143"/>
      <c r="W325" s="143"/>
      <c r="X325" s="143"/>
      <c r="Y325" s="143"/>
    </row>
    <row r="326" spans="2:25" s="216" customFormat="1" x14ac:dyDescent="0.35">
      <c r="B326" s="54"/>
      <c r="F326" s="225"/>
      <c r="I326" s="226"/>
      <c r="J326" s="226"/>
      <c r="P326" s="143"/>
      <c r="Q326" s="189"/>
      <c r="U326" s="143"/>
      <c r="V326" s="143"/>
      <c r="W326" s="143"/>
      <c r="X326" s="143"/>
      <c r="Y326" s="143"/>
    </row>
    <row r="327" spans="2:25" s="216" customFormat="1" x14ac:dyDescent="0.35">
      <c r="B327" s="54"/>
      <c r="F327" s="225"/>
      <c r="I327" s="226"/>
      <c r="J327" s="226"/>
      <c r="P327" s="143"/>
      <c r="Q327" s="189"/>
      <c r="U327" s="143"/>
      <c r="V327" s="143"/>
      <c r="W327" s="143"/>
      <c r="X327" s="143"/>
      <c r="Y327" s="143"/>
    </row>
    <row r="328" spans="2:25" s="216" customFormat="1" x14ac:dyDescent="0.35">
      <c r="B328" s="54"/>
      <c r="F328" s="225"/>
      <c r="I328" s="226"/>
      <c r="J328" s="226"/>
      <c r="P328" s="143"/>
      <c r="Q328" s="189"/>
      <c r="U328" s="143"/>
      <c r="V328" s="143"/>
      <c r="W328" s="143"/>
      <c r="X328" s="143"/>
      <c r="Y328" s="143"/>
    </row>
    <row r="329" spans="2:25" s="216" customFormat="1" x14ac:dyDescent="0.35">
      <c r="B329" s="54"/>
      <c r="F329" s="225"/>
      <c r="I329" s="226"/>
      <c r="J329" s="226"/>
      <c r="P329" s="143"/>
      <c r="Q329" s="189"/>
      <c r="U329" s="143"/>
      <c r="V329" s="143"/>
      <c r="W329" s="143"/>
      <c r="X329" s="143"/>
      <c r="Y329" s="143"/>
    </row>
    <row r="330" spans="2:25" s="216" customFormat="1" x14ac:dyDescent="0.35">
      <c r="B330" s="54"/>
      <c r="F330" s="225"/>
      <c r="I330" s="226"/>
      <c r="J330" s="226"/>
      <c r="P330" s="143"/>
      <c r="Q330" s="189"/>
      <c r="U330" s="143"/>
      <c r="V330" s="143"/>
      <c r="W330" s="143"/>
      <c r="X330" s="143"/>
      <c r="Y330" s="143"/>
    </row>
    <row r="331" spans="2:25" s="216" customFormat="1" x14ac:dyDescent="0.35">
      <c r="B331" s="54"/>
      <c r="F331" s="225"/>
      <c r="I331" s="226"/>
      <c r="J331" s="226"/>
      <c r="P331" s="143"/>
      <c r="Q331" s="189"/>
      <c r="U331" s="143"/>
      <c r="V331" s="143"/>
      <c r="W331" s="143"/>
      <c r="X331" s="143"/>
      <c r="Y331" s="143"/>
    </row>
    <row r="332" spans="2:25" s="216" customFormat="1" x14ac:dyDescent="0.35">
      <c r="B332" s="54"/>
      <c r="F332" s="225"/>
      <c r="I332" s="226"/>
      <c r="J332" s="226"/>
      <c r="P332" s="143"/>
      <c r="Q332" s="189"/>
      <c r="U332" s="143"/>
      <c r="V332" s="143"/>
      <c r="W332" s="143"/>
      <c r="X332" s="143"/>
      <c r="Y332" s="143"/>
    </row>
    <row r="333" spans="2:25" s="216" customFormat="1" x14ac:dyDescent="0.35">
      <c r="B333" s="54"/>
      <c r="F333" s="225"/>
      <c r="I333" s="226"/>
      <c r="J333" s="226"/>
      <c r="P333" s="143"/>
      <c r="Q333" s="189"/>
      <c r="U333" s="143"/>
      <c r="V333" s="143"/>
      <c r="W333" s="143"/>
      <c r="X333" s="143"/>
      <c r="Y333" s="143"/>
    </row>
    <row r="334" spans="2:25" s="216" customFormat="1" x14ac:dyDescent="0.35">
      <c r="B334" s="54"/>
      <c r="F334" s="225"/>
      <c r="I334" s="226"/>
      <c r="J334" s="226"/>
      <c r="P334" s="143"/>
      <c r="Q334" s="189"/>
      <c r="U334" s="143"/>
      <c r="V334" s="143"/>
      <c r="W334" s="143"/>
      <c r="X334" s="143"/>
      <c r="Y334" s="143"/>
    </row>
    <row r="335" spans="2:25" s="216" customFormat="1" x14ac:dyDescent="0.35">
      <c r="B335" s="54"/>
      <c r="F335" s="225"/>
      <c r="I335" s="226"/>
      <c r="J335" s="226"/>
      <c r="P335" s="143"/>
      <c r="Q335" s="189"/>
      <c r="U335" s="143"/>
      <c r="V335" s="143"/>
      <c r="W335" s="143"/>
      <c r="X335" s="143"/>
      <c r="Y335" s="143"/>
    </row>
    <row r="336" spans="2:25" s="216" customFormat="1" x14ac:dyDescent="0.35">
      <c r="B336" s="54"/>
      <c r="F336" s="225"/>
      <c r="I336" s="226"/>
      <c r="J336" s="226"/>
      <c r="P336" s="143"/>
      <c r="Q336" s="189"/>
      <c r="U336" s="143"/>
      <c r="V336" s="143"/>
      <c r="W336" s="143"/>
      <c r="X336" s="143"/>
      <c r="Y336" s="143"/>
    </row>
    <row r="337" spans="2:25" s="216" customFormat="1" x14ac:dyDescent="0.35">
      <c r="B337" s="54"/>
      <c r="F337" s="225"/>
      <c r="I337" s="226"/>
      <c r="J337" s="226"/>
      <c r="P337" s="143"/>
      <c r="Q337" s="189"/>
      <c r="U337" s="143"/>
      <c r="V337" s="143"/>
      <c r="W337" s="143"/>
      <c r="X337" s="143"/>
      <c r="Y337" s="143"/>
    </row>
    <row r="338" spans="2:25" s="216" customFormat="1" x14ac:dyDescent="0.35">
      <c r="B338" s="54"/>
      <c r="F338" s="225"/>
      <c r="I338" s="226"/>
      <c r="J338" s="226"/>
      <c r="P338" s="143"/>
      <c r="Q338" s="189"/>
      <c r="U338" s="143"/>
      <c r="V338" s="143"/>
      <c r="W338" s="143"/>
      <c r="X338" s="143"/>
      <c r="Y338" s="143"/>
    </row>
    <row r="339" spans="2:25" s="216" customFormat="1" x14ac:dyDescent="0.35">
      <c r="B339" s="54"/>
      <c r="F339" s="225"/>
      <c r="I339" s="226"/>
      <c r="J339" s="226"/>
      <c r="P339" s="143"/>
      <c r="Q339" s="189"/>
      <c r="U339" s="143"/>
      <c r="V339" s="143"/>
      <c r="W339" s="143"/>
      <c r="X339" s="143"/>
      <c r="Y339" s="143"/>
    </row>
    <row r="340" spans="2:25" s="216" customFormat="1" x14ac:dyDescent="0.35">
      <c r="B340" s="54"/>
      <c r="F340" s="225"/>
      <c r="I340" s="226"/>
      <c r="J340" s="226"/>
      <c r="P340" s="143"/>
      <c r="Q340" s="189"/>
      <c r="U340" s="143"/>
      <c r="V340" s="143"/>
      <c r="W340" s="143"/>
      <c r="X340" s="143"/>
      <c r="Y340" s="143"/>
    </row>
    <row r="341" spans="2:25" s="216" customFormat="1" x14ac:dyDescent="0.35">
      <c r="B341" s="54"/>
      <c r="F341" s="225"/>
      <c r="I341" s="226"/>
      <c r="J341" s="226"/>
      <c r="P341" s="143"/>
      <c r="Q341" s="189"/>
      <c r="U341" s="143"/>
      <c r="V341" s="143"/>
      <c r="W341" s="143"/>
      <c r="X341" s="143"/>
      <c r="Y341" s="143"/>
    </row>
    <row r="342" spans="2:25" s="216" customFormat="1" x14ac:dyDescent="0.35">
      <c r="B342" s="54"/>
      <c r="F342" s="225"/>
      <c r="I342" s="226"/>
      <c r="J342" s="226"/>
      <c r="P342" s="143"/>
      <c r="Q342" s="189"/>
      <c r="U342" s="143"/>
      <c r="V342" s="143"/>
      <c r="W342" s="143"/>
      <c r="X342" s="143"/>
      <c r="Y342" s="143"/>
    </row>
    <row r="343" spans="2:25" s="216" customFormat="1" x14ac:dyDescent="0.35">
      <c r="B343" s="54"/>
      <c r="F343" s="225"/>
      <c r="I343" s="226"/>
      <c r="J343" s="226"/>
      <c r="P343" s="143"/>
      <c r="Q343" s="189"/>
      <c r="U343" s="143"/>
      <c r="V343" s="143"/>
      <c r="W343" s="143"/>
      <c r="X343" s="143"/>
      <c r="Y343" s="143"/>
    </row>
    <row r="344" spans="2:25" s="216" customFormat="1" x14ac:dyDescent="0.35">
      <c r="B344" s="54"/>
      <c r="F344" s="225"/>
      <c r="I344" s="226"/>
      <c r="J344" s="226"/>
      <c r="P344" s="143"/>
      <c r="Q344" s="189"/>
      <c r="U344" s="143"/>
      <c r="V344" s="143"/>
      <c r="W344" s="143"/>
      <c r="X344" s="143"/>
      <c r="Y344" s="143"/>
    </row>
  </sheetData>
  <sortState ref="A7:AB63">
    <sortCondition ref="B7:B63"/>
  </sortState>
  <mergeCells count="1">
    <mergeCell ref="R5:T5"/>
  </mergeCells>
  <conditionalFormatting sqref="B7:B71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71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71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82"/>
  <sheetViews>
    <sheetView zoomScaleNormal="100" workbookViewId="0">
      <pane xSplit="1" ySplit="6" topLeftCell="B61" activePane="bottomRight" state="frozen"/>
      <selection activeCell="A22" sqref="A22"/>
      <selection pane="topRight" activeCell="A22" sqref="A22"/>
      <selection pane="bottomLeft" activeCell="A22" sqref="A22"/>
      <selection pane="bottomRight" activeCell="G69" sqref="G69:H70"/>
    </sheetView>
  </sheetViews>
  <sheetFormatPr defaultColWidth="8.88671875" defaultRowHeight="18" x14ac:dyDescent="0.35"/>
  <cols>
    <col min="1" max="1" width="39.109375" style="2" customWidth="1"/>
    <col min="2" max="2" width="16.33203125" style="3" customWidth="1"/>
    <col min="3" max="3" width="16.33203125" style="3" bestFit="1" customWidth="1"/>
    <col min="4" max="4" width="15.33203125" style="3" customWidth="1"/>
    <col min="5" max="5" width="17" style="3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263" t="s">
        <v>150</v>
      </c>
      <c r="B1" s="1263"/>
      <c r="C1" s="1263"/>
      <c r="D1" s="1263"/>
      <c r="E1" s="1263"/>
      <c r="F1" s="30"/>
      <c r="G1" s="397"/>
      <c r="H1" s="31"/>
      <c r="I1" s="31"/>
      <c r="J1" s="31"/>
      <c r="K1" s="31"/>
      <c r="L1" s="31"/>
      <c r="M1" s="31"/>
      <c r="N1" s="31"/>
      <c r="O1" s="31"/>
    </row>
    <row r="2" spans="1:15" ht="21" x14ac:dyDescent="0.4">
      <c r="A2" s="108"/>
      <c r="B2" s="34"/>
      <c r="C2" s="30"/>
      <c r="D2" s="34"/>
      <c r="E2" s="214" t="s">
        <v>84</v>
      </c>
      <c r="F2" s="34"/>
      <c r="G2" s="397"/>
      <c r="H2" s="516"/>
      <c r="I2" s="516"/>
      <c r="J2" s="31"/>
      <c r="K2" s="31"/>
      <c r="L2" s="31"/>
      <c r="M2" s="31"/>
      <c r="N2" s="31"/>
      <c r="O2" s="31"/>
    </row>
    <row r="3" spans="1:15" ht="21" x14ac:dyDescent="0.4">
      <c r="A3" s="108"/>
      <c r="B3" s="484"/>
      <c r="C3" s="214" t="s">
        <v>338</v>
      </c>
      <c r="D3" s="214" t="s">
        <v>51</v>
      </c>
      <c r="E3" s="214" t="s">
        <v>146</v>
      </c>
      <c r="F3" s="214" t="s">
        <v>85</v>
      </c>
      <c r="G3" s="1217"/>
      <c r="H3" s="630"/>
      <c r="I3" s="630"/>
      <c r="J3" s="31"/>
      <c r="K3" s="31"/>
      <c r="L3" s="31"/>
      <c r="M3" s="31"/>
      <c r="N3" s="31"/>
      <c r="O3" s="31"/>
    </row>
    <row r="4" spans="1:15" x14ac:dyDescent="0.35">
      <c r="A4" s="92"/>
      <c r="B4" s="484" t="s">
        <v>337</v>
      </c>
      <c r="C4" s="214" t="s">
        <v>339</v>
      </c>
      <c r="D4" s="214" t="s">
        <v>144</v>
      </c>
      <c r="E4" s="214" t="s">
        <v>147</v>
      </c>
      <c r="F4" s="214" t="s">
        <v>142</v>
      </c>
      <c r="G4" s="1217"/>
      <c r="H4" s="630"/>
      <c r="I4" s="630"/>
      <c r="J4" s="31"/>
      <c r="K4" s="31"/>
      <c r="L4" s="31"/>
      <c r="M4" s="31"/>
      <c r="N4" s="31"/>
      <c r="O4" s="31"/>
    </row>
    <row r="5" spans="1:15" x14ac:dyDescent="0.35">
      <c r="A5" s="92"/>
      <c r="B5" s="864" t="s">
        <v>336</v>
      </c>
      <c r="C5" s="214" t="s">
        <v>130</v>
      </c>
      <c r="D5" s="214" t="s">
        <v>145</v>
      </c>
      <c r="E5" s="214" t="s">
        <v>148</v>
      </c>
      <c r="F5" s="214" t="s">
        <v>143</v>
      </c>
      <c r="G5" s="33" t="s">
        <v>54</v>
      </c>
      <c r="H5" s="630"/>
      <c r="I5" s="630"/>
      <c r="J5" s="31"/>
      <c r="K5" s="31"/>
      <c r="L5" s="31"/>
      <c r="M5" s="31"/>
      <c r="N5" s="31"/>
      <c r="O5" s="31"/>
    </row>
    <row r="6" spans="1:15" ht="18.600000000000001" thickBot="1" x14ac:dyDescent="0.4">
      <c r="A6" s="517" t="s">
        <v>4</v>
      </c>
      <c r="B6" s="36" t="s">
        <v>57</v>
      </c>
      <c r="C6" s="37" t="s">
        <v>85</v>
      </c>
      <c r="D6" s="37" t="s">
        <v>146</v>
      </c>
      <c r="E6" s="37" t="s">
        <v>149</v>
      </c>
      <c r="F6" s="37" t="s">
        <v>86</v>
      </c>
      <c r="G6" s="73" t="s">
        <v>2</v>
      </c>
      <c r="H6" s="1123" t="s">
        <v>3</v>
      </c>
      <c r="I6" s="37" t="s">
        <v>279</v>
      </c>
      <c r="J6" s="31"/>
      <c r="K6" s="31"/>
      <c r="L6" s="31"/>
      <c r="M6" s="31"/>
      <c r="N6" s="31"/>
      <c r="O6" s="31"/>
    </row>
    <row r="7" spans="1:15" x14ac:dyDescent="0.35">
      <c r="A7" s="158" t="s">
        <v>10</v>
      </c>
      <c r="B7" s="135">
        <v>2007</v>
      </c>
      <c r="C7" s="136"/>
      <c r="D7" s="136"/>
      <c r="E7" s="136"/>
      <c r="F7" s="372"/>
      <c r="G7" s="867">
        <f t="shared" ref="G7:G58" si="0">SUM(C7:F7)</f>
        <v>0</v>
      </c>
      <c r="H7" s="241">
        <f t="shared" ref="H7:H71" si="1">RANK(G7,G$7:G$71,0)</f>
        <v>27</v>
      </c>
      <c r="I7" s="136"/>
      <c r="J7" s="31"/>
      <c r="K7" s="31"/>
      <c r="L7" s="31"/>
      <c r="M7" s="31"/>
      <c r="N7" s="31"/>
      <c r="O7" s="31"/>
    </row>
    <row r="8" spans="1:15" x14ac:dyDescent="0.35">
      <c r="A8" s="208" t="s">
        <v>174</v>
      </c>
      <c r="B8" s="135">
        <v>2013</v>
      </c>
      <c r="C8" s="138"/>
      <c r="D8" s="138"/>
      <c r="E8" s="138"/>
      <c r="F8" s="376"/>
      <c r="G8" s="867">
        <f t="shared" si="0"/>
        <v>0</v>
      </c>
      <c r="H8" s="241">
        <f t="shared" si="1"/>
        <v>27</v>
      </c>
      <c r="I8" s="138"/>
      <c r="J8" s="31"/>
      <c r="K8" s="31"/>
      <c r="L8" s="31"/>
      <c r="M8" s="31"/>
      <c r="N8" s="31"/>
      <c r="O8" s="31"/>
    </row>
    <row r="9" spans="1:15" x14ac:dyDescent="0.35">
      <c r="A9" s="208" t="s">
        <v>115</v>
      </c>
      <c r="B9" s="1186"/>
      <c r="C9" s="390">
        <v>3</v>
      </c>
      <c r="D9" s="138"/>
      <c r="E9" s="138">
        <v>2</v>
      </c>
      <c r="F9" s="376"/>
      <c r="G9" s="867">
        <f t="shared" si="0"/>
        <v>5</v>
      </c>
      <c r="H9" s="241">
        <f>RANK(G9,G$7:G$71,0)</f>
        <v>2</v>
      </c>
      <c r="I9" s="138" t="s">
        <v>350</v>
      </c>
      <c r="J9" s="31"/>
      <c r="K9" s="31"/>
      <c r="L9" s="31"/>
      <c r="M9" s="31"/>
      <c r="N9" s="31"/>
      <c r="O9" s="31"/>
    </row>
    <row r="10" spans="1:15" x14ac:dyDescent="0.35">
      <c r="A10" s="208" t="s">
        <v>116</v>
      </c>
      <c r="B10" s="137">
        <v>2019</v>
      </c>
      <c r="C10" s="390"/>
      <c r="D10" s="138"/>
      <c r="E10" s="138"/>
      <c r="F10" s="376"/>
      <c r="G10" s="867">
        <f t="shared" si="0"/>
        <v>0</v>
      </c>
      <c r="H10" s="241">
        <f t="shared" si="1"/>
        <v>27</v>
      </c>
      <c r="I10" s="138"/>
      <c r="J10" s="31"/>
      <c r="K10" s="31"/>
      <c r="L10" s="31"/>
      <c r="M10" s="31"/>
      <c r="N10" s="31"/>
      <c r="O10" s="31"/>
    </row>
    <row r="11" spans="1:15" x14ac:dyDescent="0.35">
      <c r="A11" s="90" t="s">
        <v>5</v>
      </c>
      <c r="B11" s="135">
        <v>2015</v>
      </c>
      <c r="C11" s="138"/>
      <c r="D11" s="138"/>
      <c r="E11" s="138"/>
      <c r="F11" s="376"/>
      <c r="G11" s="867">
        <f t="shared" si="0"/>
        <v>0</v>
      </c>
      <c r="H11" s="241">
        <f t="shared" si="1"/>
        <v>27</v>
      </c>
      <c r="I11" s="138"/>
      <c r="J11" s="31"/>
      <c r="K11" s="31"/>
      <c r="L11" s="31"/>
      <c r="M11" s="31"/>
      <c r="N11" s="31"/>
      <c r="O11" s="31"/>
    </row>
    <row r="12" spans="1:15" x14ac:dyDescent="0.35">
      <c r="A12" s="208" t="s">
        <v>175</v>
      </c>
      <c r="B12" s="137">
        <v>2017</v>
      </c>
      <c r="C12" s="138"/>
      <c r="D12" s="138"/>
      <c r="E12" s="138"/>
      <c r="F12" s="376"/>
      <c r="G12" s="867">
        <f t="shared" si="0"/>
        <v>0</v>
      </c>
      <c r="H12" s="241">
        <f t="shared" si="1"/>
        <v>27</v>
      </c>
      <c r="I12" s="138"/>
      <c r="J12" s="31"/>
      <c r="K12" s="31"/>
      <c r="L12" s="31"/>
      <c r="M12" s="31"/>
      <c r="N12" s="31"/>
      <c r="O12" s="31"/>
    </row>
    <row r="13" spans="1:15" x14ac:dyDescent="0.35">
      <c r="A13" s="208" t="s">
        <v>292</v>
      </c>
      <c r="B13" s="137">
        <v>2017</v>
      </c>
      <c r="C13" s="138"/>
      <c r="D13" s="138"/>
      <c r="E13" s="138"/>
      <c r="F13" s="376"/>
      <c r="G13" s="867">
        <f t="shared" si="0"/>
        <v>0</v>
      </c>
      <c r="H13" s="241">
        <f t="shared" si="1"/>
        <v>27</v>
      </c>
      <c r="I13" s="138"/>
      <c r="J13" s="31"/>
      <c r="K13" s="31"/>
      <c r="L13" s="31"/>
      <c r="M13" s="31"/>
      <c r="N13" s="31"/>
      <c r="O13" s="31"/>
    </row>
    <row r="14" spans="1:15" x14ac:dyDescent="0.35">
      <c r="A14" s="90" t="s">
        <v>104</v>
      </c>
      <c r="B14" s="135">
        <v>2017</v>
      </c>
      <c r="C14" s="138"/>
      <c r="D14" s="138"/>
      <c r="E14" s="138"/>
      <c r="F14" s="376"/>
      <c r="G14" s="867">
        <f t="shared" si="0"/>
        <v>0</v>
      </c>
      <c r="H14" s="241">
        <f t="shared" si="1"/>
        <v>27</v>
      </c>
      <c r="I14" s="138"/>
      <c r="J14" s="31"/>
      <c r="K14" s="31"/>
      <c r="L14" s="31"/>
      <c r="M14" s="31"/>
      <c r="N14" s="31"/>
      <c r="O14" s="31"/>
    </row>
    <row r="15" spans="1:15" x14ac:dyDescent="0.35">
      <c r="A15" s="208" t="s">
        <v>117</v>
      </c>
      <c r="B15" s="135">
        <v>2013</v>
      </c>
      <c r="C15" s="390">
        <v>3</v>
      </c>
      <c r="D15" s="138">
        <v>1</v>
      </c>
      <c r="E15" s="138">
        <v>1</v>
      </c>
      <c r="F15" s="376"/>
      <c r="G15" s="867">
        <f t="shared" si="0"/>
        <v>5</v>
      </c>
      <c r="H15" s="241">
        <f t="shared" si="1"/>
        <v>2</v>
      </c>
      <c r="I15" s="138" t="s">
        <v>346</v>
      </c>
      <c r="J15" s="31"/>
      <c r="K15" s="31"/>
      <c r="L15" s="31"/>
      <c r="M15" s="31"/>
      <c r="N15" s="31"/>
      <c r="O15" s="31"/>
    </row>
    <row r="16" spans="1:15" x14ac:dyDescent="0.35">
      <c r="A16" s="208" t="s">
        <v>9</v>
      </c>
      <c r="B16" s="135">
        <v>2019</v>
      </c>
      <c r="C16" s="138"/>
      <c r="D16" s="138"/>
      <c r="E16" s="138"/>
      <c r="F16" s="376"/>
      <c r="G16" s="867">
        <f t="shared" si="0"/>
        <v>0</v>
      </c>
      <c r="H16" s="241">
        <f t="shared" si="1"/>
        <v>27</v>
      </c>
      <c r="I16" s="138"/>
      <c r="J16" s="31"/>
      <c r="K16" s="31"/>
      <c r="L16" s="31"/>
      <c r="M16" s="31"/>
      <c r="N16" s="31"/>
      <c r="O16" s="31"/>
    </row>
    <row r="17" spans="1:15" x14ac:dyDescent="0.35">
      <c r="A17" s="90" t="s">
        <v>99</v>
      </c>
      <c r="B17" s="137">
        <v>2017</v>
      </c>
      <c r="C17" s="138"/>
      <c r="D17" s="138"/>
      <c r="E17" s="138"/>
      <c r="F17" s="376"/>
      <c r="G17" s="867">
        <f t="shared" si="0"/>
        <v>0</v>
      </c>
      <c r="H17" s="241">
        <f t="shared" si="1"/>
        <v>27</v>
      </c>
      <c r="I17" s="138"/>
      <c r="J17" s="31"/>
      <c r="K17" s="31"/>
      <c r="L17" s="31"/>
      <c r="M17" s="31"/>
      <c r="N17" s="31"/>
      <c r="O17" s="31"/>
    </row>
    <row r="18" spans="1:15" x14ac:dyDescent="0.35">
      <c r="A18" s="90" t="s">
        <v>14</v>
      </c>
      <c r="B18" s="139">
        <v>2015</v>
      </c>
      <c r="C18" s="138"/>
      <c r="D18" s="138"/>
      <c r="E18" s="138"/>
      <c r="F18" s="376"/>
      <c r="G18" s="867">
        <f t="shared" si="0"/>
        <v>0</v>
      </c>
      <c r="H18" s="241">
        <f t="shared" si="1"/>
        <v>27</v>
      </c>
      <c r="I18" s="138"/>
      <c r="J18" s="31"/>
      <c r="K18" s="31"/>
      <c r="L18" s="31"/>
      <c r="M18" s="31"/>
      <c r="N18" s="31"/>
      <c r="O18" s="31"/>
    </row>
    <row r="19" spans="1:15" x14ac:dyDescent="0.35">
      <c r="A19" s="90" t="s">
        <v>109</v>
      </c>
      <c r="B19" s="1216">
        <v>2015</v>
      </c>
      <c r="C19" s="138"/>
      <c r="D19" s="138"/>
      <c r="E19" s="138"/>
      <c r="F19" s="376"/>
      <c r="G19" s="867">
        <f t="shared" si="0"/>
        <v>0</v>
      </c>
      <c r="H19" s="241">
        <f t="shared" si="1"/>
        <v>27</v>
      </c>
      <c r="I19" s="138"/>
      <c r="J19" s="31"/>
      <c r="K19" s="31"/>
      <c r="L19" s="31"/>
      <c r="M19" s="31"/>
      <c r="N19" s="31"/>
      <c r="O19" s="31"/>
    </row>
    <row r="20" spans="1:15" x14ac:dyDescent="0.35">
      <c r="A20" s="208" t="s">
        <v>112</v>
      </c>
      <c r="B20" s="1215">
        <v>2015</v>
      </c>
      <c r="C20" s="138"/>
      <c r="D20" s="138"/>
      <c r="E20" s="138"/>
      <c r="F20" s="376"/>
      <c r="G20" s="867">
        <f t="shared" si="0"/>
        <v>0</v>
      </c>
      <c r="H20" s="241">
        <f t="shared" si="1"/>
        <v>27</v>
      </c>
      <c r="I20" s="138"/>
      <c r="J20" s="31"/>
      <c r="K20" s="31"/>
      <c r="L20" s="31"/>
      <c r="M20" s="31"/>
      <c r="N20" s="31"/>
      <c r="O20" s="31"/>
    </row>
    <row r="21" spans="1:15" x14ac:dyDescent="0.35">
      <c r="A21" s="208" t="s">
        <v>118</v>
      </c>
      <c r="B21" s="137">
        <v>2021</v>
      </c>
      <c r="C21" s="390"/>
      <c r="D21" s="138"/>
      <c r="E21" s="138"/>
      <c r="F21" s="376"/>
      <c r="G21" s="867">
        <f t="shared" si="0"/>
        <v>0</v>
      </c>
      <c r="H21" s="241">
        <f t="shared" si="1"/>
        <v>27</v>
      </c>
      <c r="I21" s="138"/>
      <c r="J21" s="31"/>
      <c r="K21" s="31"/>
      <c r="L21" s="31"/>
      <c r="M21" s="31"/>
      <c r="N21" s="31"/>
      <c r="O21" s="31"/>
    </row>
    <row r="22" spans="1:15" x14ac:dyDescent="0.35">
      <c r="A22" s="90" t="s">
        <v>102</v>
      </c>
      <c r="B22" s="137">
        <v>2019</v>
      </c>
      <c r="C22" s="138"/>
      <c r="D22" s="138"/>
      <c r="E22" s="138"/>
      <c r="F22" s="376"/>
      <c r="G22" s="867">
        <f t="shared" si="0"/>
        <v>0</v>
      </c>
      <c r="H22" s="241">
        <f t="shared" si="1"/>
        <v>27</v>
      </c>
      <c r="I22" s="138"/>
      <c r="J22" s="31"/>
      <c r="K22" s="31"/>
      <c r="L22" s="31"/>
      <c r="M22" s="31"/>
      <c r="N22" s="31"/>
      <c r="O22" s="31"/>
    </row>
    <row r="23" spans="1:15" x14ac:dyDescent="0.35">
      <c r="A23" s="90" t="s">
        <v>22</v>
      </c>
      <c r="B23" s="1186"/>
      <c r="C23" s="138"/>
      <c r="D23" s="138"/>
      <c r="E23" s="138"/>
      <c r="F23" s="376"/>
      <c r="G23" s="867">
        <f t="shared" ref="G23" si="2">SUM(C23:F23)</f>
        <v>0</v>
      </c>
      <c r="H23" s="241">
        <f t="shared" ref="H23" si="3">RANK(G23,G$7:G$71,0)</f>
        <v>27</v>
      </c>
      <c r="I23" s="138"/>
      <c r="J23" s="31"/>
      <c r="K23" s="31"/>
      <c r="L23" s="31"/>
      <c r="M23" s="31"/>
      <c r="N23" s="31"/>
      <c r="O23" s="31"/>
    </row>
    <row r="24" spans="1:15" x14ac:dyDescent="0.35">
      <c r="A24" s="90" t="s">
        <v>13</v>
      </c>
      <c r="B24" s="137">
        <v>2017</v>
      </c>
      <c r="C24" s="138"/>
      <c r="D24" s="138"/>
      <c r="E24" s="138"/>
      <c r="F24" s="376"/>
      <c r="G24" s="867">
        <f t="shared" si="0"/>
        <v>0</v>
      </c>
      <c r="H24" s="241">
        <f t="shared" si="1"/>
        <v>27</v>
      </c>
      <c r="I24" s="138"/>
      <c r="J24" s="31"/>
      <c r="K24" s="31"/>
      <c r="L24" s="31"/>
      <c r="M24" s="31"/>
      <c r="N24" s="31"/>
      <c r="O24" s="31"/>
    </row>
    <row r="25" spans="1:15" x14ac:dyDescent="0.35">
      <c r="A25" s="90" t="s">
        <v>6</v>
      </c>
      <c r="B25" s="135">
        <v>2021</v>
      </c>
      <c r="C25" s="138"/>
      <c r="D25" s="138"/>
      <c r="E25" s="138"/>
      <c r="F25" s="376"/>
      <c r="G25" s="866">
        <f t="shared" si="0"/>
        <v>0</v>
      </c>
      <c r="H25" s="241">
        <f t="shared" si="1"/>
        <v>27</v>
      </c>
      <c r="I25" s="138"/>
      <c r="J25" s="31"/>
      <c r="K25" s="31"/>
      <c r="L25" s="31"/>
      <c r="M25" s="31"/>
      <c r="N25" s="31"/>
      <c r="O25" s="31"/>
    </row>
    <row r="26" spans="1:15" x14ac:dyDescent="0.35">
      <c r="A26" s="90" t="s">
        <v>16</v>
      </c>
      <c r="B26" s="137">
        <v>2013</v>
      </c>
      <c r="C26" s="138"/>
      <c r="D26" s="138">
        <v>2</v>
      </c>
      <c r="E26" s="138">
        <v>3</v>
      </c>
      <c r="F26" s="376"/>
      <c r="G26" s="866">
        <f t="shared" si="0"/>
        <v>5</v>
      </c>
      <c r="H26" s="241">
        <f t="shared" si="1"/>
        <v>2</v>
      </c>
      <c r="I26" s="138" t="s">
        <v>340</v>
      </c>
      <c r="J26" s="31"/>
      <c r="K26" s="31"/>
      <c r="L26" s="31"/>
      <c r="M26" s="31"/>
      <c r="N26" s="31"/>
      <c r="O26" s="31"/>
    </row>
    <row r="27" spans="1:15" x14ac:dyDescent="0.35">
      <c r="A27" s="208" t="s">
        <v>119</v>
      </c>
      <c r="B27" s="1186"/>
      <c r="C27" s="390">
        <v>3</v>
      </c>
      <c r="D27" s="138"/>
      <c r="E27" s="138">
        <v>1</v>
      </c>
      <c r="F27" s="376"/>
      <c r="G27" s="865">
        <f t="shared" si="0"/>
        <v>4</v>
      </c>
      <c r="H27" s="241">
        <f t="shared" si="1"/>
        <v>7</v>
      </c>
      <c r="I27" s="138"/>
      <c r="J27" s="31"/>
      <c r="K27" s="31"/>
      <c r="L27" s="31"/>
      <c r="M27" s="31"/>
      <c r="N27" s="31"/>
      <c r="O27" s="31"/>
    </row>
    <row r="28" spans="1:15" x14ac:dyDescent="0.35">
      <c r="A28" s="208" t="s">
        <v>23</v>
      </c>
      <c r="B28" s="1186"/>
      <c r="C28" s="138"/>
      <c r="D28" s="138">
        <v>1</v>
      </c>
      <c r="E28" s="138">
        <v>1</v>
      </c>
      <c r="F28" s="376"/>
      <c r="G28" s="865">
        <f t="shared" si="0"/>
        <v>2</v>
      </c>
      <c r="H28" s="241">
        <f t="shared" si="1"/>
        <v>19</v>
      </c>
      <c r="I28" s="138"/>
      <c r="J28" s="31"/>
      <c r="K28" s="31"/>
      <c r="L28" s="31"/>
      <c r="M28" s="31"/>
      <c r="N28" s="31"/>
      <c r="O28" s="31"/>
    </row>
    <row r="29" spans="1:15" x14ac:dyDescent="0.35">
      <c r="A29" s="208" t="s">
        <v>425</v>
      </c>
      <c r="B29" s="137">
        <v>2019</v>
      </c>
      <c r="C29" s="138"/>
      <c r="D29" s="138"/>
      <c r="E29" s="138"/>
      <c r="F29" s="376"/>
      <c r="G29" s="867">
        <f t="shared" si="0"/>
        <v>0</v>
      </c>
      <c r="H29" s="241">
        <f t="shared" si="1"/>
        <v>27</v>
      </c>
      <c r="I29" s="138"/>
      <c r="J29" s="31"/>
      <c r="K29" s="31"/>
      <c r="L29" s="31"/>
      <c r="M29" s="31"/>
      <c r="N29" s="31"/>
      <c r="O29" s="31"/>
    </row>
    <row r="30" spans="1:15" x14ac:dyDescent="0.35">
      <c r="A30" s="208" t="s">
        <v>120</v>
      </c>
      <c r="B30" s="1186"/>
      <c r="C30" s="390">
        <v>3</v>
      </c>
      <c r="D30" s="138"/>
      <c r="E30" s="138">
        <v>1</v>
      </c>
      <c r="F30" s="376"/>
      <c r="G30" s="865">
        <f t="shared" si="0"/>
        <v>4</v>
      </c>
      <c r="H30" s="241">
        <f t="shared" si="1"/>
        <v>7</v>
      </c>
      <c r="I30" s="138"/>
      <c r="J30" s="31"/>
      <c r="K30" s="31"/>
      <c r="L30" s="31"/>
      <c r="M30" s="31"/>
      <c r="N30" s="31"/>
      <c r="O30" s="31"/>
    </row>
    <row r="31" spans="1:15" x14ac:dyDescent="0.35">
      <c r="A31" s="208" t="s">
        <v>113</v>
      </c>
      <c r="B31" s="135">
        <v>2011</v>
      </c>
      <c r="C31" s="138"/>
      <c r="D31" s="138"/>
      <c r="E31" s="138"/>
      <c r="F31" s="376"/>
      <c r="G31" s="867">
        <f t="shared" si="0"/>
        <v>0</v>
      </c>
      <c r="H31" s="241">
        <f t="shared" si="1"/>
        <v>27</v>
      </c>
      <c r="I31" s="138"/>
      <c r="J31" s="31"/>
      <c r="K31" s="31"/>
      <c r="L31" s="31"/>
      <c r="M31" s="31"/>
      <c r="N31" s="31"/>
      <c r="O31" s="31"/>
    </row>
    <row r="32" spans="1:15" x14ac:dyDescent="0.35">
      <c r="A32" s="208" t="s">
        <v>114</v>
      </c>
      <c r="B32" s="137">
        <v>2009</v>
      </c>
      <c r="C32" s="138"/>
      <c r="D32" s="138">
        <v>1</v>
      </c>
      <c r="E32" s="138">
        <v>1</v>
      </c>
      <c r="F32" s="376"/>
      <c r="G32" s="468">
        <f t="shared" si="0"/>
        <v>2</v>
      </c>
      <c r="H32" s="241">
        <f t="shared" si="1"/>
        <v>19</v>
      </c>
      <c r="I32" s="138" t="s">
        <v>343</v>
      </c>
      <c r="J32" s="31"/>
      <c r="K32" s="31"/>
      <c r="L32" s="31"/>
      <c r="M32" s="31"/>
      <c r="N32" s="31"/>
      <c r="O32" s="31"/>
    </row>
    <row r="33" spans="1:15" x14ac:dyDescent="0.35">
      <c r="A33" s="208" t="s">
        <v>121</v>
      </c>
      <c r="B33" s="1186"/>
      <c r="C33" s="390">
        <v>3</v>
      </c>
      <c r="D33" s="138"/>
      <c r="E33" s="138">
        <v>1</v>
      </c>
      <c r="F33" s="376"/>
      <c r="G33" s="865">
        <f t="shared" si="0"/>
        <v>4</v>
      </c>
      <c r="H33" s="241">
        <f t="shared" si="1"/>
        <v>7</v>
      </c>
      <c r="I33" s="138"/>
      <c r="J33" s="31"/>
      <c r="K33" s="31"/>
      <c r="L33" s="31"/>
      <c r="M33" s="31"/>
      <c r="N33" s="31"/>
      <c r="O33" s="31"/>
    </row>
    <row r="34" spans="1:15" x14ac:dyDescent="0.35">
      <c r="A34" s="208" t="s">
        <v>308</v>
      </c>
      <c r="B34" s="139">
        <v>2015</v>
      </c>
      <c r="C34" s="138"/>
      <c r="D34" s="138"/>
      <c r="E34" s="138"/>
      <c r="F34" s="376"/>
      <c r="G34" s="867">
        <f t="shared" si="0"/>
        <v>0</v>
      </c>
      <c r="H34" s="241">
        <f t="shared" si="1"/>
        <v>27</v>
      </c>
      <c r="I34" s="138"/>
      <c r="J34" s="31"/>
      <c r="K34" s="31"/>
      <c r="L34" s="31"/>
      <c r="M34" s="31"/>
      <c r="N34" s="31"/>
      <c r="O34" s="31"/>
    </row>
    <row r="35" spans="1:15" x14ac:dyDescent="0.35">
      <c r="A35" s="208" t="s">
        <v>290</v>
      </c>
      <c r="B35" s="1186"/>
      <c r="C35" s="390">
        <v>3</v>
      </c>
      <c r="D35" s="138"/>
      <c r="E35" s="138">
        <v>1</v>
      </c>
      <c r="F35" s="376"/>
      <c r="G35" s="865">
        <f t="shared" si="0"/>
        <v>4</v>
      </c>
      <c r="H35" s="241">
        <f t="shared" si="1"/>
        <v>7</v>
      </c>
      <c r="I35" s="138"/>
      <c r="J35" s="31"/>
      <c r="K35" s="31"/>
      <c r="L35" s="31"/>
      <c r="M35" s="31"/>
      <c r="N35" s="31"/>
      <c r="O35" s="31"/>
    </row>
    <row r="36" spans="1:15" x14ac:dyDescent="0.35">
      <c r="A36" s="208" t="s">
        <v>442</v>
      </c>
      <c r="B36" s="1186"/>
      <c r="C36" s="390"/>
      <c r="D36" s="138"/>
      <c r="E36" s="138"/>
      <c r="F36" s="376"/>
      <c r="G36" s="865">
        <f t="shared" ref="G36" si="4">SUM(C36:F36)</f>
        <v>0</v>
      </c>
      <c r="H36" s="241">
        <f t="shared" ref="H36" si="5">RANK(G36,G$7:G$71,0)</f>
        <v>27</v>
      </c>
      <c r="I36" s="138"/>
      <c r="J36" s="31"/>
      <c r="K36" s="31"/>
      <c r="L36" s="31"/>
      <c r="M36" s="31"/>
      <c r="N36" s="31"/>
      <c r="O36" s="31"/>
    </row>
    <row r="37" spans="1:15" x14ac:dyDescent="0.35">
      <c r="A37" s="90" t="s">
        <v>98</v>
      </c>
      <c r="B37" s="137">
        <v>2021</v>
      </c>
      <c r="C37" s="138"/>
      <c r="D37" s="138"/>
      <c r="E37" s="138">
        <v>3</v>
      </c>
      <c r="F37" s="376"/>
      <c r="G37" s="866">
        <f t="shared" si="0"/>
        <v>3</v>
      </c>
      <c r="H37" s="241">
        <f t="shared" si="1"/>
        <v>13</v>
      </c>
      <c r="I37" s="138"/>
      <c r="J37" s="31"/>
      <c r="K37" s="31"/>
      <c r="L37" s="31"/>
      <c r="M37" s="31"/>
      <c r="N37" s="31"/>
      <c r="O37" s="31"/>
    </row>
    <row r="38" spans="1:15" x14ac:dyDescent="0.35">
      <c r="A38" s="91" t="s">
        <v>110</v>
      </c>
      <c r="B38" s="137">
        <v>2019</v>
      </c>
      <c r="C38" s="138"/>
      <c r="D38" s="138"/>
      <c r="E38" s="138"/>
      <c r="F38" s="376"/>
      <c r="G38" s="867">
        <f t="shared" si="0"/>
        <v>0</v>
      </c>
      <c r="H38" s="241">
        <f t="shared" si="1"/>
        <v>27</v>
      </c>
      <c r="I38" s="138"/>
      <c r="J38" s="31"/>
      <c r="K38" s="31"/>
      <c r="L38" s="31"/>
      <c r="M38" s="31"/>
      <c r="N38" s="31"/>
      <c r="O38" s="31"/>
    </row>
    <row r="39" spans="1:15" x14ac:dyDescent="0.35">
      <c r="A39" s="90" t="s">
        <v>95</v>
      </c>
      <c r="B39" s="137">
        <v>2013</v>
      </c>
      <c r="C39" s="138"/>
      <c r="D39" s="138"/>
      <c r="E39" s="138">
        <v>2</v>
      </c>
      <c r="F39" s="376"/>
      <c r="G39" s="866">
        <f t="shared" si="0"/>
        <v>2</v>
      </c>
      <c r="H39" s="241">
        <f t="shared" si="1"/>
        <v>19</v>
      </c>
      <c r="I39" s="138" t="s">
        <v>342</v>
      </c>
      <c r="J39" s="31"/>
      <c r="K39" s="31"/>
      <c r="L39" s="31"/>
      <c r="M39" s="31"/>
      <c r="N39" s="31"/>
      <c r="O39" s="31"/>
    </row>
    <row r="40" spans="1:15" x14ac:dyDescent="0.35">
      <c r="A40" s="208" t="s">
        <v>122</v>
      </c>
      <c r="B40" s="1186"/>
      <c r="C40" s="390">
        <v>3</v>
      </c>
      <c r="D40" s="138"/>
      <c r="E40" s="138"/>
      <c r="F40" s="376"/>
      <c r="G40" s="865">
        <f t="shared" si="0"/>
        <v>3</v>
      </c>
      <c r="H40" s="241">
        <f t="shared" si="1"/>
        <v>13</v>
      </c>
      <c r="I40" s="138"/>
      <c r="J40" s="31"/>
      <c r="K40" s="31"/>
      <c r="L40" s="31"/>
      <c r="M40" s="31"/>
      <c r="N40" s="31"/>
      <c r="O40" s="31"/>
    </row>
    <row r="41" spans="1:15" x14ac:dyDescent="0.35">
      <c r="A41" s="90" t="s">
        <v>103</v>
      </c>
      <c r="B41" s="1186"/>
      <c r="C41" s="390"/>
      <c r="D41" s="138">
        <v>1</v>
      </c>
      <c r="E41" s="138">
        <v>2</v>
      </c>
      <c r="F41" s="376"/>
      <c r="G41" s="865">
        <f t="shared" si="0"/>
        <v>3</v>
      </c>
      <c r="H41" s="241">
        <f t="shared" si="1"/>
        <v>13</v>
      </c>
      <c r="I41" s="138"/>
      <c r="J41" s="31"/>
      <c r="K41" s="31"/>
      <c r="L41" s="31"/>
      <c r="M41" s="31"/>
      <c r="N41" s="31"/>
      <c r="O41" s="31"/>
    </row>
    <row r="42" spans="1:15" x14ac:dyDescent="0.35">
      <c r="A42" s="90" t="s">
        <v>309</v>
      </c>
      <c r="B42" s="137">
        <v>2017</v>
      </c>
      <c r="C42" s="138"/>
      <c r="D42" s="138"/>
      <c r="E42" s="138"/>
      <c r="F42" s="376"/>
      <c r="G42" s="867">
        <f t="shared" si="0"/>
        <v>0</v>
      </c>
      <c r="H42" s="241">
        <f t="shared" si="1"/>
        <v>27</v>
      </c>
      <c r="I42" s="138"/>
      <c r="J42" s="31"/>
      <c r="K42" s="31"/>
      <c r="L42" s="31"/>
      <c r="M42" s="31"/>
      <c r="N42" s="31"/>
      <c r="O42" s="31"/>
    </row>
    <row r="43" spans="1:15" x14ac:dyDescent="0.35">
      <c r="A43" s="208" t="s">
        <v>123</v>
      </c>
      <c r="B43" s="1186"/>
      <c r="C43" s="138"/>
      <c r="D43" s="138"/>
      <c r="E43" s="138"/>
      <c r="F43" s="376"/>
      <c r="G43" s="867">
        <f t="shared" si="0"/>
        <v>0</v>
      </c>
      <c r="H43" s="241">
        <f t="shared" si="1"/>
        <v>27</v>
      </c>
      <c r="I43" s="138"/>
      <c r="J43" s="31"/>
      <c r="K43" s="31"/>
      <c r="L43" s="31"/>
      <c r="M43" s="31"/>
      <c r="N43" s="31"/>
      <c r="O43" s="31"/>
    </row>
    <row r="44" spans="1:15" x14ac:dyDescent="0.35">
      <c r="A44" s="208" t="s">
        <v>294</v>
      </c>
      <c r="B44" s="137">
        <v>2021</v>
      </c>
      <c r="C44" s="138"/>
      <c r="D44" s="138"/>
      <c r="E44" s="138"/>
      <c r="F44" s="376"/>
      <c r="G44" s="865">
        <f t="shared" si="0"/>
        <v>0</v>
      </c>
      <c r="H44" s="241">
        <f t="shared" si="1"/>
        <v>27</v>
      </c>
      <c r="I44" s="138"/>
      <c r="J44" s="31"/>
      <c r="K44" s="31"/>
      <c r="L44" s="31"/>
      <c r="M44" s="31"/>
      <c r="N44" s="31"/>
      <c r="O44" s="31"/>
    </row>
    <row r="45" spans="1:15" x14ac:dyDescent="0.35">
      <c r="A45" s="90" t="s">
        <v>7</v>
      </c>
      <c r="B45" s="139">
        <v>2013</v>
      </c>
      <c r="C45" s="138"/>
      <c r="D45" s="138"/>
      <c r="E45" s="138">
        <v>3</v>
      </c>
      <c r="F45" s="376"/>
      <c r="G45" s="865">
        <f t="shared" si="0"/>
        <v>3</v>
      </c>
      <c r="H45" s="241">
        <f t="shared" si="1"/>
        <v>13</v>
      </c>
      <c r="I45" s="138" t="s">
        <v>344</v>
      </c>
      <c r="J45" s="31"/>
      <c r="K45" s="31"/>
      <c r="L45" s="31"/>
      <c r="M45" s="31"/>
      <c r="N45" s="31"/>
      <c r="O45" s="31"/>
    </row>
    <row r="46" spans="1:15" x14ac:dyDescent="0.35">
      <c r="A46" s="208" t="s">
        <v>124</v>
      </c>
      <c r="B46" s="137">
        <v>2021</v>
      </c>
      <c r="C46" s="390"/>
      <c r="D46" s="138"/>
      <c r="E46" s="138">
        <v>2</v>
      </c>
      <c r="F46" s="376"/>
      <c r="G46" s="865">
        <f t="shared" si="0"/>
        <v>2</v>
      </c>
      <c r="H46" s="241">
        <f t="shared" si="1"/>
        <v>19</v>
      </c>
      <c r="I46" s="138"/>
      <c r="J46" s="31"/>
      <c r="K46" s="31"/>
      <c r="L46" s="31"/>
      <c r="M46" s="31"/>
      <c r="N46" s="31"/>
      <c r="O46" s="31"/>
    </row>
    <row r="47" spans="1:15" x14ac:dyDescent="0.35">
      <c r="A47" s="208" t="s">
        <v>125</v>
      </c>
      <c r="B47" s="1186"/>
      <c r="C47" s="390">
        <v>3</v>
      </c>
      <c r="D47" s="138">
        <v>1</v>
      </c>
      <c r="E47" s="138">
        <v>1</v>
      </c>
      <c r="F47" s="376"/>
      <c r="G47" s="865">
        <f t="shared" si="0"/>
        <v>5</v>
      </c>
      <c r="H47" s="241">
        <f t="shared" si="1"/>
        <v>2</v>
      </c>
      <c r="I47" s="138" t="s">
        <v>349</v>
      </c>
      <c r="J47" s="31"/>
      <c r="K47" s="31"/>
      <c r="L47" s="31"/>
      <c r="M47" s="31"/>
      <c r="N47" s="31"/>
      <c r="O47" s="31"/>
    </row>
    <row r="48" spans="1:15" x14ac:dyDescent="0.35">
      <c r="A48" s="208" t="s">
        <v>447</v>
      </c>
      <c r="B48" s="1186"/>
      <c r="C48" s="390"/>
      <c r="D48" s="138"/>
      <c r="E48" s="138"/>
      <c r="F48" s="376"/>
      <c r="G48" s="865">
        <f t="shared" ref="G48" si="6">SUM(C48:F48)</f>
        <v>0</v>
      </c>
      <c r="H48" s="241">
        <f t="shared" ref="H48" si="7">RANK(G48,G$7:G$71,0)</f>
        <v>27</v>
      </c>
      <c r="I48" s="138"/>
      <c r="J48" s="31"/>
      <c r="K48" s="31"/>
      <c r="L48" s="31"/>
      <c r="M48" s="31"/>
      <c r="N48" s="31"/>
      <c r="O48" s="31"/>
    </row>
    <row r="49" spans="1:15" x14ac:dyDescent="0.35">
      <c r="A49" s="208" t="s">
        <v>460</v>
      </c>
      <c r="B49" s="137">
        <v>2013</v>
      </c>
      <c r="C49" s="138"/>
      <c r="D49" s="138">
        <v>2</v>
      </c>
      <c r="E49" s="138">
        <v>1</v>
      </c>
      <c r="F49" s="376"/>
      <c r="G49" s="865">
        <f t="shared" si="0"/>
        <v>3</v>
      </c>
      <c r="H49" s="241">
        <f t="shared" si="1"/>
        <v>13</v>
      </c>
      <c r="I49" s="138" t="s">
        <v>345</v>
      </c>
      <c r="J49" s="31"/>
      <c r="K49" s="31"/>
      <c r="L49" s="31"/>
      <c r="M49" s="31"/>
      <c r="N49" s="31"/>
      <c r="O49" s="31"/>
    </row>
    <row r="50" spans="1:15" x14ac:dyDescent="0.35">
      <c r="A50" s="208" t="s">
        <v>461</v>
      </c>
      <c r="B50" s="1186"/>
      <c r="C50" s="138"/>
      <c r="D50" s="138"/>
      <c r="E50" s="138"/>
      <c r="F50" s="376"/>
      <c r="G50" s="867">
        <f t="shared" si="0"/>
        <v>0</v>
      </c>
      <c r="H50" s="241">
        <f t="shared" si="1"/>
        <v>27</v>
      </c>
      <c r="I50" s="138"/>
      <c r="J50" s="31"/>
      <c r="K50" s="31"/>
      <c r="L50" s="31"/>
      <c r="M50" s="31"/>
      <c r="N50" s="31"/>
      <c r="O50" s="31"/>
    </row>
    <row r="51" spans="1:15" x14ac:dyDescent="0.35">
      <c r="A51" s="208" t="s">
        <v>448</v>
      </c>
      <c r="B51" s="1186"/>
      <c r="C51" s="138"/>
      <c r="D51" s="138"/>
      <c r="E51" s="138"/>
      <c r="F51" s="376"/>
      <c r="G51" s="867">
        <f t="shared" ref="G51:G52" si="8">SUM(C51:F51)</f>
        <v>0</v>
      </c>
      <c r="H51" s="241">
        <f t="shared" ref="H51:H52" si="9">RANK(G51,G$7:G$71,0)</f>
        <v>27</v>
      </c>
      <c r="I51" s="138"/>
      <c r="J51" s="31"/>
      <c r="K51" s="31"/>
      <c r="L51" s="31"/>
      <c r="M51" s="31"/>
      <c r="N51" s="31"/>
      <c r="O51" s="31"/>
    </row>
    <row r="52" spans="1:15" x14ac:dyDescent="0.35">
      <c r="A52" s="208" t="s">
        <v>464</v>
      </c>
      <c r="B52" s="1186"/>
      <c r="C52" s="138"/>
      <c r="D52" s="138"/>
      <c r="E52" s="138"/>
      <c r="F52" s="376"/>
      <c r="G52" s="867">
        <f t="shared" si="8"/>
        <v>0</v>
      </c>
      <c r="H52" s="241">
        <f t="shared" si="9"/>
        <v>27</v>
      </c>
      <c r="I52" s="138"/>
      <c r="J52" s="31"/>
      <c r="K52" s="31"/>
      <c r="L52" s="31"/>
      <c r="M52" s="31"/>
      <c r="N52" s="31"/>
      <c r="O52" s="31"/>
    </row>
    <row r="53" spans="1:15" x14ac:dyDescent="0.35">
      <c r="A53" s="208" t="s">
        <v>426</v>
      </c>
      <c r="B53" s="137">
        <v>2013</v>
      </c>
      <c r="C53" s="138"/>
      <c r="D53" s="138"/>
      <c r="E53" s="138"/>
      <c r="F53" s="376"/>
      <c r="G53" s="867">
        <f t="shared" si="0"/>
        <v>0</v>
      </c>
      <c r="H53" s="241">
        <f t="shared" si="1"/>
        <v>27</v>
      </c>
      <c r="I53" s="138"/>
      <c r="J53" s="31"/>
      <c r="K53" s="31"/>
      <c r="L53" s="31"/>
      <c r="M53" s="31"/>
      <c r="N53" s="31"/>
      <c r="O53" s="31"/>
    </row>
    <row r="54" spans="1:15" x14ac:dyDescent="0.35">
      <c r="A54" s="91" t="s">
        <v>100</v>
      </c>
      <c r="B54" s="139">
        <v>2019</v>
      </c>
      <c r="C54" s="138"/>
      <c r="D54" s="138"/>
      <c r="E54" s="138"/>
      <c r="F54" s="376"/>
      <c r="G54" s="867">
        <f t="shared" si="0"/>
        <v>0</v>
      </c>
      <c r="H54" s="241">
        <f t="shared" si="1"/>
        <v>27</v>
      </c>
      <c r="I54" s="138"/>
      <c r="J54" s="31"/>
      <c r="K54" s="31"/>
      <c r="L54" s="31"/>
      <c r="M54" s="31"/>
      <c r="N54" s="31"/>
      <c r="O54" s="31"/>
    </row>
    <row r="55" spans="1:15" x14ac:dyDescent="0.35">
      <c r="A55" s="208" t="s">
        <v>462</v>
      </c>
      <c r="B55" s="1186"/>
      <c r="C55" s="138"/>
      <c r="D55" s="138"/>
      <c r="E55" s="138">
        <v>1</v>
      </c>
      <c r="F55" s="376"/>
      <c r="G55" s="865">
        <f t="shared" si="0"/>
        <v>1</v>
      </c>
      <c r="H55" s="241">
        <f t="shared" si="1"/>
        <v>25</v>
      </c>
      <c r="I55" s="138"/>
      <c r="J55" s="31"/>
      <c r="K55" s="31"/>
      <c r="L55" s="31"/>
      <c r="M55" s="31"/>
      <c r="N55" s="31"/>
      <c r="O55" s="31"/>
    </row>
    <row r="56" spans="1:15" x14ac:dyDescent="0.35">
      <c r="A56" s="208" t="s">
        <v>176</v>
      </c>
      <c r="B56" s="1186"/>
      <c r="C56" s="138"/>
      <c r="D56" s="138">
        <v>1</v>
      </c>
      <c r="E56" s="138">
        <v>1</v>
      </c>
      <c r="F56" s="376"/>
      <c r="G56" s="865">
        <f t="shared" si="0"/>
        <v>2</v>
      </c>
      <c r="H56" s="241">
        <f t="shared" si="1"/>
        <v>19</v>
      </c>
      <c r="I56" s="138" t="s">
        <v>347</v>
      </c>
      <c r="J56" s="31"/>
      <c r="K56" s="31"/>
      <c r="L56" s="31"/>
      <c r="M56" s="31"/>
      <c r="N56" s="31"/>
      <c r="O56" s="31"/>
    </row>
    <row r="57" spans="1:15" x14ac:dyDescent="0.35">
      <c r="A57" s="208" t="s">
        <v>126</v>
      </c>
      <c r="B57" s="1186"/>
      <c r="C57" s="390">
        <v>3</v>
      </c>
      <c r="D57" s="138"/>
      <c r="E57" s="138">
        <v>2</v>
      </c>
      <c r="F57" s="376"/>
      <c r="G57" s="865">
        <f t="shared" si="0"/>
        <v>5</v>
      </c>
      <c r="H57" s="241">
        <f t="shared" si="1"/>
        <v>2</v>
      </c>
      <c r="I57" s="138"/>
      <c r="J57" s="31"/>
      <c r="K57" s="31"/>
      <c r="L57" s="31"/>
      <c r="M57" s="31"/>
      <c r="N57" s="31"/>
      <c r="O57" s="31"/>
    </row>
    <row r="58" spans="1:15" x14ac:dyDescent="0.35">
      <c r="A58" s="90" t="s">
        <v>96</v>
      </c>
      <c r="B58" s="137">
        <v>2013</v>
      </c>
      <c r="C58" s="138"/>
      <c r="D58" s="138"/>
      <c r="E58" s="138">
        <v>2</v>
      </c>
      <c r="F58" s="376"/>
      <c r="G58" s="865">
        <f t="shared" si="0"/>
        <v>2</v>
      </c>
      <c r="H58" s="241">
        <f t="shared" si="1"/>
        <v>19</v>
      </c>
      <c r="I58" s="138" t="s">
        <v>341</v>
      </c>
      <c r="J58" s="31"/>
      <c r="K58" s="31"/>
      <c r="L58" s="31"/>
      <c r="M58" s="31"/>
      <c r="N58" s="31"/>
      <c r="O58" s="31"/>
    </row>
    <row r="59" spans="1:15" x14ac:dyDescent="0.35">
      <c r="A59" s="90" t="s">
        <v>450</v>
      </c>
      <c r="B59" s="1186"/>
      <c r="C59" s="138"/>
      <c r="D59" s="138"/>
      <c r="E59" s="138"/>
      <c r="F59" s="376"/>
      <c r="G59" s="865">
        <f t="shared" ref="G59" si="10">SUM(C59:F59)</f>
        <v>0</v>
      </c>
      <c r="H59" s="241">
        <f t="shared" ref="H59" si="11">RANK(G59,G$7:G$71,0)</f>
        <v>27</v>
      </c>
      <c r="I59" s="138"/>
      <c r="J59" s="31"/>
      <c r="K59" s="31"/>
      <c r="L59" s="31"/>
      <c r="M59" s="31"/>
      <c r="N59" s="31"/>
      <c r="O59" s="31"/>
    </row>
    <row r="60" spans="1:15" x14ac:dyDescent="0.35">
      <c r="A60" s="208" t="s">
        <v>127</v>
      </c>
      <c r="B60" s="1186"/>
      <c r="C60" s="390">
        <v>3</v>
      </c>
      <c r="D60" s="138"/>
      <c r="E60" s="138"/>
      <c r="F60" s="376"/>
      <c r="G60" s="865">
        <v>3</v>
      </c>
      <c r="H60" s="241">
        <f t="shared" si="1"/>
        <v>13</v>
      </c>
      <c r="I60" s="138"/>
      <c r="J60" s="31"/>
      <c r="K60" s="31"/>
      <c r="L60" s="31"/>
      <c r="M60" s="31"/>
      <c r="N60" s="31"/>
      <c r="O60" s="31"/>
    </row>
    <row r="61" spans="1:15" x14ac:dyDescent="0.35">
      <c r="A61" s="208" t="s">
        <v>178</v>
      </c>
      <c r="B61" s="137">
        <v>2009</v>
      </c>
      <c r="C61" s="138">
        <v>5</v>
      </c>
      <c r="D61" s="138">
        <v>1</v>
      </c>
      <c r="E61" s="138">
        <v>2</v>
      </c>
      <c r="F61" s="376"/>
      <c r="G61" s="468">
        <f t="shared" ref="G61:G71" si="12">SUM(C61:F61)</f>
        <v>8</v>
      </c>
      <c r="H61" s="241">
        <f t="shared" si="1"/>
        <v>1</v>
      </c>
      <c r="I61" s="138" t="s">
        <v>351</v>
      </c>
      <c r="J61" s="31"/>
      <c r="K61" s="31"/>
      <c r="L61" s="31"/>
      <c r="M61" s="31"/>
      <c r="N61" s="31"/>
      <c r="O61" s="31"/>
    </row>
    <row r="62" spans="1:15" x14ac:dyDescent="0.35">
      <c r="A62" s="208" t="s">
        <v>128</v>
      </c>
      <c r="B62" s="137">
        <v>2021</v>
      </c>
      <c r="C62" s="390"/>
      <c r="D62" s="138"/>
      <c r="E62" s="138"/>
      <c r="F62" s="376"/>
      <c r="G62" s="865">
        <f t="shared" si="12"/>
        <v>0</v>
      </c>
      <c r="H62" s="241">
        <f t="shared" si="1"/>
        <v>27</v>
      </c>
      <c r="I62" s="138"/>
      <c r="J62" s="31"/>
      <c r="K62" s="31"/>
      <c r="L62" s="31"/>
      <c r="M62" s="31"/>
      <c r="N62" s="31"/>
      <c r="O62" s="31"/>
    </row>
    <row r="63" spans="1:15" x14ac:dyDescent="0.35">
      <c r="A63" s="90" t="s">
        <v>18</v>
      </c>
      <c r="B63" s="137">
        <v>2005</v>
      </c>
      <c r="C63" s="138"/>
      <c r="D63" s="138"/>
      <c r="E63" s="138">
        <v>1</v>
      </c>
      <c r="F63" s="376"/>
      <c r="G63" s="865">
        <f t="shared" si="12"/>
        <v>1</v>
      </c>
      <c r="H63" s="241">
        <f t="shared" si="1"/>
        <v>25</v>
      </c>
      <c r="I63" s="138"/>
      <c r="J63" s="31"/>
      <c r="K63" s="31"/>
      <c r="L63" s="31"/>
      <c r="M63" s="31"/>
      <c r="N63" s="31"/>
      <c r="O63" s="31"/>
    </row>
    <row r="64" spans="1:15" x14ac:dyDescent="0.35">
      <c r="A64" s="208" t="s">
        <v>129</v>
      </c>
      <c r="B64" s="1186"/>
      <c r="C64" s="390">
        <v>3</v>
      </c>
      <c r="D64" s="138"/>
      <c r="E64" s="138">
        <v>1</v>
      </c>
      <c r="F64" s="376"/>
      <c r="G64" s="865">
        <f t="shared" si="12"/>
        <v>4</v>
      </c>
      <c r="H64" s="241">
        <f t="shared" si="1"/>
        <v>7</v>
      </c>
      <c r="I64" s="138"/>
      <c r="J64" s="31"/>
      <c r="K64" s="31"/>
      <c r="L64" s="31"/>
      <c r="M64" s="31"/>
      <c r="N64" s="31"/>
      <c r="O64" s="31"/>
    </row>
    <row r="65" spans="1:15" x14ac:dyDescent="0.35">
      <c r="A65" s="208" t="s">
        <v>451</v>
      </c>
      <c r="B65" s="1186"/>
      <c r="C65" s="390"/>
      <c r="D65" s="138"/>
      <c r="E65" s="138"/>
      <c r="F65" s="376"/>
      <c r="G65" s="865">
        <f t="shared" ref="G65" si="13">SUM(C65:F65)</f>
        <v>0</v>
      </c>
      <c r="H65" s="241">
        <f t="shared" ref="H65" si="14">RANK(G65,G$7:G$71,0)</f>
        <v>27</v>
      </c>
      <c r="I65" s="138"/>
      <c r="J65" s="31"/>
      <c r="K65" s="31"/>
      <c r="L65" s="31"/>
      <c r="M65" s="31"/>
      <c r="N65" s="31"/>
      <c r="O65" s="31"/>
    </row>
    <row r="66" spans="1:15" x14ac:dyDescent="0.35">
      <c r="A66" s="208" t="s">
        <v>291</v>
      </c>
      <c r="B66" s="1186"/>
      <c r="C66" s="390">
        <v>3</v>
      </c>
      <c r="D66" s="138"/>
      <c r="E66" s="138">
        <v>1</v>
      </c>
      <c r="F66" s="376"/>
      <c r="G66" s="865">
        <f t="shared" si="12"/>
        <v>4</v>
      </c>
      <c r="H66" s="241">
        <f t="shared" si="1"/>
        <v>7</v>
      </c>
      <c r="I66" s="138"/>
      <c r="J66" s="31"/>
      <c r="K66" s="31"/>
      <c r="L66" s="31"/>
      <c r="M66" s="31"/>
      <c r="N66" s="31"/>
      <c r="O66" s="31"/>
    </row>
    <row r="67" spans="1:15" x14ac:dyDescent="0.35">
      <c r="A67" s="208" t="s">
        <v>335</v>
      </c>
      <c r="B67" s="137">
        <v>2021</v>
      </c>
      <c r="C67" s="390"/>
      <c r="D67" s="138"/>
      <c r="E67" s="138"/>
      <c r="F67" s="376"/>
      <c r="G67" s="468">
        <f t="shared" si="12"/>
        <v>0</v>
      </c>
      <c r="H67" s="241">
        <f t="shared" si="1"/>
        <v>27</v>
      </c>
      <c r="I67" s="138"/>
      <c r="J67" s="31"/>
      <c r="K67" s="31"/>
      <c r="L67" s="31"/>
      <c r="M67" s="31"/>
      <c r="N67" s="31"/>
      <c r="O67" s="31"/>
    </row>
    <row r="68" spans="1:15" x14ac:dyDescent="0.35">
      <c r="A68" s="90" t="s">
        <v>111</v>
      </c>
      <c r="B68" s="139">
        <v>2015</v>
      </c>
      <c r="C68" s="138"/>
      <c r="D68" s="138"/>
      <c r="E68" s="138"/>
      <c r="F68" s="376"/>
      <c r="G68" s="867">
        <f t="shared" si="12"/>
        <v>0</v>
      </c>
      <c r="H68" s="241">
        <f t="shared" si="1"/>
        <v>27</v>
      </c>
      <c r="I68" s="138"/>
      <c r="J68" s="31"/>
      <c r="K68" s="31"/>
      <c r="L68" s="31"/>
      <c r="M68" s="31"/>
      <c r="N68" s="31"/>
      <c r="O68" s="31"/>
    </row>
    <row r="69" spans="1:15" x14ac:dyDescent="0.35">
      <c r="A69" s="90" t="s">
        <v>179</v>
      </c>
      <c r="B69" s="137">
        <v>2017</v>
      </c>
      <c r="C69" s="138"/>
      <c r="D69" s="138"/>
      <c r="E69" s="138"/>
      <c r="F69" s="376"/>
      <c r="G69" s="867">
        <f t="shared" si="12"/>
        <v>0</v>
      </c>
      <c r="H69" s="241">
        <f t="shared" si="1"/>
        <v>27</v>
      </c>
      <c r="I69" s="138"/>
      <c r="J69" s="31"/>
      <c r="K69" s="31"/>
      <c r="L69" s="31"/>
      <c r="M69" s="31"/>
      <c r="N69" s="31"/>
      <c r="O69" s="31"/>
    </row>
    <row r="70" spans="1:15" x14ac:dyDescent="0.35">
      <c r="A70" s="1270" t="s">
        <v>454</v>
      </c>
      <c r="B70" s="1186"/>
      <c r="C70" s="1300"/>
      <c r="D70" s="1300"/>
      <c r="E70" s="1300"/>
      <c r="F70" s="1301"/>
      <c r="G70" s="867">
        <f t="shared" ref="G70" si="15">SUM(C70:F70)</f>
        <v>0</v>
      </c>
      <c r="H70" s="241">
        <f t="shared" ref="H70" si="16">RANK(G70,G$7:G$71,0)</f>
        <v>27</v>
      </c>
      <c r="I70" s="1300"/>
      <c r="J70" s="31"/>
      <c r="K70" s="31"/>
      <c r="L70" s="31"/>
      <c r="M70" s="31"/>
      <c r="N70" s="31"/>
      <c r="O70" s="31"/>
    </row>
    <row r="71" spans="1:15" ht="18.600000000000001" thickBot="1" x14ac:dyDescent="0.4">
      <c r="A71" s="159" t="s">
        <v>180</v>
      </c>
      <c r="B71" s="140">
        <v>2017</v>
      </c>
      <c r="C71" s="141"/>
      <c r="D71" s="141"/>
      <c r="E71" s="141"/>
      <c r="F71" s="385"/>
      <c r="G71" s="868">
        <f t="shared" si="12"/>
        <v>0</v>
      </c>
      <c r="H71" s="241">
        <f t="shared" si="1"/>
        <v>27</v>
      </c>
      <c r="I71" s="141"/>
      <c r="J71" s="31"/>
      <c r="K71" s="31"/>
      <c r="L71" s="31"/>
      <c r="M71" s="31"/>
      <c r="N71" s="31"/>
      <c r="O71" s="31"/>
    </row>
    <row r="72" spans="1:15" x14ac:dyDescent="0.35">
      <c r="A72" s="397"/>
      <c r="B72" s="30"/>
      <c r="C72" s="30"/>
      <c r="D72" s="30"/>
      <c r="E72" s="30"/>
      <c r="F72" s="30"/>
      <c r="G72" s="397"/>
      <c r="H72" s="31"/>
      <c r="I72" s="31"/>
      <c r="J72" s="31"/>
      <c r="K72" s="31"/>
      <c r="L72" s="31"/>
      <c r="M72" s="31"/>
      <c r="N72" s="31"/>
      <c r="O72" s="31"/>
    </row>
    <row r="73" spans="1:15" x14ac:dyDescent="0.35">
      <c r="A73" s="397"/>
      <c r="B73" s="30"/>
      <c r="C73" s="30"/>
      <c r="D73" s="30"/>
      <c r="E73" s="30"/>
      <c r="F73" s="30"/>
      <c r="G73" s="397"/>
      <c r="H73" s="31"/>
      <c r="I73" s="31"/>
      <c r="J73" s="31"/>
      <c r="K73" s="31"/>
      <c r="L73" s="31"/>
      <c r="M73" s="31"/>
      <c r="N73" s="31"/>
      <c r="O73" s="31"/>
    </row>
    <row r="74" spans="1:15" x14ac:dyDescent="0.35">
      <c r="A74" s="397"/>
      <c r="B74" s="30"/>
      <c r="C74" s="30"/>
      <c r="D74" s="30"/>
      <c r="E74" s="30"/>
      <c r="F74" s="30"/>
      <c r="G74" s="397"/>
      <c r="H74" s="31"/>
      <c r="I74" s="31"/>
      <c r="J74" s="31"/>
      <c r="K74" s="31"/>
      <c r="L74" s="31"/>
      <c r="M74" s="31"/>
      <c r="N74" s="31"/>
      <c r="O74" s="31"/>
    </row>
    <row r="75" spans="1:15" x14ac:dyDescent="0.35">
      <c r="A75" s="397"/>
      <c r="B75" s="30"/>
      <c r="C75" s="30"/>
      <c r="D75" s="30"/>
      <c r="E75" s="30"/>
      <c r="F75" s="30"/>
      <c r="G75" s="397"/>
      <c r="H75" s="31"/>
      <c r="I75" s="31"/>
      <c r="J75" s="31"/>
      <c r="K75" s="31"/>
      <c r="L75" s="31"/>
      <c r="M75" s="31"/>
      <c r="N75" s="31"/>
      <c r="O75" s="31"/>
    </row>
    <row r="76" spans="1:15" x14ac:dyDescent="0.35">
      <c r="A76" s="397"/>
      <c r="B76" s="30"/>
      <c r="C76" s="30"/>
      <c r="D76" s="30"/>
      <c r="E76" s="30"/>
      <c r="F76" s="30"/>
      <c r="G76" s="397"/>
      <c r="H76" s="31"/>
      <c r="I76" s="31"/>
      <c r="J76" s="31"/>
      <c r="K76" s="31"/>
      <c r="L76" s="31"/>
      <c r="M76" s="31"/>
      <c r="N76" s="31"/>
      <c r="O76" s="31"/>
    </row>
    <row r="77" spans="1:15" x14ac:dyDescent="0.35">
      <c r="A77" s="397"/>
      <c r="B77" s="30"/>
      <c r="C77" s="30"/>
      <c r="D77" s="30"/>
      <c r="E77" s="30"/>
      <c r="F77" s="30"/>
      <c r="G77" s="397"/>
      <c r="H77" s="31"/>
      <c r="I77" s="31"/>
      <c r="J77" s="31"/>
      <c r="K77" s="31"/>
      <c r="L77" s="31"/>
      <c r="M77" s="31"/>
      <c r="N77" s="31"/>
      <c r="O77" s="31"/>
    </row>
    <row r="78" spans="1:15" x14ac:dyDescent="0.35">
      <c r="A78" s="397"/>
      <c r="B78" s="30"/>
      <c r="C78" s="30"/>
      <c r="D78" s="30"/>
      <c r="E78" s="30"/>
      <c r="F78" s="30"/>
      <c r="G78" s="397"/>
      <c r="H78" s="31"/>
      <c r="I78" s="31"/>
      <c r="J78" s="31"/>
      <c r="K78" s="31"/>
      <c r="L78" s="31"/>
      <c r="M78" s="31"/>
      <c r="N78" s="31"/>
      <c r="O78" s="31"/>
    </row>
    <row r="79" spans="1:15" x14ac:dyDescent="0.35">
      <c r="A79" s="397"/>
      <c r="B79" s="30"/>
      <c r="C79" s="30"/>
      <c r="D79" s="30"/>
      <c r="E79" s="30"/>
      <c r="F79" s="30"/>
      <c r="G79" s="397"/>
      <c r="H79" s="31"/>
      <c r="I79" s="31"/>
      <c r="J79" s="31"/>
      <c r="K79" s="31"/>
      <c r="L79" s="31"/>
      <c r="M79" s="31"/>
      <c r="N79" s="31"/>
      <c r="O79" s="31"/>
    </row>
    <row r="80" spans="1:15" x14ac:dyDescent="0.35">
      <c r="A80" s="397"/>
      <c r="B80" s="30"/>
      <c r="C80" s="30"/>
      <c r="D80" s="30"/>
      <c r="E80" s="30"/>
      <c r="F80" s="30"/>
      <c r="G80" s="397"/>
      <c r="H80" s="31"/>
      <c r="I80" s="31"/>
      <c r="J80" s="31"/>
      <c r="K80" s="31"/>
      <c r="L80" s="31"/>
      <c r="M80" s="31"/>
      <c r="N80" s="31"/>
      <c r="O80" s="31"/>
    </row>
    <row r="81" spans="1:15" x14ac:dyDescent="0.35">
      <c r="A81" s="397"/>
      <c r="B81" s="30"/>
      <c r="C81" s="30"/>
      <c r="D81" s="30"/>
      <c r="E81" s="30"/>
      <c r="F81" s="30"/>
      <c r="G81" s="397"/>
      <c r="H81" s="31"/>
      <c r="I81" s="31"/>
      <c r="J81" s="31"/>
      <c r="K81" s="31"/>
      <c r="L81" s="31"/>
      <c r="M81" s="31"/>
      <c r="N81" s="31"/>
      <c r="O81" s="31"/>
    </row>
    <row r="82" spans="1:15" x14ac:dyDescent="0.35">
      <c r="A82" s="397"/>
      <c r="B82" s="30"/>
      <c r="C82" s="30"/>
      <c r="D82" s="30"/>
      <c r="E82" s="30"/>
      <c r="F82" s="30"/>
      <c r="G82" s="397"/>
      <c r="H82" s="31"/>
      <c r="I82" s="31"/>
      <c r="J82" s="31"/>
      <c r="K82" s="31"/>
      <c r="L82" s="31"/>
      <c r="M82" s="31"/>
      <c r="N82" s="31"/>
      <c r="O82" s="31"/>
    </row>
  </sheetData>
  <sortState ref="A7:O63">
    <sortCondition descending="1" ref="G7:G63"/>
  </sortState>
  <mergeCells count="1">
    <mergeCell ref="A1:E1"/>
  </mergeCells>
  <conditionalFormatting sqref="H7:H71">
    <cfRule type="colorScale" priority="185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8 B10:B14 B16:B22 B29 B31:B32 B34 B37:B39 B42 B44:B46 B49 B53:B54 B58 B61:B63 B67:B69 B71 B24:B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6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7">
    <cfRule type="colorScale" priority="5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8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0">
    <cfRule type="colorScale" priority="5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3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5:B36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0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1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3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7:B4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0:B52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5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6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4:B65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6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9">
    <cfRule type="colorScale" priority="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80"/>
  <sheetViews>
    <sheetView zoomScale="70" zoomScaleNormal="70" workbookViewId="0">
      <pane xSplit="1" ySplit="6" topLeftCell="B49" activePane="bottomRight" state="frozen"/>
      <selection activeCell="A22" sqref="A22"/>
      <selection pane="topRight" activeCell="A22" sqref="A22"/>
      <selection pane="bottomLeft" activeCell="A22" sqref="A22"/>
      <selection pane="bottomRight" activeCell="B69" sqref="B69:B70"/>
    </sheetView>
  </sheetViews>
  <sheetFormatPr defaultColWidth="8.88671875" defaultRowHeight="18" x14ac:dyDescent="0.35"/>
  <cols>
    <col min="1" max="1" width="37.7773437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89" customWidth="1"/>
    <col min="7" max="7" width="14.5546875" style="66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3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403" t="s">
        <v>254</v>
      </c>
      <c r="B1" s="189"/>
      <c r="C1" s="31"/>
      <c r="D1" s="30"/>
      <c r="E1" s="189"/>
      <c r="F1" s="399"/>
      <c r="G1" s="394"/>
      <c r="H1" s="30"/>
      <c r="I1" s="30"/>
      <c r="J1" s="31"/>
      <c r="K1" s="31"/>
      <c r="L1" s="397"/>
      <c r="M1" s="30"/>
      <c r="N1" s="450"/>
      <c r="O1" s="31"/>
      <c r="P1" s="34">
        <v>-2</v>
      </c>
      <c r="Q1" s="34"/>
      <c r="R1" s="393" t="s">
        <v>326</v>
      </c>
      <c r="S1" s="31"/>
      <c r="T1" s="31"/>
      <c r="U1" s="31"/>
      <c r="V1" s="189"/>
      <c r="W1" s="189"/>
      <c r="X1" s="189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65" x14ac:dyDescent="0.35">
      <c r="A2" s="397"/>
      <c r="B2" s="1124"/>
      <c r="C2" s="31"/>
      <c r="D2" s="30"/>
      <c r="E2" s="151"/>
      <c r="F2" s="404" t="s">
        <v>255</v>
      </c>
      <c r="G2" s="459"/>
      <c r="H2" s="30"/>
      <c r="I2" s="30"/>
      <c r="J2" s="31"/>
      <c r="K2" s="31"/>
      <c r="L2" s="397"/>
      <c r="M2" s="30"/>
      <c r="N2" s="450"/>
      <c r="O2" s="442" t="s">
        <v>252</v>
      </c>
      <c r="P2" s="440">
        <v>4</v>
      </c>
      <c r="Q2" s="440"/>
      <c r="R2" s="834" t="s">
        <v>288</v>
      </c>
      <c r="S2" s="834"/>
      <c r="T2" s="834"/>
      <c r="U2" s="834"/>
      <c r="V2" s="835"/>
      <c r="W2" s="834"/>
      <c r="X2" s="835"/>
      <c r="Y2" s="836"/>
      <c r="Z2" s="836"/>
      <c r="AA2" s="194"/>
      <c r="AB2" s="70"/>
      <c r="AC2" s="31"/>
      <c r="AD2" s="31"/>
      <c r="AE2" s="31"/>
      <c r="AF2" s="31"/>
      <c r="AG2" s="31"/>
      <c r="AH2" s="31"/>
      <c r="AI2" s="31"/>
    </row>
    <row r="3" spans="1:65" x14ac:dyDescent="0.35">
      <c r="A3" s="31"/>
      <c r="B3" s="1124"/>
      <c r="C3" s="31"/>
      <c r="D3" s="30"/>
      <c r="E3" s="392"/>
      <c r="F3" s="401"/>
      <c r="G3" s="901" t="s">
        <v>253</v>
      </c>
      <c r="I3" s="30"/>
      <c r="J3" s="70"/>
      <c r="K3" s="70"/>
      <c r="L3" s="92"/>
      <c r="M3" s="30"/>
      <c r="N3" s="450"/>
      <c r="O3" s="460" t="s">
        <v>251</v>
      </c>
      <c r="P3" s="466"/>
      <c r="Q3" s="35" t="s">
        <v>352</v>
      </c>
      <c r="R3" s="473"/>
      <c r="S3" s="765" t="s">
        <v>322</v>
      </c>
      <c r="T3" s="766"/>
      <c r="U3" s="766"/>
      <c r="V3" s="767"/>
      <c r="W3" s="768"/>
      <c r="X3" s="769"/>
      <c r="Y3" s="769"/>
      <c r="Z3" s="194"/>
      <c r="AA3" s="194"/>
      <c r="AB3" s="70"/>
      <c r="AC3" s="70"/>
      <c r="AD3" s="31"/>
      <c r="AE3" s="31"/>
      <c r="AF3" s="31"/>
      <c r="AG3" s="31"/>
      <c r="AH3" s="31"/>
      <c r="AI3" s="31"/>
    </row>
    <row r="4" spans="1:65" ht="18.600000000000001" thickBot="1" x14ac:dyDescent="0.4">
      <c r="A4" s="397"/>
      <c r="B4" s="1125"/>
      <c r="C4" s="31"/>
      <c r="D4" s="30"/>
      <c r="E4" s="151"/>
      <c r="F4" s="401"/>
      <c r="G4" s="901" t="s">
        <v>361</v>
      </c>
      <c r="H4" s="402"/>
      <c r="I4" s="95"/>
      <c r="J4" s="106"/>
      <c r="K4" s="398"/>
      <c r="L4" s="344" t="s">
        <v>238</v>
      </c>
      <c r="M4" s="840"/>
      <c r="N4" s="450"/>
      <c r="O4" s="443">
        <v>2021</v>
      </c>
      <c r="P4" s="843" t="s">
        <v>73</v>
      </c>
      <c r="Q4" s="876" t="s">
        <v>353</v>
      </c>
      <c r="R4" s="460"/>
      <c r="S4" s="770"/>
      <c r="T4" s="751">
        <v>1</v>
      </c>
      <c r="U4" s="756" t="s">
        <v>328</v>
      </c>
      <c r="V4" s="757"/>
      <c r="W4" s="757"/>
      <c r="X4" s="758"/>
      <c r="Y4" s="758"/>
      <c r="Z4" s="758"/>
      <c r="AA4" s="758"/>
      <c r="AB4" s="759"/>
      <c r="AC4" s="70"/>
      <c r="AD4" s="31"/>
      <c r="AE4" s="31"/>
      <c r="AF4" s="31"/>
      <c r="AG4" s="31"/>
      <c r="AH4" s="31"/>
      <c r="AI4" s="31"/>
    </row>
    <row r="5" spans="1:65" x14ac:dyDescent="0.35">
      <c r="A5" s="92"/>
      <c r="B5" s="1126"/>
      <c r="C5" s="672"/>
      <c r="D5" s="405" t="s">
        <v>249</v>
      </c>
      <c r="E5" s="406"/>
      <c r="F5" s="902"/>
      <c r="G5" s="369">
        <v>20</v>
      </c>
      <c r="H5" s="458" t="s">
        <v>87</v>
      </c>
      <c r="I5" s="451"/>
      <c r="J5" s="452"/>
      <c r="K5" s="453"/>
      <c r="L5" s="389" t="s">
        <v>310</v>
      </c>
      <c r="M5" s="841" t="s">
        <v>250</v>
      </c>
      <c r="N5" s="130"/>
      <c r="O5" s="441"/>
      <c r="P5" s="845" t="s">
        <v>2</v>
      </c>
      <c r="Q5" s="110" t="s">
        <v>354</v>
      </c>
      <c r="R5" s="461"/>
      <c r="S5" s="771"/>
      <c r="T5" s="752" t="s">
        <v>320</v>
      </c>
      <c r="U5" s="760"/>
      <c r="V5" s="1128" t="s">
        <v>325</v>
      </c>
      <c r="W5" s="846"/>
      <c r="X5" s="467"/>
      <c r="Y5" s="194"/>
      <c r="Z5" s="847"/>
      <c r="AA5" s="657"/>
      <c r="AB5" s="657"/>
      <c r="AC5" s="31"/>
      <c r="AD5" s="31"/>
      <c r="AE5" s="31"/>
      <c r="AF5" s="31"/>
      <c r="AG5" s="31"/>
      <c r="AH5" s="31"/>
      <c r="AI5" s="31"/>
    </row>
    <row r="6" spans="1:65" ht="75.599999999999994" customHeight="1" thickBot="1" x14ac:dyDescent="0.4">
      <c r="A6" s="565" t="s">
        <v>4</v>
      </c>
      <c r="B6" s="1123" t="s">
        <v>3</v>
      </c>
      <c r="C6" s="400" t="s">
        <v>88</v>
      </c>
      <c r="D6" s="396" t="s">
        <v>90</v>
      </c>
      <c r="E6" s="609" t="s">
        <v>248</v>
      </c>
      <c r="F6" s="391" t="s">
        <v>89</v>
      </c>
      <c r="G6" s="370">
        <v>0.38</v>
      </c>
      <c r="H6" s="454" t="s">
        <v>88</v>
      </c>
      <c r="I6" s="455" t="s">
        <v>90</v>
      </c>
      <c r="J6" s="456" t="s">
        <v>248</v>
      </c>
      <c r="K6" s="457" t="s">
        <v>262</v>
      </c>
      <c r="L6" s="395" t="s">
        <v>131</v>
      </c>
      <c r="M6" s="444" t="s">
        <v>91</v>
      </c>
      <c r="N6" s="838" t="s">
        <v>92</v>
      </c>
      <c r="O6" s="444" t="s">
        <v>93</v>
      </c>
      <c r="P6" s="844" t="s">
        <v>327</v>
      </c>
      <c r="Q6" s="872" t="s">
        <v>355</v>
      </c>
      <c r="R6" s="462" t="s">
        <v>319</v>
      </c>
      <c r="S6" s="772"/>
      <c r="T6" s="753" t="s">
        <v>321</v>
      </c>
      <c r="U6" s="761"/>
      <c r="V6" s="750" t="s">
        <v>184</v>
      </c>
      <c r="W6" s="610" t="s">
        <v>265</v>
      </c>
      <c r="X6" s="611"/>
      <c r="Y6" s="611"/>
      <c r="Z6" s="612"/>
      <c r="AA6" s="611"/>
      <c r="AB6" s="611"/>
      <c r="AC6" s="611"/>
      <c r="AD6" s="31"/>
      <c r="AE6" s="31"/>
      <c r="AF6" s="31"/>
      <c r="AG6" s="31"/>
      <c r="AH6" s="31"/>
      <c r="AI6" s="31"/>
    </row>
    <row r="7" spans="1:65" x14ac:dyDescent="0.35">
      <c r="A7" s="158" t="s">
        <v>10</v>
      </c>
      <c r="B7" s="223">
        <f t="shared" ref="B7:B40" si="0">RANK(V7,V$7:V$71,0)</f>
        <v>39</v>
      </c>
      <c r="C7" s="1218">
        <v>0.8</v>
      </c>
      <c r="D7" s="1221">
        <v>39</v>
      </c>
      <c r="E7" s="1222">
        <v>3</v>
      </c>
      <c r="F7" s="1223">
        <v>8.0500000000000007</v>
      </c>
      <c r="G7" s="1226">
        <f>(F7*G$5)^G$6</f>
        <v>6.8959456965081376</v>
      </c>
      <c r="H7" s="371">
        <f>IF(C7&gt;0.9,-1,IF(C7&lt;0.3,1,0))</f>
        <v>0</v>
      </c>
      <c r="I7" s="136">
        <v>0</v>
      </c>
      <c r="J7" s="372">
        <v>-1</v>
      </c>
      <c r="K7" s="373">
        <f t="shared" ref="K7:K40" si="1">SUM(H7:J7)</f>
        <v>-1</v>
      </c>
      <c r="L7" s="1227">
        <f>MIN(SUM(G7,K7),10)</f>
        <v>5.8959456965081376</v>
      </c>
      <c r="M7" s="1228">
        <f>MAX(MAX(2,ROUND(L7/2,0)*2),4)</f>
        <v>6</v>
      </c>
      <c r="N7" s="778">
        <v>2017</v>
      </c>
      <c r="O7" s="445">
        <f>O$4-N7</f>
        <v>4</v>
      </c>
      <c r="P7" s="1229">
        <f>IF(O7=2,-2,MAX(O7-M7,0))</f>
        <v>0</v>
      </c>
      <c r="Q7" s="1230"/>
      <c r="R7" s="1231"/>
      <c r="S7" s="1232"/>
      <c r="T7" s="371" t="str">
        <f t="shared" ref="T7:T40" si="2">IF(M7&gt;0,IF(M7&lt;=O7,1," ")," ")</f>
        <v xml:space="preserve"> </v>
      </c>
      <c r="U7" s="762">
        <v>-1</v>
      </c>
      <c r="V7" s="468">
        <f t="shared" ref="V7:V40" si="3">SUM(P7:U7)</f>
        <v>-1</v>
      </c>
      <c r="W7" s="40"/>
      <c r="X7" s="31"/>
      <c r="Y7" s="1233"/>
      <c r="Z7" s="31"/>
      <c r="AA7" s="31"/>
      <c r="AB7" s="30"/>
      <c r="AC7" s="30"/>
      <c r="AD7" s="189"/>
      <c r="AE7" s="31"/>
      <c r="AF7" s="31"/>
      <c r="AG7" s="31"/>
      <c r="AH7" s="31"/>
      <c r="AI7" s="31"/>
      <c r="AJ7" s="31"/>
      <c r="AK7" s="31"/>
      <c r="BE7" s="53"/>
      <c r="BF7" s="53"/>
      <c r="BG7" s="53"/>
      <c r="BH7" s="53"/>
      <c r="BI7" s="53"/>
      <c r="BJ7" s="53"/>
      <c r="BK7" s="53"/>
      <c r="BL7" s="53"/>
      <c r="BM7" s="53"/>
    </row>
    <row r="8" spans="1:65" x14ac:dyDescent="0.35">
      <c r="A8" s="208" t="s">
        <v>174</v>
      </c>
      <c r="B8" s="40">
        <f t="shared" si="0"/>
        <v>35</v>
      </c>
      <c r="C8" s="387">
        <v>0.5</v>
      </c>
      <c r="D8" s="744">
        <v>53</v>
      </c>
      <c r="E8" s="733">
        <v>50</v>
      </c>
      <c r="F8" s="676">
        <v>31.13</v>
      </c>
      <c r="G8" s="374">
        <f>(F8*G$5)^G$6</f>
        <v>11.529207728995789</v>
      </c>
      <c r="H8" s="375">
        <f>IF(C8&gt;0.9,-1,IF(C8&lt;0.3,1,0))</f>
        <v>0</v>
      </c>
      <c r="I8" s="138">
        <v>1</v>
      </c>
      <c r="J8" s="376">
        <v>1</v>
      </c>
      <c r="K8" s="377">
        <f t="shared" si="1"/>
        <v>2</v>
      </c>
      <c r="L8" s="680">
        <f>MIN(SUM(G8,K8),10)</f>
        <v>10</v>
      </c>
      <c r="M8" s="445">
        <f>MAX(MAX(2,ROUND(L8/2,0)*2),4)</f>
        <v>10</v>
      </c>
      <c r="N8" s="779">
        <v>2013</v>
      </c>
      <c r="O8" s="445">
        <f>O$4-N8</f>
        <v>8</v>
      </c>
      <c r="P8" s="134">
        <f>IF(O8=2,-2,MAX(O8-M8,0))</f>
        <v>0</v>
      </c>
      <c r="Q8" s="5"/>
      <c r="R8" s="463"/>
      <c r="S8" s="773"/>
      <c r="T8" s="371" t="str">
        <f t="shared" si="2"/>
        <v xml:space="preserve"> </v>
      </c>
      <c r="U8" s="763"/>
      <c r="V8" s="468">
        <f t="shared" si="3"/>
        <v>0</v>
      </c>
      <c r="W8" s="40"/>
      <c r="X8" s="31"/>
      <c r="Y8" s="31"/>
      <c r="Z8" s="31"/>
      <c r="AA8" s="31"/>
      <c r="AB8" s="30"/>
      <c r="AC8" s="30"/>
      <c r="AD8" s="31"/>
      <c r="AE8" s="31"/>
      <c r="AF8" s="31"/>
      <c r="AG8" s="31"/>
      <c r="AH8" s="31"/>
      <c r="AI8" s="31"/>
      <c r="AJ8" s="31"/>
      <c r="AK8" s="31"/>
      <c r="AW8" s="53"/>
      <c r="AX8" s="53"/>
      <c r="BE8" s="53"/>
      <c r="BF8" s="53"/>
      <c r="BG8" s="53"/>
      <c r="BH8" s="53"/>
      <c r="BI8" s="53"/>
      <c r="BJ8" s="53"/>
      <c r="BK8" s="53"/>
      <c r="BL8" s="53"/>
      <c r="BM8" s="53"/>
    </row>
    <row r="9" spans="1:65" x14ac:dyDescent="0.35">
      <c r="A9" s="208" t="s">
        <v>115</v>
      </c>
      <c r="B9" s="40">
        <f t="shared" si="0"/>
        <v>11</v>
      </c>
      <c r="C9" s="47"/>
      <c r="D9" s="745">
        <v>37</v>
      </c>
      <c r="E9" s="733">
        <v>49</v>
      </c>
      <c r="F9" s="673"/>
      <c r="G9" s="383"/>
      <c r="H9" s="384"/>
      <c r="I9" s="138">
        <v>0</v>
      </c>
      <c r="J9" s="376">
        <v>0</v>
      </c>
      <c r="K9" s="377">
        <f t="shared" si="1"/>
        <v>0</v>
      </c>
      <c r="L9" s="674"/>
      <c r="M9" s="842"/>
      <c r="N9" s="779"/>
      <c r="O9" s="445"/>
      <c r="P9" s="837">
        <f>P$2</f>
        <v>4</v>
      </c>
      <c r="Q9" s="873">
        <f>-K9</f>
        <v>0</v>
      </c>
      <c r="R9" s="675"/>
      <c r="S9" s="774"/>
      <c r="T9" s="371" t="str">
        <f t="shared" si="2"/>
        <v xml:space="preserve"> </v>
      </c>
      <c r="U9" s="763">
        <v>-1</v>
      </c>
      <c r="V9" s="777">
        <f t="shared" si="3"/>
        <v>3</v>
      </c>
      <c r="W9" s="4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1:65" x14ac:dyDescent="0.35">
      <c r="A10" s="208" t="s">
        <v>116</v>
      </c>
      <c r="B10" s="40">
        <f t="shared" si="0"/>
        <v>50</v>
      </c>
      <c r="C10" s="678">
        <v>0.3</v>
      </c>
      <c r="D10" s="745">
        <v>35</v>
      </c>
      <c r="E10" s="734">
        <v>16</v>
      </c>
      <c r="F10" s="1224">
        <v>4.3</v>
      </c>
      <c r="G10" s="374">
        <f>(F10*G$5)^G$6</f>
        <v>5.4338720936885707</v>
      </c>
      <c r="H10" s="384"/>
      <c r="I10" s="138">
        <v>0</v>
      </c>
      <c r="J10" s="376">
        <v>-1</v>
      </c>
      <c r="K10" s="377">
        <f t="shared" si="1"/>
        <v>-1</v>
      </c>
      <c r="L10" s="680">
        <f>MIN(SUM(G10,K10),10)</f>
        <v>4.4338720936885707</v>
      </c>
      <c r="M10" s="445">
        <f>MAX(MAX(2,ROUND(L10/2,0)*2),4)</f>
        <v>4</v>
      </c>
      <c r="N10" s="779">
        <v>2019</v>
      </c>
      <c r="O10" s="445">
        <f>O$4-N10</f>
        <v>2</v>
      </c>
      <c r="P10" s="567">
        <v>-2</v>
      </c>
      <c r="Q10" s="488"/>
      <c r="R10" s="675"/>
      <c r="S10" s="774"/>
      <c r="T10" s="371" t="str">
        <f t="shared" si="2"/>
        <v xml:space="preserve"> </v>
      </c>
      <c r="U10" s="763"/>
      <c r="V10" s="468">
        <f t="shared" si="3"/>
        <v>-2</v>
      </c>
      <c r="W10" s="41" t="s">
        <v>259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BB10" s="1" t="s">
        <v>31</v>
      </c>
    </row>
    <row r="11" spans="1:65" x14ac:dyDescent="0.35">
      <c r="A11" s="90" t="s">
        <v>5</v>
      </c>
      <c r="B11" s="40">
        <f t="shared" si="0"/>
        <v>5</v>
      </c>
      <c r="C11" s="684">
        <v>0.5</v>
      </c>
      <c r="D11" s="746">
        <v>2</v>
      </c>
      <c r="E11" s="734">
        <v>10</v>
      </c>
      <c r="F11" s="676">
        <v>8.0101640407231454</v>
      </c>
      <c r="G11" s="374">
        <f>(F11*G$5)^G$6</f>
        <v>6.8829582331996058</v>
      </c>
      <c r="H11" s="375">
        <f>IF(C11&gt;0.9,-1,IF(C11&lt;0.3,1,0))</f>
        <v>0</v>
      </c>
      <c r="I11" s="138">
        <v>-1</v>
      </c>
      <c r="J11" s="376">
        <v>-1</v>
      </c>
      <c r="K11" s="377">
        <f t="shared" si="1"/>
        <v>-2</v>
      </c>
      <c r="L11" s="680">
        <f>MIN(SUM(G11,K11),10)</f>
        <v>4.8829582331996058</v>
      </c>
      <c r="M11" s="445">
        <f>MAX(MAX(2,ROUND(L11/2,0)*2),4)</f>
        <v>4</v>
      </c>
      <c r="N11" s="779">
        <v>2015</v>
      </c>
      <c r="O11" s="445">
        <f>O$4-N11</f>
        <v>6</v>
      </c>
      <c r="P11" s="567">
        <f>IF(O11=2,-2,MAX(O11-M11,0))</f>
        <v>2</v>
      </c>
      <c r="Q11" s="488"/>
      <c r="R11" s="463"/>
      <c r="S11" s="773"/>
      <c r="T11" s="371">
        <f t="shared" si="2"/>
        <v>1</v>
      </c>
      <c r="U11" s="763">
        <v>2</v>
      </c>
      <c r="V11" s="468">
        <f t="shared" si="3"/>
        <v>5</v>
      </c>
      <c r="W11" s="471"/>
      <c r="X11" s="31"/>
      <c r="Y11" s="577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65" x14ac:dyDescent="0.35">
      <c r="A12" s="208" t="s">
        <v>175</v>
      </c>
      <c r="B12" s="470">
        <f t="shared" si="0"/>
        <v>39</v>
      </c>
      <c r="C12" s="387">
        <v>0.5</v>
      </c>
      <c r="D12" s="744">
        <v>43</v>
      </c>
      <c r="E12" s="733">
        <v>44</v>
      </c>
      <c r="F12" s="681">
        <v>30.184000000000001</v>
      </c>
      <c r="G12" s="374">
        <f>(F12*G$5)^G$6</f>
        <v>11.394796654215606</v>
      </c>
      <c r="H12" s="375">
        <f>IF(C12&gt;0.9,-1,IF(C12&lt;0.3,1,0))</f>
        <v>0</v>
      </c>
      <c r="I12" s="138">
        <v>1</v>
      </c>
      <c r="J12" s="376">
        <v>1</v>
      </c>
      <c r="K12" s="377">
        <f t="shared" si="1"/>
        <v>2</v>
      </c>
      <c r="L12" s="680">
        <f>MIN(SUM(G12,K12),10)</f>
        <v>10</v>
      </c>
      <c r="M12" s="445">
        <f>MAX(MAX(2,ROUND(L12/2,0)*2),4)</f>
        <v>10</v>
      </c>
      <c r="N12" s="779">
        <v>2017</v>
      </c>
      <c r="O12" s="445">
        <f>O$4-N12</f>
        <v>4</v>
      </c>
      <c r="P12" s="567">
        <f>IF(O12=2,-2,MAX(O12-M12,0))</f>
        <v>0</v>
      </c>
      <c r="Q12" s="488"/>
      <c r="R12" s="463"/>
      <c r="S12" s="773">
        <f>IF(O12&lt;6,-1,0)</f>
        <v>-1</v>
      </c>
      <c r="T12" s="371" t="str">
        <f t="shared" si="2"/>
        <v xml:space="preserve"> </v>
      </c>
      <c r="U12" s="763"/>
      <c r="V12" s="468">
        <f t="shared" si="3"/>
        <v>-1</v>
      </c>
      <c r="W12" s="472" t="s">
        <v>259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65" x14ac:dyDescent="0.35">
      <c r="A13" s="208" t="s">
        <v>292</v>
      </c>
      <c r="B13" s="470">
        <f t="shared" si="0"/>
        <v>39</v>
      </c>
      <c r="C13" s="387">
        <v>0.5</v>
      </c>
      <c r="D13" s="745">
        <v>21</v>
      </c>
      <c r="E13" s="735">
        <v>28</v>
      </c>
      <c r="F13" s="681">
        <v>10.57</v>
      </c>
      <c r="G13" s="374">
        <f>(F13*G$5)^G$6</f>
        <v>7.6478593710668585</v>
      </c>
      <c r="H13" s="375">
        <f>IF(C13&gt;0.9,-1,IF(C13&lt;0.3,1,0))</f>
        <v>0</v>
      </c>
      <c r="I13" s="138">
        <v>0</v>
      </c>
      <c r="J13" s="376">
        <v>0</v>
      </c>
      <c r="K13" s="377">
        <f t="shared" si="1"/>
        <v>0</v>
      </c>
      <c r="L13" s="680">
        <f>MIN(SUM(G13,K13),10)</f>
        <v>7.6478593710668585</v>
      </c>
      <c r="M13" s="445">
        <f>MAX(MAX(2,ROUND(L13/2,0)*2),4)</f>
        <v>8</v>
      </c>
      <c r="N13" s="779">
        <v>2017</v>
      </c>
      <c r="O13" s="445">
        <f>O$4-N13</f>
        <v>4</v>
      </c>
      <c r="P13" s="567">
        <f>IF(O13=2,-2,MAX(O13-M13,0))</f>
        <v>0</v>
      </c>
      <c r="Q13" s="488"/>
      <c r="R13" s="463"/>
      <c r="S13" s="773">
        <f>IF(O13&lt;6,-1,0)</f>
        <v>-1</v>
      </c>
      <c r="T13" s="371" t="str">
        <f t="shared" si="2"/>
        <v xml:space="preserve"> </v>
      </c>
      <c r="U13" s="763"/>
      <c r="V13" s="468">
        <f t="shared" si="3"/>
        <v>-1</v>
      </c>
      <c r="W13" s="472" t="s">
        <v>259</v>
      </c>
      <c r="X13" s="70"/>
      <c r="Y13" s="70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65" x14ac:dyDescent="0.35">
      <c r="A14" s="90" t="s">
        <v>104</v>
      </c>
      <c r="B14" s="470">
        <f t="shared" si="0"/>
        <v>35</v>
      </c>
      <c r="C14" s="387">
        <v>1</v>
      </c>
      <c r="D14" s="746">
        <v>14</v>
      </c>
      <c r="E14" s="734">
        <v>11</v>
      </c>
      <c r="F14" s="681">
        <v>2.97</v>
      </c>
      <c r="G14" s="383">
        <f>(F14*G$5)^G$6</f>
        <v>4.7210527076906148</v>
      </c>
      <c r="H14" s="375">
        <f>IF(C14&gt;0.9,-1,IF(C14&lt;0.3,1,0))</f>
        <v>-1</v>
      </c>
      <c r="I14" s="138">
        <v>-1</v>
      </c>
      <c r="J14" s="376">
        <v>-1</v>
      </c>
      <c r="K14" s="377">
        <f t="shared" si="1"/>
        <v>-3</v>
      </c>
      <c r="L14" s="680">
        <f>MIN(SUM(G14,K14),10)</f>
        <v>1.7210527076906148</v>
      </c>
      <c r="M14" s="445">
        <f>MAX(MAX(2,ROUND(L14/2,0)*2),4)</f>
        <v>4</v>
      </c>
      <c r="N14" s="779">
        <v>2017</v>
      </c>
      <c r="O14" s="445">
        <f>O$4-N14</f>
        <v>4</v>
      </c>
      <c r="P14" s="567">
        <f>IF(O14=2,-2,MAX(O14-M14,0))</f>
        <v>0</v>
      </c>
      <c r="Q14" s="488"/>
      <c r="R14" s="463"/>
      <c r="S14" s="773">
        <f>IF(O14&lt;6,-1,0)</f>
        <v>-1</v>
      </c>
      <c r="T14" s="371">
        <f t="shared" si="2"/>
        <v>1</v>
      </c>
      <c r="U14" s="763"/>
      <c r="V14" s="468">
        <f t="shared" si="3"/>
        <v>0</v>
      </c>
      <c r="W14" s="472" t="s">
        <v>259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65" x14ac:dyDescent="0.35">
      <c r="A15" s="208" t="s">
        <v>117</v>
      </c>
      <c r="B15" s="470">
        <f t="shared" si="0"/>
        <v>2</v>
      </c>
      <c r="C15" s="47"/>
      <c r="D15" s="746">
        <v>13</v>
      </c>
      <c r="E15" s="735">
        <v>36</v>
      </c>
      <c r="F15" s="682"/>
      <c r="G15" s="383"/>
      <c r="H15" s="375"/>
      <c r="I15" s="138">
        <v>-1</v>
      </c>
      <c r="J15" s="376">
        <v>0</v>
      </c>
      <c r="K15" s="377">
        <f t="shared" si="1"/>
        <v>-1</v>
      </c>
      <c r="L15" s="674"/>
      <c r="M15" s="842"/>
      <c r="N15" s="779"/>
      <c r="O15" s="445"/>
      <c r="P15" s="837">
        <f>P$2</f>
        <v>4</v>
      </c>
      <c r="Q15" s="873">
        <f>-K15</f>
        <v>1</v>
      </c>
      <c r="R15" s="675"/>
      <c r="S15" s="774"/>
      <c r="T15" s="371" t="str">
        <f t="shared" si="2"/>
        <v xml:space="preserve"> </v>
      </c>
      <c r="U15" s="763">
        <v>1</v>
      </c>
      <c r="V15" s="777">
        <f t="shared" si="3"/>
        <v>6</v>
      </c>
      <c r="W15" s="469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W15" s="53"/>
      <c r="AX15" s="53"/>
    </row>
    <row r="16" spans="1:65" x14ac:dyDescent="0.35">
      <c r="A16" s="208" t="s">
        <v>9</v>
      </c>
      <c r="B16" s="470">
        <f t="shared" si="0"/>
        <v>50</v>
      </c>
      <c r="C16" s="387">
        <v>0.5</v>
      </c>
      <c r="D16" s="746">
        <v>17</v>
      </c>
      <c r="E16" s="734">
        <v>20</v>
      </c>
      <c r="F16" s="681">
        <v>5.2</v>
      </c>
      <c r="G16" s="374">
        <f>(F16*G$5)^G$6</f>
        <v>5.8408044852337113</v>
      </c>
      <c r="H16" s="375">
        <f>IF(C16&gt;0.9,-1,IF(C16&lt;0.3,1,0))</f>
        <v>0</v>
      </c>
      <c r="I16" s="138">
        <v>-1</v>
      </c>
      <c r="J16" s="376">
        <v>-1</v>
      </c>
      <c r="K16" s="377">
        <f t="shared" si="1"/>
        <v>-2</v>
      </c>
      <c r="L16" s="677">
        <f>MIN(SUM(G16,K16),10)</f>
        <v>3.8408044852337113</v>
      </c>
      <c r="M16" s="445">
        <f>MAX(MAX(2,ROUND(L16/2,0)*2),4)</f>
        <v>4</v>
      </c>
      <c r="N16" s="779">
        <v>2019</v>
      </c>
      <c r="O16" s="445">
        <f t="shared" ref="O16:O26" si="4">O$4-N16</f>
        <v>2</v>
      </c>
      <c r="P16" s="567">
        <v>-2</v>
      </c>
      <c r="Q16" s="488"/>
      <c r="R16" s="463"/>
      <c r="S16" s="773"/>
      <c r="T16" s="371" t="str">
        <f t="shared" si="2"/>
        <v xml:space="preserve"> </v>
      </c>
      <c r="U16" s="763"/>
      <c r="V16" s="468">
        <f t="shared" si="3"/>
        <v>-2</v>
      </c>
      <c r="W16" s="469"/>
      <c r="X16" s="31"/>
      <c r="Y16" s="31"/>
      <c r="Z16" s="31"/>
      <c r="AA16" s="31"/>
      <c r="AB16" s="30"/>
      <c r="AC16" s="30"/>
      <c r="AD16" s="31"/>
      <c r="AE16" s="31"/>
      <c r="AF16" s="31"/>
      <c r="AG16" s="31"/>
      <c r="AH16" s="31"/>
      <c r="AI16" s="31"/>
      <c r="AJ16" s="31"/>
      <c r="AK16" s="31"/>
    </row>
    <row r="17" spans="1:65" x14ac:dyDescent="0.35">
      <c r="A17" s="90" t="s">
        <v>99</v>
      </c>
      <c r="B17" s="470">
        <f t="shared" si="0"/>
        <v>39</v>
      </c>
      <c r="C17" s="387">
        <v>0.6</v>
      </c>
      <c r="D17" s="745">
        <v>30</v>
      </c>
      <c r="E17" s="734">
        <v>14</v>
      </c>
      <c r="F17" s="681">
        <v>8.2409999999999997</v>
      </c>
      <c r="G17" s="374">
        <f>(F17*G$5)^G$6</f>
        <v>6.9576690270675234</v>
      </c>
      <c r="H17" s="375">
        <f>IF(C17&gt;0.9,-1,IF(C17&lt;0.3,1,0))</f>
        <v>0</v>
      </c>
      <c r="I17" s="138">
        <v>0</v>
      </c>
      <c r="J17" s="376">
        <v>-1</v>
      </c>
      <c r="K17" s="377">
        <f t="shared" si="1"/>
        <v>-1</v>
      </c>
      <c r="L17" s="680">
        <f>MIN(SUM(G17,K17),10)</f>
        <v>5.9576690270675234</v>
      </c>
      <c r="M17" s="445">
        <f>MAX(MAX(2,ROUND(L17/2,0)*2),4)</f>
        <v>6</v>
      </c>
      <c r="N17" s="779">
        <v>2017</v>
      </c>
      <c r="O17" s="445">
        <f t="shared" si="4"/>
        <v>4</v>
      </c>
      <c r="P17" s="567">
        <f>IF(O17=2,-2,MAX(O17-M17,0))</f>
        <v>0</v>
      </c>
      <c r="Q17" s="488"/>
      <c r="R17" s="463"/>
      <c r="S17" s="773">
        <f>IF(O17&lt;6,-1,0)</f>
        <v>-1</v>
      </c>
      <c r="T17" s="371" t="str">
        <f t="shared" si="2"/>
        <v xml:space="preserve"> </v>
      </c>
      <c r="U17" s="763"/>
      <c r="V17" s="468">
        <f t="shared" si="3"/>
        <v>-1</v>
      </c>
      <c r="W17" s="472" t="s">
        <v>259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BE17" s="53"/>
      <c r="BF17" s="53"/>
      <c r="BG17" s="53"/>
      <c r="BH17" s="53"/>
      <c r="BI17" s="53"/>
      <c r="BJ17" s="53"/>
      <c r="BK17" s="53"/>
      <c r="BL17" s="53"/>
      <c r="BM17" s="53"/>
    </row>
    <row r="18" spans="1:65" x14ac:dyDescent="0.35">
      <c r="A18" s="90" t="s">
        <v>14</v>
      </c>
      <c r="B18" s="470">
        <f t="shared" si="0"/>
        <v>32</v>
      </c>
      <c r="C18" s="387">
        <v>0.5</v>
      </c>
      <c r="D18" s="746">
        <v>8</v>
      </c>
      <c r="E18" s="735">
        <v>27</v>
      </c>
      <c r="F18" s="681">
        <v>10.148</v>
      </c>
      <c r="G18" s="374">
        <f>(F18*G$5)^G$6</f>
        <v>7.5303640541710823</v>
      </c>
      <c r="H18" s="375">
        <f>IF(C18&gt;0.9,-1,IF(C18&lt;0.3,1,0))</f>
        <v>0</v>
      </c>
      <c r="I18" s="138">
        <v>-1</v>
      </c>
      <c r="J18" s="376">
        <v>0</v>
      </c>
      <c r="K18" s="377">
        <f t="shared" si="1"/>
        <v>-1</v>
      </c>
      <c r="L18" s="680">
        <f>MIN(SUM(G18,K18),10)</f>
        <v>6.5303640541710823</v>
      </c>
      <c r="M18" s="445">
        <f>MAX(MAX(2,ROUND(L18/2,0)*2),4)</f>
        <v>6</v>
      </c>
      <c r="N18" s="779">
        <v>2015</v>
      </c>
      <c r="O18" s="445">
        <f t="shared" si="4"/>
        <v>6</v>
      </c>
      <c r="P18" s="567">
        <f>IF(O18=2,-2,MAX(O18-M18,0))</f>
        <v>0</v>
      </c>
      <c r="Q18" s="488"/>
      <c r="R18" s="463"/>
      <c r="S18" s="773"/>
      <c r="T18" s="371">
        <f t="shared" si="2"/>
        <v>1</v>
      </c>
      <c r="U18" s="763"/>
      <c r="V18" s="468">
        <f t="shared" si="3"/>
        <v>1</v>
      </c>
      <c r="W18" s="469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W18" s="53"/>
      <c r="AX18" s="53"/>
    </row>
    <row r="19" spans="1:65" x14ac:dyDescent="0.35">
      <c r="A19" s="90" t="s">
        <v>109</v>
      </c>
      <c r="B19" s="470">
        <f t="shared" si="0"/>
        <v>35</v>
      </c>
      <c r="C19" s="387">
        <v>1</v>
      </c>
      <c r="D19" s="745">
        <v>23</v>
      </c>
      <c r="E19" s="734">
        <v>9</v>
      </c>
      <c r="F19" s="681">
        <v>9.1489999999999991</v>
      </c>
      <c r="G19" s="374">
        <f>(F19*G$5)^G$6</f>
        <v>7.23958008752893</v>
      </c>
      <c r="H19" s="375">
        <f>IF(C19&gt;0.9,-1,IF(C19&lt;0.3,1,0))</f>
        <v>-1</v>
      </c>
      <c r="I19" s="138">
        <v>0</v>
      </c>
      <c r="J19" s="376">
        <v>-1</v>
      </c>
      <c r="K19" s="377">
        <f t="shared" si="1"/>
        <v>-2</v>
      </c>
      <c r="L19" s="680">
        <f>MIN(SUM(G19,K19),10)</f>
        <v>5.23958008752893</v>
      </c>
      <c r="M19" s="445">
        <f>MAX(MAX(2,ROUND(L19/2,0)*2),4)</f>
        <v>6</v>
      </c>
      <c r="N19" s="779">
        <v>2015</v>
      </c>
      <c r="O19" s="445">
        <f t="shared" si="4"/>
        <v>6</v>
      </c>
      <c r="P19" s="567">
        <f>IF(O19=2,-2,MAX(O19-M19,0))</f>
        <v>0</v>
      </c>
      <c r="Q19" s="488"/>
      <c r="R19" s="463"/>
      <c r="S19" s="773"/>
      <c r="T19" s="371">
        <f t="shared" si="2"/>
        <v>1</v>
      </c>
      <c r="U19" s="763">
        <v>-1</v>
      </c>
      <c r="V19" s="468">
        <f t="shared" si="3"/>
        <v>0</v>
      </c>
      <c r="W19" s="472" t="s">
        <v>259</v>
      </c>
      <c r="X19" s="189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W19" s="53"/>
      <c r="AX19" s="53"/>
      <c r="BE19" s="53"/>
      <c r="BF19" s="53"/>
      <c r="BG19" s="53"/>
      <c r="BH19" s="53"/>
      <c r="BI19" s="53"/>
      <c r="BJ19" s="53"/>
      <c r="BK19" s="53"/>
      <c r="BL19" s="53"/>
      <c r="BM19" s="53"/>
    </row>
    <row r="20" spans="1:65" x14ac:dyDescent="0.35">
      <c r="A20" s="208" t="s">
        <v>112</v>
      </c>
      <c r="B20" s="470">
        <f t="shared" si="0"/>
        <v>35</v>
      </c>
      <c r="C20" s="387">
        <v>0.5</v>
      </c>
      <c r="D20" s="745">
        <v>24</v>
      </c>
      <c r="E20" s="735">
        <v>35</v>
      </c>
      <c r="F20" s="685">
        <v>19.345702808070904</v>
      </c>
      <c r="G20" s="374">
        <f>(F20*G$5)^G$6</f>
        <v>9.6226239242107461</v>
      </c>
      <c r="H20" s="375">
        <f>IF(C20&gt;0.9,-1,IF(C20&lt;0.3,1,0))</f>
        <v>0</v>
      </c>
      <c r="I20" s="138">
        <v>0</v>
      </c>
      <c r="J20" s="376">
        <v>0</v>
      </c>
      <c r="K20" s="377">
        <f t="shared" si="1"/>
        <v>0</v>
      </c>
      <c r="L20" s="680">
        <f>MIN(SUM(G20,K20),10)</f>
        <v>9.6226239242107461</v>
      </c>
      <c r="M20" s="445">
        <f>MAX(MAX(2,ROUND(L20/2,0)*2),4)</f>
        <v>10</v>
      </c>
      <c r="N20" s="779">
        <v>2015</v>
      </c>
      <c r="O20" s="445">
        <f t="shared" si="4"/>
        <v>6</v>
      </c>
      <c r="P20" s="567">
        <f>IF(O20=2,-2,MAX(O20-M20,0))</f>
        <v>0</v>
      </c>
      <c r="Q20" s="488"/>
      <c r="R20" s="463"/>
      <c r="S20" s="773"/>
      <c r="T20" s="371" t="str">
        <f t="shared" si="2"/>
        <v xml:space="preserve"> </v>
      </c>
      <c r="U20" s="763"/>
      <c r="V20" s="468">
        <f t="shared" si="3"/>
        <v>0</v>
      </c>
      <c r="W20" s="469"/>
      <c r="X20" s="70"/>
      <c r="Y20" s="70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65" x14ac:dyDescent="0.35">
      <c r="A21" s="208" t="s">
        <v>118</v>
      </c>
      <c r="B21" s="470">
        <f t="shared" si="0"/>
        <v>1</v>
      </c>
      <c r="C21" s="47"/>
      <c r="D21" s="746">
        <v>11</v>
      </c>
      <c r="E21" s="735">
        <v>32</v>
      </c>
      <c r="F21" s="682"/>
      <c r="G21" s="383"/>
      <c r="H21" s="375"/>
      <c r="I21" s="138">
        <v>-1</v>
      </c>
      <c r="J21" s="376">
        <v>0</v>
      </c>
      <c r="K21" s="377">
        <f t="shared" si="1"/>
        <v>-1</v>
      </c>
      <c r="L21" s="674"/>
      <c r="M21" s="842"/>
      <c r="N21" s="779">
        <v>2021</v>
      </c>
      <c r="O21" s="445">
        <f t="shared" si="4"/>
        <v>0</v>
      </c>
      <c r="P21" s="837">
        <f>P$2</f>
        <v>4</v>
      </c>
      <c r="Q21" s="873">
        <f>-K21</f>
        <v>1</v>
      </c>
      <c r="R21" s="675"/>
      <c r="S21" s="774"/>
      <c r="T21" s="371" t="str">
        <f t="shared" si="2"/>
        <v xml:space="preserve"> </v>
      </c>
      <c r="U21" s="763">
        <v>2</v>
      </c>
      <c r="V21" s="777">
        <f t="shared" si="3"/>
        <v>7</v>
      </c>
      <c r="W21" s="469"/>
      <c r="X21" s="449"/>
      <c r="Y21" s="1234"/>
      <c r="Z21" s="128"/>
      <c r="AA21" s="128"/>
      <c r="AB21" s="128"/>
      <c r="AC21" s="128"/>
      <c r="AD21" s="31"/>
      <c r="AE21" s="31"/>
      <c r="AF21" s="31"/>
      <c r="AG21" s="31"/>
      <c r="AH21" s="128"/>
      <c r="AI21" s="128"/>
      <c r="AJ21" s="128"/>
      <c r="AK21" s="128"/>
      <c r="AL21" s="82"/>
      <c r="AM21" s="82"/>
      <c r="AN21" s="82"/>
      <c r="AO21" s="82"/>
      <c r="AP21" s="101"/>
      <c r="AQ21" s="101"/>
      <c r="AR21" s="101"/>
      <c r="AS21" s="101"/>
      <c r="AT21" s="101"/>
      <c r="AU21" s="101"/>
      <c r="AV21" s="101"/>
      <c r="AY21" s="101"/>
      <c r="AZ21" s="101"/>
      <c r="BA21" s="101"/>
      <c r="BB21" s="101"/>
      <c r="BC21" s="101"/>
      <c r="BD21" s="101"/>
    </row>
    <row r="22" spans="1:65" x14ac:dyDescent="0.35">
      <c r="A22" s="90" t="s">
        <v>102</v>
      </c>
      <c r="B22" s="470">
        <f t="shared" si="0"/>
        <v>55</v>
      </c>
      <c r="C22" s="47"/>
      <c r="D22" s="745">
        <v>33</v>
      </c>
      <c r="E22" s="733">
        <v>46</v>
      </c>
      <c r="F22" s="679">
        <v>14.2</v>
      </c>
      <c r="G22" s="374">
        <f>(F22*G$5)^G$6</f>
        <v>8.555806801550375</v>
      </c>
      <c r="H22" s="375"/>
      <c r="I22" s="138">
        <v>0</v>
      </c>
      <c r="J22" s="376">
        <v>1</v>
      </c>
      <c r="K22" s="377">
        <f t="shared" si="1"/>
        <v>1</v>
      </c>
      <c r="L22" s="680">
        <f>MIN(SUM(G22,K22),10)</f>
        <v>9.555806801550375</v>
      </c>
      <c r="M22" s="445">
        <f>MAX(MAX(2,ROUND(L22/2,0)*2),4)</f>
        <v>10</v>
      </c>
      <c r="N22" s="779">
        <v>2019</v>
      </c>
      <c r="O22" s="445">
        <f t="shared" si="4"/>
        <v>2</v>
      </c>
      <c r="P22" s="567">
        <v>-2</v>
      </c>
      <c r="Q22" s="488"/>
      <c r="R22" s="675" t="str">
        <f t="shared" ref="R22:R71" si="5">IF(O22&gt;=10,1," ")</f>
        <v xml:space="preserve"> </v>
      </c>
      <c r="S22" s="774"/>
      <c r="T22" s="371" t="str">
        <f t="shared" si="2"/>
        <v xml:space="preserve"> </v>
      </c>
      <c r="U22" s="763">
        <v>-1</v>
      </c>
      <c r="V22" s="468">
        <f t="shared" si="3"/>
        <v>-3</v>
      </c>
      <c r="W22" s="1127" t="s">
        <v>259</v>
      </c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Y22" s="82"/>
      <c r="AZ22" s="82"/>
      <c r="BA22" s="82"/>
      <c r="BB22" s="82"/>
      <c r="BC22" s="82"/>
      <c r="BD22" s="82"/>
      <c r="BE22" s="53"/>
      <c r="BF22" s="53"/>
      <c r="BG22" s="53"/>
      <c r="BH22" s="53"/>
      <c r="BI22" s="53"/>
      <c r="BJ22" s="53"/>
      <c r="BK22" s="53"/>
      <c r="BL22" s="53"/>
      <c r="BM22" s="53"/>
    </row>
    <row r="23" spans="1:65" x14ac:dyDescent="0.35">
      <c r="A23" s="90" t="s">
        <v>22</v>
      </c>
      <c r="B23" s="470">
        <f t="shared" si="0"/>
        <v>35</v>
      </c>
      <c r="C23" s="47"/>
      <c r="D23" s="745"/>
      <c r="E23" s="733"/>
      <c r="F23" s="679"/>
      <c r="G23" s="374"/>
      <c r="H23" s="375"/>
      <c r="I23" s="138"/>
      <c r="J23" s="376"/>
      <c r="K23" s="377"/>
      <c r="L23" s="680"/>
      <c r="M23" s="445"/>
      <c r="N23" s="779"/>
      <c r="O23" s="445"/>
      <c r="P23" s="567"/>
      <c r="Q23" s="488"/>
      <c r="R23" s="675"/>
      <c r="S23" s="774"/>
      <c r="T23" s="371"/>
      <c r="U23" s="763"/>
      <c r="V23" s="468"/>
      <c r="W23" s="1127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Y23" s="82"/>
      <c r="AZ23" s="82"/>
      <c r="BA23" s="82"/>
      <c r="BB23" s="82"/>
      <c r="BC23" s="82"/>
      <c r="BD23" s="82"/>
      <c r="BE23" s="53"/>
      <c r="BF23" s="53"/>
      <c r="BG23" s="53"/>
      <c r="BH23" s="53"/>
      <c r="BI23" s="53"/>
      <c r="BJ23" s="53"/>
      <c r="BK23" s="53"/>
      <c r="BL23" s="53"/>
      <c r="BM23" s="53"/>
    </row>
    <row r="24" spans="1:65" x14ac:dyDescent="0.35">
      <c r="A24" s="90" t="s">
        <v>13</v>
      </c>
      <c r="B24" s="470">
        <f t="shared" si="0"/>
        <v>39</v>
      </c>
      <c r="C24" s="387">
        <v>0.75</v>
      </c>
      <c r="D24" s="745">
        <v>32</v>
      </c>
      <c r="E24" s="735">
        <v>31</v>
      </c>
      <c r="F24" s="681">
        <v>9.3610000000000007</v>
      </c>
      <c r="G24" s="374">
        <f>(F24*G$5)^G$6</f>
        <v>7.3028747387080593</v>
      </c>
      <c r="H24" s="375">
        <f>IF(C24&gt;0.9,-1,IF(C24&lt;0.3,1,0))</f>
        <v>0</v>
      </c>
      <c r="I24" s="138">
        <v>0</v>
      </c>
      <c r="J24" s="376">
        <v>0</v>
      </c>
      <c r="K24" s="377">
        <f t="shared" si="1"/>
        <v>0</v>
      </c>
      <c r="L24" s="680">
        <f>MIN(SUM(G24,K24),10)</f>
        <v>7.3028747387080593</v>
      </c>
      <c r="M24" s="445">
        <f>MAX(MAX(2,ROUND(L24/2,0)*2),4)</f>
        <v>8</v>
      </c>
      <c r="N24" s="779">
        <v>2017</v>
      </c>
      <c r="O24" s="445">
        <f t="shared" si="4"/>
        <v>4</v>
      </c>
      <c r="P24" s="567">
        <f>IF(O24=2,-2,MAX(O24-M24,0))</f>
        <v>0</v>
      </c>
      <c r="Q24" s="488"/>
      <c r="R24" s="463" t="str">
        <f t="shared" si="5"/>
        <v xml:space="preserve"> </v>
      </c>
      <c r="S24" s="773">
        <f>IF(O24&lt;6,-1,0)</f>
        <v>-1</v>
      </c>
      <c r="T24" s="371" t="str">
        <f t="shared" si="2"/>
        <v xml:space="preserve"> </v>
      </c>
      <c r="U24" s="763"/>
      <c r="V24" s="468">
        <f t="shared" si="3"/>
        <v>-1</v>
      </c>
      <c r="W24" s="472" t="s">
        <v>259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P24" s="53"/>
      <c r="AQ24" s="53"/>
      <c r="AR24" s="53"/>
      <c r="AS24" s="53"/>
      <c r="AT24" s="53"/>
      <c r="AU24" s="53"/>
      <c r="AV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</row>
    <row r="25" spans="1:65" x14ac:dyDescent="0.35">
      <c r="A25" s="90" t="s">
        <v>6</v>
      </c>
      <c r="B25" s="470">
        <f t="shared" si="0"/>
        <v>39</v>
      </c>
      <c r="C25" s="387">
        <v>0.35</v>
      </c>
      <c r="D25" s="746">
        <v>7</v>
      </c>
      <c r="E25" s="734">
        <v>8</v>
      </c>
      <c r="F25" s="681">
        <v>13.71</v>
      </c>
      <c r="G25" s="374">
        <f>(F25*G$5)^G$6</f>
        <v>8.4423942856282324</v>
      </c>
      <c r="H25" s="375">
        <f>IF(C25&gt;0.9,-1,IF(C25&lt;0.3,1,0))</f>
        <v>0</v>
      </c>
      <c r="I25" s="138">
        <v>-1</v>
      </c>
      <c r="J25" s="376">
        <v>-1</v>
      </c>
      <c r="K25" s="377">
        <f t="shared" si="1"/>
        <v>-2</v>
      </c>
      <c r="L25" s="677">
        <f>MIN(SUM(G25,K25),10)</f>
        <v>6.4423942856282324</v>
      </c>
      <c r="M25" s="445">
        <f>MAX(MAX(2,ROUND(L25/2,0)*2),4)</f>
        <v>6</v>
      </c>
      <c r="N25" s="779">
        <v>2021</v>
      </c>
      <c r="O25" s="445">
        <f t="shared" si="4"/>
        <v>0</v>
      </c>
      <c r="P25" s="567">
        <f>IF(O25=2,-2,MAX(O25-M25,0))</f>
        <v>0</v>
      </c>
      <c r="Q25" s="488"/>
      <c r="R25" s="463" t="str">
        <f t="shared" si="5"/>
        <v xml:space="preserve"> </v>
      </c>
      <c r="S25" s="773"/>
      <c r="T25" s="371" t="str">
        <f t="shared" si="2"/>
        <v xml:space="preserve"> </v>
      </c>
      <c r="U25" s="763">
        <v>-1</v>
      </c>
      <c r="V25" s="468">
        <f t="shared" si="3"/>
        <v>-1</v>
      </c>
      <c r="W25" s="1127" t="s">
        <v>259</v>
      </c>
      <c r="X25" s="189"/>
      <c r="Y25" s="31"/>
      <c r="Z25" s="31"/>
      <c r="AA25" s="31"/>
      <c r="AB25" s="31"/>
      <c r="AC25" s="31"/>
      <c r="AD25" s="31"/>
      <c r="AE25" s="31"/>
      <c r="AF25" s="70"/>
      <c r="AG25" s="31"/>
      <c r="AH25" s="31"/>
      <c r="AI25" s="31"/>
      <c r="AJ25" s="31"/>
      <c r="AK25" s="31"/>
      <c r="AP25" s="53"/>
      <c r="AQ25" s="53"/>
      <c r="AR25" s="53"/>
      <c r="AS25" s="53"/>
      <c r="AT25" s="53"/>
      <c r="AU25" s="53"/>
      <c r="AV25" s="53"/>
      <c r="AY25" s="53"/>
      <c r="AZ25" s="53"/>
      <c r="BA25" s="53"/>
      <c r="BB25" s="53"/>
      <c r="BC25" s="53"/>
      <c r="BD25" s="53"/>
    </row>
    <row r="26" spans="1:65" x14ac:dyDescent="0.35">
      <c r="A26" s="90" t="s">
        <v>16</v>
      </c>
      <c r="B26" s="470">
        <f t="shared" si="0"/>
        <v>21</v>
      </c>
      <c r="C26" s="387">
        <v>0.8</v>
      </c>
      <c r="D26" s="745">
        <v>29</v>
      </c>
      <c r="E26" s="734">
        <v>18</v>
      </c>
      <c r="F26" s="681">
        <v>7.14</v>
      </c>
      <c r="G26" s="374">
        <f>(F26*G$5)^G$6</f>
        <v>6.5886542646874489</v>
      </c>
      <c r="H26" s="375">
        <f>IF(C26&gt;0.9,-1,IF(C26&lt;0.3,1,0))</f>
        <v>0</v>
      </c>
      <c r="I26" s="138">
        <v>0</v>
      </c>
      <c r="J26" s="376">
        <v>-1</v>
      </c>
      <c r="K26" s="377">
        <f t="shared" si="1"/>
        <v>-1</v>
      </c>
      <c r="L26" s="680">
        <f>MIN(SUM(G26,K26),10)</f>
        <v>5.5886542646874489</v>
      </c>
      <c r="M26" s="445">
        <f>MAX(MAX(2,ROUND(L26/2,0)*2),4)</f>
        <v>6</v>
      </c>
      <c r="N26" s="779">
        <v>2013</v>
      </c>
      <c r="O26" s="445">
        <f t="shared" si="4"/>
        <v>8</v>
      </c>
      <c r="P26" s="567">
        <f>IF(O26=2,-2,MAX(O26-M26,0))</f>
        <v>2</v>
      </c>
      <c r="Q26" s="488"/>
      <c r="R26" s="463" t="str">
        <f t="shared" si="5"/>
        <v xml:space="preserve"> </v>
      </c>
      <c r="S26" s="773"/>
      <c r="T26" s="371">
        <f t="shared" si="2"/>
        <v>1</v>
      </c>
      <c r="U26" s="763">
        <v>-1</v>
      </c>
      <c r="V26" s="468">
        <f t="shared" si="3"/>
        <v>2</v>
      </c>
      <c r="W26" s="469"/>
      <c r="X26" s="189"/>
      <c r="Y26" s="31"/>
      <c r="Z26" s="31"/>
      <c r="AA26" s="31"/>
      <c r="AB26" s="31"/>
      <c r="AC26" s="31"/>
      <c r="AD26" s="31"/>
      <c r="AE26" s="31"/>
      <c r="AF26" s="70"/>
      <c r="AG26" s="31"/>
      <c r="AH26" s="31"/>
      <c r="AI26" s="31"/>
      <c r="AJ26" s="31"/>
      <c r="AK26" s="31"/>
      <c r="AP26" s="53"/>
      <c r="AQ26" s="53"/>
      <c r="AR26" s="53"/>
      <c r="AS26" s="53"/>
      <c r="AT26" s="53"/>
      <c r="AU26" s="53"/>
      <c r="AV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</row>
    <row r="27" spans="1:65" x14ac:dyDescent="0.35">
      <c r="A27" s="208" t="s">
        <v>119</v>
      </c>
      <c r="B27" s="470">
        <f t="shared" si="0"/>
        <v>21</v>
      </c>
      <c r="C27" s="47"/>
      <c r="D27" s="744">
        <v>51</v>
      </c>
      <c r="E27" s="733">
        <v>41</v>
      </c>
      <c r="F27" s="682"/>
      <c r="G27" s="383"/>
      <c r="H27" s="384"/>
      <c r="I27" s="138">
        <v>1</v>
      </c>
      <c r="J27" s="376">
        <v>1</v>
      </c>
      <c r="K27" s="377">
        <f t="shared" si="1"/>
        <v>2</v>
      </c>
      <c r="L27" s="674"/>
      <c r="M27" s="842"/>
      <c r="N27" s="779"/>
      <c r="O27" s="446"/>
      <c r="P27" s="837">
        <f>P$2</f>
        <v>4</v>
      </c>
      <c r="Q27" s="873">
        <f>-K27</f>
        <v>-2</v>
      </c>
      <c r="R27" s="675" t="str">
        <f t="shared" si="5"/>
        <v xml:space="preserve"> </v>
      </c>
      <c r="S27" s="774"/>
      <c r="T27" s="371" t="str">
        <f t="shared" si="2"/>
        <v xml:space="preserve"> </v>
      </c>
      <c r="U27" s="763"/>
      <c r="V27" s="777">
        <f t="shared" si="3"/>
        <v>2</v>
      </c>
      <c r="W27" s="469"/>
      <c r="X27" s="189"/>
      <c r="Y27" s="31"/>
      <c r="Z27" s="31"/>
      <c r="AA27" s="31"/>
      <c r="AB27" s="31"/>
      <c r="AC27" s="31"/>
      <c r="AD27" s="31"/>
      <c r="AE27" s="31"/>
      <c r="AF27" s="70"/>
      <c r="AG27" s="31"/>
      <c r="AH27" s="31"/>
      <c r="AI27" s="31"/>
      <c r="AJ27" s="31"/>
      <c r="AK27" s="31"/>
      <c r="BE27" s="53"/>
      <c r="BF27" s="53"/>
      <c r="BG27" s="53"/>
      <c r="BH27" s="53"/>
      <c r="BI27" s="53"/>
      <c r="BJ27" s="53"/>
      <c r="BK27" s="53"/>
      <c r="BL27" s="53"/>
      <c r="BM27" s="53"/>
    </row>
    <row r="28" spans="1:65" x14ac:dyDescent="0.35">
      <c r="A28" s="208" t="s">
        <v>463</v>
      </c>
      <c r="B28" s="470">
        <f t="shared" si="0"/>
        <v>11</v>
      </c>
      <c r="C28" s="47"/>
      <c r="D28" s="744">
        <v>56</v>
      </c>
      <c r="E28" s="733">
        <v>57</v>
      </c>
      <c r="F28" s="682"/>
      <c r="G28" s="383"/>
      <c r="H28" s="384"/>
      <c r="I28" s="138">
        <v>1</v>
      </c>
      <c r="J28" s="376">
        <v>1</v>
      </c>
      <c r="K28" s="377">
        <f t="shared" si="1"/>
        <v>2</v>
      </c>
      <c r="L28" s="674"/>
      <c r="M28" s="842"/>
      <c r="N28" s="779"/>
      <c r="O28" s="446"/>
      <c r="P28" s="837">
        <f>P$2</f>
        <v>4</v>
      </c>
      <c r="Q28" s="873">
        <f>-K28</f>
        <v>-2</v>
      </c>
      <c r="R28" s="675" t="str">
        <f t="shared" si="5"/>
        <v xml:space="preserve"> </v>
      </c>
      <c r="S28" s="774"/>
      <c r="T28" s="371" t="str">
        <f t="shared" si="2"/>
        <v xml:space="preserve"> </v>
      </c>
      <c r="U28" s="763">
        <v>1</v>
      </c>
      <c r="V28" s="777">
        <f t="shared" si="3"/>
        <v>3</v>
      </c>
      <c r="W28" s="469"/>
      <c r="X28" s="70"/>
      <c r="Y28" s="70"/>
      <c r="Z28" s="70"/>
      <c r="AA28" s="70"/>
      <c r="AB28" s="70"/>
      <c r="AC28" s="70"/>
      <c r="AD28" s="31"/>
      <c r="AE28" s="31"/>
      <c r="AF28" s="70"/>
      <c r="AG28" s="31"/>
      <c r="AH28" s="70"/>
      <c r="AI28" s="70"/>
      <c r="AJ28" s="70"/>
      <c r="AK28" s="70"/>
      <c r="AL28" s="53"/>
      <c r="AM28" s="53"/>
      <c r="AN28" s="53"/>
      <c r="AO28" s="53"/>
      <c r="AW28" s="82"/>
      <c r="AX28" s="82"/>
    </row>
    <row r="29" spans="1:65" x14ac:dyDescent="0.35">
      <c r="A29" s="208" t="s">
        <v>425</v>
      </c>
      <c r="B29" s="470">
        <f t="shared" si="0"/>
        <v>50</v>
      </c>
      <c r="C29" s="387">
        <v>0.5</v>
      </c>
      <c r="D29" s="746">
        <v>12</v>
      </c>
      <c r="E29" s="735">
        <v>21</v>
      </c>
      <c r="F29" s="681">
        <v>11.6</v>
      </c>
      <c r="G29" s="374">
        <f>(F29*G$5)^G$6</f>
        <v>7.9229229828728185</v>
      </c>
      <c r="H29" s="375">
        <f>IF(C29&gt;0.9,-1,IF(C29&lt;0.3,1,0))</f>
        <v>0</v>
      </c>
      <c r="I29" s="138">
        <v>-1</v>
      </c>
      <c r="J29" s="376">
        <v>0</v>
      </c>
      <c r="K29" s="377">
        <f t="shared" si="1"/>
        <v>-1</v>
      </c>
      <c r="L29" s="677">
        <f>MIN(SUM(G29,K29),10)</f>
        <v>6.9229229828728185</v>
      </c>
      <c r="M29" s="445">
        <f>MAX(MAX(2,ROUND(L29/2,0)*2),4)</f>
        <v>6</v>
      </c>
      <c r="N29" s="779">
        <v>2019</v>
      </c>
      <c r="O29" s="445">
        <f>O$4-N29</f>
        <v>2</v>
      </c>
      <c r="P29" s="567">
        <v>-2</v>
      </c>
      <c r="Q29" s="488"/>
      <c r="R29" s="463" t="str">
        <f t="shared" si="5"/>
        <v xml:space="preserve"> </v>
      </c>
      <c r="S29" s="773"/>
      <c r="T29" s="371" t="str">
        <f t="shared" si="2"/>
        <v xml:space="preserve"> </v>
      </c>
      <c r="U29" s="763"/>
      <c r="V29" s="468">
        <f t="shared" si="3"/>
        <v>-2</v>
      </c>
      <c r="W29" s="1127" t="s">
        <v>259</v>
      </c>
      <c r="X29" s="70"/>
      <c r="Y29" s="70"/>
      <c r="Z29" s="70"/>
      <c r="AA29" s="70"/>
      <c r="AB29" s="70"/>
      <c r="AC29" s="70"/>
      <c r="AD29" s="70"/>
      <c r="AE29" s="31"/>
      <c r="AF29" s="70"/>
      <c r="AG29" s="31"/>
      <c r="AH29" s="70"/>
      <c r="AI29" s="70"/>
      <c r="AJ29" s="70"/>
      <c r="AK29" s="70"/>
      <c r="AL29" s="53"/>
      <c r="AM29" s="53"/>
      <c r="AN29" s="53"/>
      <c r="AO29" s="53"/>
    </row>
    <row r="30" spans="1:65" x14ac:dyDescent="0.35">
      <c r="A30" s="208" t="s">
        <v>120</v>
      </c>
      <c r="B30" s="470">
        <f t="shared" si="0"/>
        <v>11</v>
      </c>
      <c r="C30" s="47"/>
      <c r="D30" s="745">
        <v>25</v>
      </c>
      <c r="E30" s="733">
        <v>45</v>
      </c>
      <c r="F30" s="682"/>
      <c r="G30" s="383"/>
      <c r="H30" s="384"/>
      <c r="I30" s="138">
        <v>0</v>
      </c>
      <c r="J30" s="376">
        <v>1</v>
      </c>
      <c r="K30" s="377">
        <f t="shared" si="1"/>
        <v>1</v>
      </c>
      <c r="L30" s="674"/>
      <c r="M30" s="842"/>
      <c r="N30" s="779"/>
      <c r="O30" s="446"/>
      <c r="P30" s="837">
        <f>P$2</f>
        <v>4</v>
      </c>
      <c r="Q30" s="873">
        <f>-K30</f>
        <v>-1</v>
      </c>
      <c r="R30" s="675" t="str">
        <f t="shared" si="5"/>
        <v xml:space="preserve"> </v>
      </c>
      <c r="S30" s="774"/>
      <c r="T30" s="371" t="str">
        <f t="shared" si="2"/>
        <v xml:space="preserve"> </v>
      </c>
      <c r="U30" s="763"/>
      <c r="V30" s="777">
        <f t="shared" si="3"/>
        <v>3</v>
      </c>
      <c r="W30" s="469"/>
      <c r="X30" s="70"/>
      <c r="Y30" s="70"/>
      <c r="Z30" s="70"/>
      <c r="AA30" s="70"/>
      <c r="AB30" s="70"/>
      <c r="AC30" s="70"/>
      <c r="AD30" s="31"/>
      <c r="AE30" s="31"/>
      <c r="AF30" s="70"/>
      <c r="AG30" s="31"/>
      <c r="AH30" s="70"/>
      <c r="AI30" s="70"/>
      <c r="AJ30" s="70"/>
      <c r="AK30" s="70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Y30" s="53"/>
      <c r="AZ30" s="53"/>
      <c r="BA30" s="53"/>
      <c r="BB30" s="53"/>
      <c r="BC30" s="53"/>
      <c r="BD30" s="53"/>
    </row>
    <row r="31" spans="1:65" x14ac:dyDescent="0.35">
      <c r="A31" s="208" t="s">
        <v>113</v>
      </c>
      <c r="B31" s="470">
        <f t="shared" si="0"/>
        <v>21</v>
      </c>
      <c r="C31" s="387">
        <v>0.7</v>
      </c>
      <c r="D31" s="744">
        <v>45</v>
      </c>
      <c r="E31" s="733">
        <v>42</v>
      </c>
      <c r="F31" s="681">
        <v>19.216000000000001</v>
      </c>
      <c r="G31" s="374">
        <f>(F31*G$5)^G$6</f>
        <v>9.5980572171383685</v>
      </c>
      <c r="H31" s="375">
        <f>IF(C31&gt;0.9,-1,IF(C31&lt;0.3,1,0))</f>
        <v>0</v>
      </c>
      <c r="I31" s="138">
        <v>1</v>
      </c>
      <c r="J31" s="376">
        <v>1</v>
      </c>
      <c r="K31" s="377">
        <f t="shared" si="1"/>
        <v>2</v>
      </c>
      <c r="L31" s="680">
        <f>MIN(SUM(G31,K31),10)</f>
        <v>10</v>
      </c>
      <c r="M31" s="445">
        <f>MAX(MAX(2,ROUND(L31/2,0)*2),4)</f>
        <v>10</v>
      </c>
      <c r="N31" s="779">
        <v>2011</v>
      </c>
      <c r="O31" s="445">
        <f>O$4-N31</f>
        <v>10</v>
      </c>
      <c r="P31" s="567">
        <f>IF(O31=2,-2,MAX(O31-M31,0))</f>
        <v>0</v>
      </c>
      <c r="Q31" s="488"/>
      <c r="R31" s="463">
        <f t="shared" si="5"/>
        <v>1</v>
      </c>
      <c r="S31" s="773"/>
      <c r="T31" s="371">
        <f t="shared" si="2"/>
        <v>1</v>
      </c>
      <c r="U31" s="763"/>
      <c r="V31" s="468">
        <f t="shared" si="3"/>
        <v>2</v>
      </c>
      <c r="W31" s="469"/>
      <c r="X31" s="70"/>
      <c r="Y31" s="70"/>
      <c r="Z31" s="70"/>
      <c r="AA31" s="70"/>
      <c r="AB31" s="70"/>
      <c r="AC31" s="70"/>
      <c r="AD31" s="70"/>
      <c r="AE31" s="31"/>
      <c r="AF31" s="70"/>
      <c r="AG31" s="31"/>
      <c r="AH31" s="70"/>
      <c r="AI31" s="70"/>
      <c r="AJ31" s="70"/>
      <c r="AK31" s="70"/>
      <c r="AL31" s="53"/>
      <c r="AM31" s="53"/>
      <c r="AN31" s="53"/>
      <c r="AO31" s="53"/>
    </row>
    <row r="32" spans="1:65" s="82" customFormat="1" x14ac:dyDescent="0.35">
      <c r="A32" s="208" t="s">
        <v>114</v>
      </c>
      <c r="B32" s="470">
        <f t="shared" si="0"/>
        <v>11</v>
      </c>
      <c r="C32" s="387">
        <v>0.84</v>
      </c>
      <c r="D32" s="744">
        <v>49</v>
      </c>
      <c r="E32" s="735">
        <v>25</v>
      </c>
      <c r="F32" s="681">
        <v>16.8</v>
      </c>
      <c r="G32" s="374">
        <f>(F32*G$5)^G$6</f>
        <v>9.1202958274997812</v>
      </c>
      <c r="H32" s="375">
        <f>IF(C32&gt;0.9,-1,IF(C32&lt;0.3,1,0))</f>
        <v>0</v>
      </c>
      <c r="I32" s="138">
        <v>1</v>
      </c>
      <c r="J32" s="376">
        <v>0</v>
      </c>
      <c r="K32" s="377">
        <f t="shared" si="1"/>
        <v>1</v>
      </c>
      <c r="L32" s="677">
        <f>MIN(SUM(G32,K32),10)</f>
        <v>10</v>
      </c>
      <c r="M32" s="445">
        <f>MAX(MAX(2,ROUND(L32/2,0)*2),4)</f>
        <v>10</v>
      </c>
      <c r="N32" s="779">
        <v>2009</v>
      </c>
      <c r="O32" s="445">
        <f>O$4-N32</f>
        <v>12</v>
      </c>
      <c r="P32" s="567">
        <f>IF(O32=2,-2,MAX(O32-M32,0))</f>
        <v>2</v>
      </c>
      <c r="Q32" s="488"/>
      <c r="R32" s="463">
        <f t="shared" si="5"/>
        <v>1</v>
      </c>
      <c r="S32" s="773"/>
      <c r="T32" s="371">
        <f t="shared" si="2"/>
        <v>1</v>
      </c>
      <c r="U32" s="763">
        <v>-1</v>
      </c>
      <c r="V32" s="468">
        <f t="shared" si="3"/>
        <v>3</v>
      </c>
      <c r="W32" s="469"/>
      <c r="X32" s="70"/>
      <c r="Y32" s="70"/>
      <c r="Z32" s="70"/>
      <c r="AA32" s="70"/>
      <c r="AB32" s="70"/>
      <c r="AC32" s="70"/>
      <c r="AD32" s="31"/>
      <c r="AE32" s="31"/>
      <c r="AF32" s="70"/>
      <c r="AG32" s="31"/>
      <c r="AH32" s="70"/>
      <c r="AI32" s="70"/>
      <c r="AJ32" s="70"/>
      <c r="AK32" s="70"/>
      <c r="AL32" s="53"/>
      <c r="AM32" s="53"/>
      <c r="AN32" s="53"/>
      <c r="AO32" s="53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s="82" customFormat="1" x14ac:dyDescent="0.35">
      <c r="A33" s="208" t="s">
        <v>121</v>
      </c>
      <c r="B33" s="470">
        <f t="shared" si="0"/>
        <v>21</v>
      </c>
      <c r="C33" s="47"/>
      <c r="D33" s="744">
        <v>57</v>
      </c>
      <c r="E33" s="733">
        <v>48</v>
      </c>
      <c r="F33" s="682"/>
      <c r="G33" s="383"/>
      <c r="H33" s="384"/>
      <c r="I33" s="138">
        <v>1</v>
      </c>
      <c r="J33" s="376">
        <v>1</v>
      </c>
      <c r="K33" s="377">
        <f t="shared" si="1"/>
        <v>2</v>
      </c>
      <c r="L33" s="674"/>
      <c r="M33" s="842"/>
      <c r="N33" s="779"/>
      <c r="O33" s="446"/>
      <c r="P33" s="837">
        <f>P$2</f>
        <v>4</v>
      </c>
      <c r="Q33" s="873">
        <f>-K33</f>
        <v>-2</v>
      </c>
      <c r="R33" s="675" t="str">
        <f t="shared" si="5"/>
        <v xml:space="preserve"> </v>
      </c>
      <c r="S33" s="774"/>
      <c r="T33" s="371" t="str">
        <f t="shared" si="2"/>
        <v xml:space="preserve"> </v>
      </c>
      <c r="U33" s="763"/>
      <c r="V33" s="777">
        <f t="shared" si="3"/>
        <v>2</v>
      </c>
      <c r="W33" s="469"/>
      <c r="X33" s="70"/>
      <c r="Y33" s="70"/>
      <c r="Z33" s="70"/>
      <c r="AA33" s="70"/>
      <c r="AB33" s="70"/>
      <c r="AC33" s="70"/>
      <c r="AD33" s="70"/>
      <c r="AE33" s="31"/>
      <c r="AF33" s="70"/>
      <c r="AG33" s="31"/>
      <c r="AH33" s="70"/>
      <c r="AI33" s="70"/>
      <c r="AJ33" s="70"/>
      <c r="AK33" s="70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1"/>
      <c r="AX33" s="1"/>
      <c r="AY33" s="53"/>
      <c r="AZ33" s="53"/>
      <c r="BA33" s="53"/>
      <c r="BB33" s="53"/>
      <c r="BC33" s="53"/>
      <c r="BD33" s="53"/>
    </row>
    <row r="34" spans="1:65" x14ac:dyDescent="0.35">
      <c r="A34" s="208" t="s">
        <v>308</v>
      </c>
      <c r="B34" s="470">
        <f t="shared" si="0"/>
        <v>21</v>
      </c>
      <c r="C34" s="387">
        <v>0.65</v>
      </c>
      <c r="D34" s="746">
        <v>19</v>
      </c>
      <c r="E34" s="735">
        <v>39</v>
      </c>
      <c r="F34" s="681">
        <v>4.25</v>
      </c>
      <c r="G34" s="374">
        <f>(F34*G$5)^G$6</f>
        <v>5.4097748654134667</v>
      </c>
      <c r="H34" s="375">
        <f>IF(C34&gt;0.9,-1,IF(C34&lt;0.3,1,0))</f>
        <v>0</v>
      </c>
      <c r="I34" s="138">
        <v>-1</v>
      </c>
      <c r="J34" s="376">
        <v>0</v>
      </c>
      <c r="K34" s="377">
        <f t="shared" si="1"/>
        <v>-1</v>
      </c>
      <c r="L34" s="680">
        <f>MIN(SUM(G34,K34),10)</f>
        <v>4.4097748654134667</v>
      </c>
      <c r="M34" s="445">
        <f>MAX(MAX(2,ROUND(L34/2,0)*2),4)</f>
        <v>4</v>
      </c>
      <c r="N34" s="779">
        <v>2015</v>
      </c>
      <c r="O34" s="445">
        <f>O$4-N34</f>
        <v>6</v>
      </c>
      <c r="P34" s="567">
        <f>IF(O34=2,-2,MAX(O34-M34,0))</f>
        <v>2</v>
      </c>
      <c r="Q34" s="488"/>
      <c r="R34" s="463" t="str">
        <f t="shared" si="5"/>
        <v xml:space="preserve"> </v>
      </c>
      <c r="S34" s="773"/>
      <c r="T34" s="371">
        <f t="shared" si="2"/>
        <v>1</v>
      </c>
      <c r="U34" s="763">
        <v>-1</v>
      </c>
      <c r="V34" s="468">
        <f t="shared" si="3"/>
        <v>2</v>
      </c>
      <c r="W34" s="472" t="s">
        <v>259</v>
      </c>
      <c r="X34" s="70"/>
      <c r="Y34" s="70"/>
      <c r="Z34" s="70"/>
      <c r="AA34" s="70"/>
      <c r="AB34" s="70"/>
      <c r="AC34" s="70"/>
      <c r="AD34" s="31"/>
      <c r="AE34" s="31"/>
      <c r="AF34" s="70"/>
      <c r="AG34" s="31"/>
      <c r="AH34" s="70"/>
      <c r="AI34" s="70"/>
      <c r="AJ34" s="70"/>
      <c r="AK34" s="70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65" x14ac:dyDescent="0.35">
      <c r="A35" s="208" t="s">
        <v>290</v>
      </c>
      <c r="B35" s="470">
        <f t="shared" si="0"/>
        <v>21</v>
      </c>
      <c r="C35" s="47"/>
      <c r="D35" s="744">
        <v>42</v>
      </c>
      <c r="E35" s="733">
        <v>58</v>
      </c>
      <c r="F35" s="682"/>
      <c r="G35" s="383"/>
      <c r="H35" s="384"/>
      <c r="I35" s="138">
        <v>1</v>
      </c>
      <c r="J35" s="376">
        <v>1</v>
      </c>
      <c r="K35" s="377">
        <f t="shared" si="1"/>
        <v>2</v>
      </c>
      <c r="L35" s="674"/>
      <c r="M35" s="842"/>
      <c r="N35" s="779"/>
      <c r="O35" s="446"/>
      <c r="P35" s="837">
        <f>P$2</f>
        <v>4</v>
      </c>
      <c r="Q35" s="873">
        <f>-K35</f>
        <v>-2</v>
      </c>
      <c r="R35" s="675" t="str">
        <f t="shared" si="5"/>
        <v xml:space="preserve"> </v>
      </c>
      <c r="S35" s="774"/>
      <c r="T35" s="371" t="str">
        <f t="shared" si="2"/>
        <v xml:space="preserve"> </v>
      </c>
      <c r="U35" s="763"/>
      <c r="V35" s="777">
        <f t="shared" si="3"/>
        <v>2</v>
      </c>
      <c r="W35" s="469"/>
      <c r="X35" s="70"/>
      <c r="Y35" s="70"/>
      <c r="Z35" s="70"/>
      <c r="AA35" s="70"/>
      <c r="AB35" s="70"/>
      <c r="AC35" s="70"/>
      <c r="AD35" s="31"/>
      <c r="AE35" s="31"/>
      <c r="AF35" s="70"/>
      <c r="AG35" s="31"/>
      <c r="AH35" s="70"/>
      <c r="AI35" s="70"/>
      <c r="AJ35" s="70"/>
      <c r="AK35" s="70"/>
      <c r="AL35" s="53"/>
      <c r="AM35" s="53"/>
      <c r="AN35" s="53"/>
      <c r="AO35" s="53"/>
      <c r="AW35" s="53"/>
      <c r="AX35" s="53"/>
      <c r="BE35" s="82"/>
      <c r="BF35" s="82"/>
      <c r="BG35" s="82"/>
      <c r="BH35" s="82"/>
      <c r="BI35" s="82"/>
      <c r="BJ35" s="82"/>
      <c r="BK35" s="82"/>
      <c r="BL35" s="82"/>
      <c r="BM35" s="82"/>
    </row>
    <row r="36" spans="1:65" x14ac:dyDescent="0.35">
      <c r="A36" s="208" t="s">
        <v>442</v>
      </c>
      <c r="B36" s="470">
        <f t="shared" si="0"/>
        <v>35</v>
      </c>
      <c r="C36" s="47"/>
      <c r="D36" s="744"/>
      <c r="E36" s="733"/>
      <c r="F36" s="682"/>
      <c r="G36" s="383"/>
      <c r="H36" s="384"/>
      <c r="I36" s="138"/>
      <c r="J36" s="376"/>
      <c r="K36" s="377"/>
      <c r="L36" s="674"/>
      <c r="M36" s="842"/>
      <c r="N36" s="779"/>
      <c r="O36" s="446"/>
      <c r="P36" s="837"/>
      <c r="Q36" s="873"/>
      <c r="R36" s="675"/>
      <c r="S36" s="774"/>
      <c r="T36" s="371"/>
      <c r="U36" s="763"/>
      <c r="V36" s="777"/>
      <c r="W36" s="469"/>
      <c r="X36" s="70"/>
      <c r="Y36" s="70"/>
      <c r="Z36" s="70"/>
      <c r="AA36" s="70"/>
      <c r="AB36" s="70"/>
      <c r="AC36" s="70"/>
      <c r="AD36" s="31"/>
      <c r="AE36" s="31"/>
      <c r="AF36" s="70"/>
      <c r="AG36" s="31"/>
      <c r="AH36" s="70"/>
      <c r="AI36" s="70"/>
      <c r="AJ36" s="70"/>
      <c r="AK36" s="70"/>
      <c r="AL36" s="53"/>
      <c r="AM36" s="53"/>
      <c r="AN36" s="53"/>
      <c r="AO36" s="53"/>
      <c r="AW36" s="53"/>
      <c r="AX36" s="53"/>
      <c r="BE36" s="82"/>
      <c r="BF36" s="82"/>
      <c r="BG36" s="82"/>
      <c r="BH36" s="82"/>
      <c r="BI36" s="82"/>
      <c r="BJ36" s="82"/>
      <c r="BK36" s="82"/>
      <c r="BL36" s="82"/>
      <c r="BM36" s="82"/>
    </row>
    <row r="37" spans="1:65" x14ac:dyDescent="0.35">
      <c r="A37" s="90" t="s">
        <v>98</v>
      </c>
      <c r="B37" s="470">
        <f t="shared" si="0"/>
        <v>39</v>
      </c>
      <c r="C37" s="387">
        <v>0.5</v>
      </c>
      <c r="D37" s="746">
        <v>3</v>
      </c>
      <c r="E37" s="734">
        <v>4</v>
      </c>
      <c r="F37" s="681">
        <v>5</v>
      </c>
      <c r="G37" s="374">
        <f>(F37*G$5)^G$6</f>
        <v>5.7543993733715713</v>
      </c>
      <c r="H37" s="375">
        <f>IF(C37&gt;0.9,-1,IF(C37&lt;0.3,1,0))</f>
        <v>0</v>
      </c>
      <c r="I37" s="138">
        <v>-1</v>
      </c>
      <c r="J37" s="376">
        <v>-1</v>
      </c>
      <c r="K37" s="377">
        <f t="shared" si="1"/>
        <v>-2</v>
      </c>
      <c r="L37" s="680">
        <f>MIN(SUM(G37,K37),10)</f>
        <v>3.7543993733715713</v>
      </c>
      <c r="M37" s="445">
        <f>MAX(MAX(2,ROUND(L37/2,0)*2),4)</f>
        <v>4</v>
      </c>
      <c r="N37" s="779">
        <v>2021</v>
      </c>
      <c r="O37" s="445">
        <f>O$4-N37</f>
        <v>0</v>
      </c>
      <c r="P37" s="567">
        <f>IF(O37=2,-2,MAX(O37-M37,0))</f>
        <v>0</v>
      </c>
      <c r="Q37" s="488"/>
      <c r="R37" s="463" t="str">
        <f t="shared" si="5"/>
        <v xml:space="preserve"> </v>
      </c>
      <c r="S37" s="773">
        <f>IF(O37&lt;6,-1,0)</f>
        <v>-1</v>
      </c>
      <c r="T37" s="371" t="str">
        <f t="shared" si="2"/>
        <v xml:space="preserve"> </v>
      </c>
      <c r="U37" s="763"/>
      <c r="V37" s="468">
        <f t="shared" si="3"/>
        <v>-1</v>
      </c>
      <c r="W37" s="472" t="s">
        <v>259</v>
      </c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53"/>
      <c r="AM37" s="53"/>
      <c r="AN37" s="53"/>
      <c r="AO37" s="53"/>
      <c r="AW37" s="53"/>
      <c r="AX37" s="53"/>
    </row>
    <row r="38" spans="1:65" x14ac:dyDescent="0.35">
      <c r="A38" s="91" t="s">
        <v>110</v>
      </c>
      <c r="B38" s="470">
        <f t="shared" si="0"/>
        <v>50</v>
      </c>
      <c r="C38" s="387">
        <v>0.3</v>
      </c>
      <c r="D38" s="746">
        <v>16</v>
      </c>
      <c r="E38" s="734">
        <v>7</v>
      </c>
      <c r="F38" s="681">
        <v>10.1</v>
      </c>
      <c r="G38" s="374">
        <f>(F38*G$5)^G$6</f>
        <v>7.5168090918006136</v>
      </c>
      <c r="H38" s="375"/>
      <c r="I38" s="138">
        <v>-1</v>
      </c>
      <c r="J38" s="376">
        <v>-1</v>
      </c>
      <c r="K38" s="377">
        <f t="shared" si="1"/>
        <v>-2</v>
      </c>
      <c r="L38" s="677">
        <f>MIN(SUM(G38,K38),10)</f>
        <v>5.5168090918006136</v>
      </c>
      <c r="M38" s="445">
        <f>MAX(MAX(2,ROUND(L38/2,0)*2),4)</f>
        <v>6</v>
      </c>
      <c r="N38" s="779">
        <v>2019</v>
      </c>
      <c r="O38" s="445">
        <f>O$4-N38</f>
        <v>2</v>
      </c>
      <c r="P38" s="567">
        <v>-2</v>
      </c>
      <c r="Q38" s="488"/>
      <c r="R38" s="463" t="str">
        <f t="shared" si="5"/>
        <v xml:space="preserve"> </v>
      </c>
      <c r="S38" s="773"/>
      <c r="T38" s="371" t="str">
        <f t="shared" si="2"/>
        <v xml:space="preserve"> </v>
      </c>
      <c r="U38" s="763"/>
      <c r="V38" s="468">
        <f t="shared" si="3"/>
        <v>-2</v>
      </c>
      <c r="W38" s="1127" t="s">
        <v>259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Y38" s="53"/>
      <c r="AZ38" s="53"/>
      <c r="BA38" s="53"/>
      <c r="BB38" s="53"/>
      <c r="BC38" s="53"/>
      <c r="BD38" s="53"/>
    </row>
    <row r="39" spans="1:65" x14ac:dyDescent="0.35">
      <c r="A39" s="90" t="s">
        <v>95</v>
      </c>
      <c r="B39" s="470">
        <f t="shared" si="0"/>
        <v>32</v>
      </c>
      <c r="C39" s="387">
        <v>0.6</v>
      </c>
      <c r="D39" s="745">
        <v>28</v>
      </c>
      <c r="E39" s="734">
        <v>17</v>
      </c>
      <c r="F39" s="681">
        <v>15.27</v>
      </c>
      <c r="G39" s="374">
        <f>(F39*G$5)^G$6</f>
        <v>8.7952913925753915</v>
      </c>
      <c r="H39" s="375">
        <f>IF(C39&gt;0.9,-1,IF(C39&lt;0.3,1,0))</f>
        <v>0</v>
      </c>
      <c r="I39" s="138">
        <v>0</v>
      </c>
      <c r="J39" s="376">
        <v>-1</v>
      </c>
      <c r="K39" s="377">
        <f t="shared" si="1"/>
        <v>-1</v>
      </c>
      <c r="L39" s="680">
        <f>MIN(SUM(G39,K39),10)</f>
        <v>7.7952913925753915</v>
      </c>
      <c r="M39" s="445">
        <f>MAX(MAX(2,ROUND(L39/2,0)*2),4)</f>
        <v>8</v>
      </c>
      <c r="N39" s="779">
        <v>2013</v>
      </c>
      <c r="O39" s="445">
        <f>O$4-N39</f>
        <v>8</v>
      </c>
      <c r="P39" s="567">
        <f>IF(O39=2,-2,MAX(O39-M39,0))</f>
        <v>0</v>
      </c>
      <c r="Q39" s="488"/>
      <c r="R39" s="463" t="str">
        <f t="shared" si="5"/>
        <v xml:space="preserve"> </v>
      </c>
      <c r="S39" s="773"/>
      <c r="T39" s="371">
        <f t="shared" si="2"/>
        <v>1</v>
      </c>
      <c r="U39" s="763"/>
      <c r="V39" s="468">
        <f t="shared" si="3"/>
        <v>1</v>
      </c>
      <c r="W39" s="469"/>
      <c r="X39" s="70"/>
      <c r="Y39" s="70"/>
      <c r="Z39" s="70"/>
      <c r="AA39" s="70"/>
      <c r="AB39" s="70"/>
      <c r="AC39" s="70"/>
      <c r="AD39" s="31"/>
      <c r="AE39" s="31"/>
      <c r="AF39" s="31"/>
      <c r="AG39" s="31"/>
      <c r="AH39" s="70"/>
      <c r="AI39" s="70"/>
      <c r="AJ39" s="70"/>
      <c r="AK39" s="70"/>
      <c r="AL39" s="53"/>
      <c r="AM39" s="53"/>
      <c r="AN39" s="53"/>
      <c r="AO39" s="53"/>
    </row>
    <row r="40" spans="1:65" x14ac:dyDescent="0.35">
      <c r="A40" s="208" t="s">
        <v>122</v>
      </c>
      <c r="B40" s="470">
        <f t="shared" si="0"/>
        <v>11</v>
      </c>
      <c r="C40" s="47"/>
      <c r="D40" s="744">
        <v>48</v>
      </c>
      <c r="E40" s="735">
        <v>34</v>
      </c>
      <c r="F40" s="682"/>
      <c r="G40" s="383"/>
      <c r="H40" s="384"/>
      <c r="I40" s="138">
        <v>1</v>
      </c>
      <c r="J40" s="376">
        <v>0</v>
      </c>
      <c r="K40" s="377">
        <f t="shared" si="1"/>
        <v>1</v>
      </c>
      <c r="L40" s="674"/>
      <c r="M40" s="842"/>
      <c r="N40" s="779"/>
      <c r="O40" s="446"/>
      <c r="P40" s="837">
        <f>P$2</f>
        <v>4</v>
      </c>
      <c r="Q40" s="873">
        <f>-K40</f>
        <v>-1</v>
      </c>
      <c r="R40" s="675" t="str">
        <f t="shared" si="5"/>
        <v xml:space="preserve"> </v>
      </c>
      <c r="S40" s="774"/>
      <c r="T40" s="371" t="str">
        <f t="shared" si="2"/>
        <v xml:space="preserve"> </v>
      </c>
      <c r="U40" s="763"/>
      <c r="V40" s="777">
        <f t="shared" si="3"/>
        <v>3</v>
      </c>
      <c r="W40" s="469"/>
      <c r="X40" s="70"/>
      <c r="Y40" s="70"/>
      <c r="Z40" s="70"/>
      <c r="AA40" s="70"/>
      <c r="AB40" s="70"/>
      <c r="AC40" s="70"/>
      <c r="AD40" s="31"/>
      <c r="AE40" s="31"/>
      <c r="AF40" s="31"/>
      <c r="AG40" s="31"/>
      <c r="AH40" s="70"/>
      <c r="AI40" s="70"/>
      <c r="AJ40" s="70"/>
      <c r="AK40" s="70"/>
      <c r="AL40" s="53"/>
      <c r="AM40" s="53"/>
      <c r="AN40" s="53"/>
      <c r="AO40" s="53"/>
      <c r="AW40" s="101"/>
      <c r="AX40" s="101"/>
    </row>
    <row r="41" spans="1:65" x14ac:dyDescent="0.35">
      <c r="A41" s="90" t="s">
        <v>103</v>
      </c>
      <c r="B41" s="470">
        <f t="shared" ref="B41:B71" si="6">RANK(V41,V$7:V$71,0)</f>
        <v>5</v>
      </c>
      <c r="C41" s="47"/>
      <c r="D41" s="746">
        <v>15</v>
      </c>
      <c r="E41" s="734">
        <v>14</v>
      </c>
      <c r="F41" s="682"/>
      <c r="G41" s="383"/>
      <c r="H41" s="375"/>
      <c r="I41" s="138">
        <v>-1</v>
      </c>
      <c r="J41" s="376">
        <v>-1</v>
      </c>
      <c r="K41" s="377">
        <f t="shared" ref="K41:K71" si="7">SUM(H41:J41)</f>
        <v>-2</v>
      </c>
      <c r="L41" s="674"/>
      <c r="M41" s="842"/>
      <c r="N41" s="779"/>
      <c r="O41" s="446"/>
      <c r="P41" s="837">
        <f>P$2</f>
        <v>4</v>
      </c>
      <c r="Q41" s="873">
        <f>-K41</f>
        <v>2</v>
      </c>
      <c r="R41" s="675" t="str">
        <f t="shared" si="5"/>
        <v xml:space="preserve"> </v>
      </c>
      <c r="S41" s="774"/>
      <c r="T41" s="371" t="str">
        <f t="shared" ref="T41:T71" si="8">IF(M41&gt;0,IF(M41&lt;=O41,1," ")," ")</f>
        <v xml:space="preserve"> </v>
      </c>
      <c r="U41" s="763">
        <v>-1</v>
      </c>
      <c r="V41" s="777">
        <f t="shared" ref="V41:V71" si="9">SUM(P41:U41)</f>
        <v>5</v>
      </c>
      <c r="W41" s="469"/>
      <c r="X41" s="70"/>
      <c r="Y41" s="70"/>
      <c r="Z41" s="70"/>
      <c r="AA41" s="70"/>
      <c r="AB41" s="70"/>
      <c r="AC41" s="70"/>
      <c r="AD41" s="31"/>
      <c r="AE41" s="31"/>
      <c r="AF41" s="31"/>
      <c r="AG41" s="31"/>
      <c r="AH41" s="70"/>
      <c r="AI41" s="70"/>
      <c r="AJ41" s="70"/>
      <c r="AK41" s="70"/>
      <c r="AL41" s="53"/>
      <c r="AM41" s="53"/>
      <c r="AN41" s="53"/>
      <c r="AO41" s="53"/>
    </row>
    <row r="42" spans="1:65" s="53" customFormat="1" x14ac:dyDescent="0.35">
      <c r="A42" s="90" t="s">
        <v>309</v>
      </c>
      <c r="B42" s="470">
        <f t="shared" si="6"/>
        <v>39</v>
      </c>
      <c r="C42" s="387">
        <v>0.7</v>
      </c>
      <c r="D42" s="745">
        <v>36</v>
      </c>
      <c r="E42" s="736">
        <v>26</v>
      </c>
      <c r="F42" s="681">
        <v>16.32</v>
      </c>
      <c r="G42" s="378">
        <f>(F42*G$5)^G$6</f>
        <v>9.020384645351939</v>
      </c>
      <c r="H42" s="137">
        <f>IF(C42&gt;0.9,-1,IF(C42&lt;0.3,1,0))</f>
        <v>0</v>
      </c>
      <c r="I42" s="138">
        <v>0</v>
      </c>
      <c r="J42" s="380">
        <v>0</v>
      </c>
      <c r="K42" s="381">
        <f t="shared" si="7"/>
        <v>0</v>
      </c>
      <c r="L42" s="686">
        <f>MIN(SUM(G42,K42),10)</f>
        <v>9.020384645351939</v>
      </c>
      <c r="M42" s="447">
        <f>MAX(MAX(2,ROUND(L42/2,0)*2),4)</f>
        <v>10</v>
      </c>
      <c r="N42" s="779">
        <v>2017</v>
      </c>
      <c r="O42" s="447">
        <f>O$4-N42</f>
        <v>4</v>
      </c>
      <c r="P42" s="754">
        <f>IF(O42=2,-2,MAX(O42-M42,0))</f>
        <v>0</v>
      </c>
      <c r="Q42" s="874"/>
      <c r="R42" s="464" t="str">
        <f t="shared" si="5"/>
        <v xml:space="preserve"> </v>
      </c>
      <c r="S42" s="775"/>
      <c r="T42" s="371" t="str">
        <f t="shared" si="8"/>
        <v xml:space="preserve"> </v>
      </c>
      <c r="U42" s="764">
        <v>-1</v>
      </c>
      <c r="V42" s="468">
        <f t="shared" si="9"/>
        <v>-1</v>
      </c>
      <c r="W42" s="469"/>
      <c r="X42" s="31"/>
      <c r="Y42" s="31"/>
      <c r="Z42" s="31"/>
      <c r="AA42" s="31"/>
      <c r="AB42" s="31"/>
      <c r="AC42" s="31"/>
      <c r="AD42" s="70"/>
      <c r="AE42" s="70"/>
      <c r="AF42" s="70"/>
      <c r="AG42" s="70"/>
      <c r="AH42" s="31"/>
      <c r="AI42" s="31"/>
      <c r="AJ42" s="31"/>
      <c r="AK42" s="3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65" s="53" customFormat="1" x14ac:dyDescent="0.35">
      <c r="A43" s="208" t="s">
        <v>123</v>
      </c>
      <c r="B43" s="470">
        <f t="shared" si="6"/>
        <v>7</v>
      </c>
      <c r="C43" s="47"/>
      <c r="D43" s="746">
        <v>20</v>
      </c>
      <c r="E43" s="735">
        <v>22</v>
      </c>
      <c r="F43" s="682"/>
      <c r="G43" s="383"/>
      <c r="H43" s="384"/>
      <c r="I43" s="138">
        <v>-1</v>
      </c>
      <c r="J43" s="376">
        <v>0</v>
      </c>
      <c r="K43" s="377">
        <f t="shared" si="7"/>
        <v>-1</v>
      </c>
      <c r="L43" s="683"/>
      <c r="M43" s="842"/>
      <c r="N43" s="779"/>
      <c r="O43" s="446"/>
      <c r="P43" s="837">
        <f>P$2</f>
        <v>4</v>
      </c>
      <c r="Q43" s="873">
        <f>-K43</f>
        <v>1</v>
      </c>
      <c r="R43" s="675" t="str">
        <f t="shared" si="5"/>
        <v xml:space="preserve"> </v>
      </c>
      <c r="S43" s="774"/>
      <c r="T43" s="371" t="str">
        <f t="shared" si="8"/>
        <v xml:space="preserve"> </v>
      </c>
      <c r="U43" s="763">
        <v>-1</v>
      </c>
      <c r="V43" s="777">
        <f t="shared" si="9"/>
        <v>4</v>
      </c>
      <c r="W43" s="469"/>
      <c r="X43" s="31"/>
      <c r="Y43" s="31"/>
      <c r="Z43" s="31"/>
      <c r="AA43" s="31"/>
      <c r="AB43" s="31"/>
      <c r="AC43" s="31"/>
      <c r="AD43" s="70"/>
      <c r="AE43" s="70"/>
      <c r="AF43" s="70"/>
      <c r="AG43" s="70"/>
      <c r="AH43" s="31"/>
      <c r="AI43" s="31"/>
      <c r="AJ43" s="31"/>
      <c r="AK43" s="31"/>
      <c r="AL43" s="1"/>
      <c r="AM43" s="1"/>
      <c r="AN43" s="1"/>
      <c r="AO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53" customFormat="1" x14ac:dyDescent="0.35">
      <c r="A44" s="208" t="s">
        <v>294</v>
      </c>
      <c r="B44" s="470">
        <f t="shared" si="6"/>
        <v>21</v>
      </c>
      <c r="C44" s="387">
        <v>0.2</v>
      </c>
      <c r="D44" s="745">
        <v>38</v>
      </c>
      <c r="E44" s="737">
        <v>1</v>
      </c>
      <c r="F44" s="681">
        <v>24.39</v>
      </c>
      <c r="G44" s="378">
        <f>(F44*G$5)^G$6</f>
        <v>10.508285955717879</v>
      </c>
      <c r="H44" s="137">
        <f>IF(C44&gt;0.9,-1,IF(C44&lt;0.3,1,0))</f>
        <v>1</v>
      </c>
      <c r="I44" s="138">
        <v>0</v>
      </c>
      <c r="J44" s="380">
        <v>-1</v>
      </c>
      <c r="K44" s="381">
        <f t="shared" si="7"/>
        <v>0</v>
      </c>
      <c r="L44" s="686">
        <f>MIN(SUM(G44,K44),10)</f>
        <v>10</v>
      </c>
      <c r="M44" s="447">
        <f>MAX(MAX(2,ROUND(L44/2,0)*2),4)</f>
        <v>10</v>
      </c>
      <c r="N44" s="779">
        <v>2021</v>
      </c>
      <c r="O44" s="447">
        <f>O$4-N44</f>
        <v>0</v>
      </c>
      <c r="P44" s="754">
        <f>IF(O44=2,-2,MAX(O44-M44,0))</f>
        <v>0</v>
      </c>
      <c r="Q44" s="874"/>
      <c r="R44" s="464" t="str">
        <f t="shared" si="5"/>
        <v xml:space="preserve"> </v>
      </c>
      <c r="S44" s="775"/>
      <c r="T44" s="371" t="str">
        <f t="shared" si="8"/>
        <v xml:space="preserve"> </v>
      </c>
      <c r="U44" s="764">
        <v>2</v>
      </c>
      <c r="V44" s="468">
        <f t="shared" si="9"/>
        <v>2</v>
      </c>
      <c r="W44" s="469"/>
      <c r="X44" s="31"/>
      <c r="Y44" s="31"/>
      <c r="Z44" s="31"/>
      <c r="AA44" s="31"/>
      <c r="AB44" s="31"/>
      <c r="AC44" s="31"/>
      <c r="AD44" s="70"/>
      <c r="AE44" s="70"/>
      <c r="AF44" s="70"/>
      <c r="AG44" s="70"/>
      <c r="AH44" s="31"/>
      <c r="AI44" s="31"/>
      <c r="AJ44" s="31"/>
      <c r="AK44" s="3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65" s="53" customFormat="1" x14ac:dyDescent="0.35">
      <c r="A45" s="90" t="s">
        <v>7</v>
      </c>
      <c r="B45" s="470">
        <f t="shared" si="6"/>
        <v>55</v>
      </c>
      <c r="C45" s="387">
        <v>0.4</v>
      </c>
      <c r="D45" s="746">
        <v>4</v>
      </c>
      <c r="E45" s="734">
        <v>12</v>
      </c>
      <c r="F45" s="681">
        <v>7</v>
      </c>
      <c r="G45" s="374">
        <f>(F45*G$5)^G$6</f>
        <v>6.5392607282869077</v>
      </c>
      <c r="H45" s="375">
        <f>IF(C45&gt;0.9,-1,IF(C45&lt;0.3,1,0))</f>
        <v>0</v>
      </c>
      <c r="I45" s="138">
        <v>-1</v>
      </c>
      <c r="J45" s="376">
        <v>-1</v>
      </c>
      <c r="K45" s="377">
        <f t="shared" si="7"/>
        <v>-2</v>
      </c>
      <c r="L45" s="680">
        <f>MIN(SUM(G45,K45),10)</f>
        <v>4.5392607282869077</v>
      </c>
      <c r="M45" s="445">
        <f>MAX(MAX(2,ROUND(L45/2,0)*2),4)</f>
        <v>4</v>
      </c>
      <c r="N45" s="779">
        <v>2019</v>
      </c>
      <c r="O45" s="445">
        <f>O$4-N45</f>
        <v>2</v>
      </c>
      <c r="P45" s="567">
        <f>IF(O45=2,-2,MAX(O45-M45,0))</f>
        <v>-2</v>
      </c>
      <c r="Q45" s="488"/>
      <c r="R45" s="463" t="str">
        <f t="shared" si="5"/>
        <v xml:space="preserve"> </v>
      </c>
      <c r="S45" s="773">
        <f>IF(O45&lt;6,-1,0)</f>
        <v>-1</v>
      </c>
      <c r="T45" s="371" t="str">
        <f t="shared" si="8"/>
        <v xml:space="preserve"> </v>
      </c>
      <c r="U45" s="763"/>
      <c r="V45" s="468">
        <f t="shared" si="9"/>
        <v>-3</v>
      </c>
      <c r="W45" s="472" t="s">
        <v>259</v>
      </c>
      <c r="X45" s="31"/>
      <c r="Y45" s="31"/>
      <c r="Z45" s="31"/>
      <c r="AA45" s="31"/>
      <c r="AB45" s="31"/>
      <c r="AC45" s="31"/>
      <c r="AD45" s="70"/>
      <c r="AE45" s="70"/>
      <c r="AF45" s="70"/>
      <c r="AG45" s="70"/>
      <c r="AH45" s="31"/>
      <c r="AI45" s="31"/>
      <c r="AJ45" s="31"/>
      <c r="AK45" s="3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Y45" s="1"/>
      <c r="AZ45" s="1"/>
      <c r="BA45" s="1"/>
      <c r="BB45" s="1"/>
      <c r="BC45" s="1"/>
      <c r="BD45" s="1"/>
    </row>
    <row r="46" spans="1:65" s="53" customFormat="1" x14ac:dyDescent="0.35">
      <c r="A46" s="208" t="s">
        <v>124</v>
      </c>
      <c r="B46" s="470">
        <f t="shared" si="6"/>
        <v>7</v>
      </c>
      <c r="C46" s="47"/>
      <c r="D46" s="745">
        <v>26</v>
      </c>
      <c r="E46" s="733">
        <v>54</v>
      </c>
      <c r="F46" s="682"/>
      <c r="G46" s="383"/>
      <c r="H46" s="384"/>
      <c r="I46" s="138">
        <v>0</v>
      </c>
      <c r="J46" s="376">
        <v>1</v>
      </c>
      <c r="K46" s="377">
        <f t="shared" si="7"/>
        <v>1</v>
      </c>
      <c r="L46" s="674"/>
      <c r="M46" s="842"/>
      <c r="N46" s="779">
        <v>2021</v>
      </c>
      <c r="O46" s="447">
        <f>O$4-N46</f>
        <v>0</v>
      </c>
      <c r="P46" s="837">
        <f>P$2</f>
        <v>4</v>
      </c>
      <c r="Q46" s="873">
        <f>-K46</f>
        <v>-1</v>
      </c>
      <c r="R46" s="675" t="str">
        <f t="shared" si="5"/>
        <v xml:space="preserve"> </v>
      </c>
      <c r="S46" s="774"/>
      <c r="T46" s="371" t="str">
        <f t="shared" si="8"/>
        <v xml:space="preserve"> </v>
      </c>
      <c r="U46" s="763">
        <v>1</v>
      </c>
      <c r="V46" s="777">
        <f t="shared" si="9"/>
        <v>4</v>
      </c>
      <c r="W46" s="469"/>
      <c r="X46" s="31"/>
      <c r="Y46" s="31"/>
      <c r="Z46" s="31"/>
      <c r="AA46" s="31"/>
      <c r="AB46" s="31"/>
      <c r="AC46" s="31"/>
      <c r="AD46" s="70"/>
      <c r="AE46" s="70"/>
      <c r="AF46" s="70"/>
      <c r="AG46" s="70"/>
      <c r="AH46" s="31"/>
      <c r="AI46" s="31"/>
      <c r="AJ46" s="31"/>
      <c r="AK46" s="3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</row>
    <row r="47" spans="1:65" s="53" customFormat="1" x14ac:dyDescent="0.35">
      <c r="A47" s="208" t="s">
        <v>125</v>
      </c>
      <c r="B47" s="470">
        <f t="shared" si="6"/>
        <v>11</v>
      </c>
      <c r="C47" s="47"/>
      <c r="D47" s="744">
        <v>47</v>
      </c>
      <c r="E47" s="733">
        <v>52</v>
      </c>
      <c r="F47" s="682"/>
      <c r="G47" s="383"/>
      <c r="H47" s="384"/>
      <c r="I47" s="138">
        <v>1</v>
      </c>
      <c r="J47" s="376">
        <v>1</v>
      </c>
      <c r="K47" s="377">
        <f t="shared" si="7"/>
        <v>2</v>
      </c>
      <c r="L47" s="674"/>
      <c r="M47" s="842"/>
      <c r="N47" s="779"/>
      <c r="O47" s="446"/>
      <c r="P47" s="837">
        <f>P$2</f>
        <v>4</v>
      </c>
      <c r="Q47" s="873">
        <f>-K47</f>
        <v>-2</v>
      </c>
      <c r="R47" s="675" t="str">
        <f t="shared" si="5"/>
        <v xml:space="preserve"> </v>
      </c>
      <c r="S47" s="774"/>
      <c r="T47" s="371" t="str">
        <f t="shared" si="8"/>
        <v xml:space="preserve"> </v>
      </c>
      <c r="U47" s="763">
        <v>1</v>
      </c>
      <c r="V47" s="777">
        <f t="shared" si="9"/>
        <v>3</v>
      </c>
      <c r="W47" s="469"/>
      <c r="X47" s="31"/>
      <c r="Y47" s="31"/>
      <c r="Z47" s="31"/>
      <c r="AA47" s="31"/>
      <c r="AB47" s="30"/>
      <c r="AC47" s="30"/>
      <c r="AD47" s="70"/>
      <c r="AE47" s="70"/>
      <c r="AF47" s="70"/>
      <c r="AG47" s="70"/>
      <c r="AH47" s="31"/>
      <c r="AI47" s="31"/>
      <c r="AJ47" s="31"/>
      <c r="AK47" s="31"/>
      <c r="AL47" s="1"/>
      <c r="AM47" s="1"/>
      <c r="AN47" s="1"/>
      <c r="AO47" s="1"/>
      <c r="AW47" s="1"/>
      <c r="AX47" s="1"/>
    </row>
    <row r="48" spans="1:65" s="53" customFormat="1" x14ac:dyDescent="0.35">
      <c r="A48" s="208" t="s">
        <v>447</v>
      </c>
      <c r="B48" s="470">
        <f t="shared" si="6"/>
        <v>35</v>
      </c>
      <c r="C48" s="47"/>
      <c r="D48" s="744"/>
      <c r="E48" s="733"/>
      <c r="F48" s="682"/>
      <c r="G48" s="383"/>
      <c r="H48" s="384"/>
      <c r="I48" s="138"/>
      <c r="J48" s="134"/>
      <c r="K48" s="377"/>
      <c r="L48" s="674"/>
      <c r="M48" s="842"/>
      <c r="N48" s="779"/>
      <c r="O48" s="446"/>
      <c r="P48" s="837"/>
      <c r="Q48" s="873"/>
      <c r="R48" s="675"/>
      <c r="S48" s="774"/>
      <c r="T48" s="371"/>
      <c r="U48" s="763"/>
      <c r="V48" s="777"/>
      <c r="W48" s="469"/>
      <c r="X48" s="31"/>
      <c r="Y48" s="31"/>
      <c r="Z48" s="31"/>
      <c r="AA48" s="31"/>
      <c r="AB48" s="30"/>
      <c r="AC48" s="30"/>
      <c r="AD48" s="70"/>
      <c r="AE48" s="70"/>
      <c r="AF48" s="70"/>
      <c r="AG48" s="70"/>
      <c r="AH48" s="31"/>
      <c r="AI48" s="31"/>
      <c r="AJ48" s="31"/>
      <c r="AK48" s="31"/>
      <c r="AL48" s="1"/>
      <c r="AM48" s="1"/>
      <c r="AN48" s="1"/>
      <c r="AO48" s="1"/>
      <c r="AW48" s="1"/>
      <c r="AX48" s="1"/>
    </row>
    <row r="49" spans="1:65" s="53" customFormat="1" x14ac:dyDescent="0.35">
      <c r="A49" s="208" t="s">
        <v>11</v>
      </c>
      <c r="B49" s="470">
        <f t="shared" si="6"/>
        <v>11</v>
      </c>
      <c r="C49" s="387">
        <v>0.8</v>
      </c>
      <c r="D49" s="745">
        <v>22</v>
      </c>
      <c r="E49" s="735">
        <v>23</v>
      </c>
      <c r="F49" s="681">
        <v>7.63</v>
      </c>
      <c r="G49" s="374">
        <f>(F49*G$5)^G$6</f>
        <v>6.7569502726705437</v>
      </c>
      <c r="H49" s="375">
        <f>IF(C49&gt;0.9,-1,IF(C49&lt;0.3,1,0))</f>
        <v>0</v>
      </c>
      <c r="I49" s="138">
        <v>0</v>
      </c>
      <c r="J49" s="134">
        <v>0</v>
      </c>
      <c r="K49" s="377">
        <f t="shared" si="7"/>
        <v>0</v>
      </c>
      <c r="L49" s="680">
        <f>MIN(SUM(G49,K49),10)</f>
        <v>6.7569502726705437</v>
      </c>
      <c r="M49" s="445">
        <f>MAX(MAX(2,ROUND(L49/2,0)*2),4)</f>
        <v>6</v>
      </c>
      <c r="N49" s="779">
        <v>2013</v>
      </c>
      <c r="O49" s="445">
        <f>O$4-N49</f>
        <v>8</v>
      </c>
      <c r="P49" s="567">
        <f>IF(O49=2,-2,MAX(O49-M49,0))</f>
        <v>2</v>
      </c>
      <c r="Q49" s="488"/>
      <c r="R49" s="463" t="str">
        <f t="shared" si="5"/>
        <v xml:space="preserve"> </v>
      </c>
      <c r="S49" s="773"/>
      <c r="T49" s="371">
        <f t="shared" si="8"/>
        <v>1</v>
      </c>
      <c r="U49" s="763"/>
      <c r="V49" s="468">
        <f t="shared" si="9"/>
        <v>3</v>
      </c>
      <c r="W49" s="469"/>
      <c r="X49" s="31"/>
      <c r="Y49" s="31"/>
      <c r="Z49" s="31"/>
      <c r="AA49" s="31"/>
      <c r="AB49" s="31"/>
      <c r="AC49" s="31"/>
      <c r="AD49" s="70"/>
      <c r="AE49" s="70"/>
      <c r="AF49" s="70"/>
      <c r="AG49" s="70"/>
      <c r="AH49" s="31"/>
      <c r="AI49" s="31"/>
      <c r="AJ49" s="31"/>
      <c r="AK49" s="31"/>
      <c r="AL49" s="1"/>
      <c r="AM49" s="1"/>
      <c r="AN49" s="1"/>
      <c r="AO49" s="1"/>
      <c r="AW49" s="1"/>
      <c r="AX49" s="1"/>
    </row>
    <row r="50" spans="1:65" s="53" customFormat="1" x14ac:dyDescent="0.35">
      <c r="A50" s="208" t="s">
        <v>20</v>
      </c>
      <c r="B50" s="470">
        <f t="shared" si="6"/>
        <v>21</v>
      </c>
      <c r="C50" s="47"/>
      <c r="D50" s="744">
        <v>44</v>
      </c>
      <c r="E50" s="733">
        <v>55</v>
      </c>
      <c r="F50" s="682"/>
      <c r="G50" s="383"/>
      <c r="H50" s="384"/>
      <c r="I50" s="138">
        <v>1</v>
      </c>
      <c r="J50" s="376">
        <v>1</v>
      </c>
      <c r="K50" s="377">
        <f t="shared" si="7"/>
        <v>2</v>
      </c>
      <c r="L50" s="674"/>
      <c r="M50" s="842"/>
      <c r="N50" s="779"/>
      <c r="O50" s="446"/>
      <c r="P50" s="837">
        <f>P$2</f>
        <v>4</v>
      </c>
      <c r="Q50" s="873">
        <f>-K50</f>
        <v>-2</v>
      </c>
      <c r="R50" s="675" t="str">
        <f t="shared" si="5"/>
        <v xml:space="preserve"> </v>
      </c>
      <c r="S50" s="774"/>
      <c r="T50" s="371" t="str">
        <f t="shared" si="8"/>
        <v xml:space="preserve"> </v>
      </c>
      <c r="U50" s="763"/>
      <c r="V50" s="777">
        <f t="shared" si="9"/>
        <v>2</v>
      </c>
      <c r="W50" s="469"/>
      <c r="X50" s="70"/>
      <c r="Y50" s="70"/>
      <c r="Z50" s="31"/>
      <c r="AA50" s="31"/>
      <c r="AB50" s="31"/>
      <c r="AC50" s="31"/>
      <c r="AD50" s="70"/>
      <c r="AE50" s="70"/>
      <c r="AF50" s="70"/>
      <c r="AG50" s="70"/>
      <c r="AH50" s="31"/>
      <c r="AI50" s="31"/>
      <c r="AJ50" s="31"/>
      <c r="AK50" s="3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65" s="53" customFormat="1" x14ac:dyDescent="0.35">
      <c r="A51" s="208" t="s">
        <v>448</v>
      </c>
      <c r="B51" s="470">
        <f t="shared" si="6"/>
        <v>35</v>
      </c>
      <c r="C51" s="47"/>
      <c r="D51" s="744"/>
      <c r="E51" s="733"/>
      <c r="F51" s="682"/>
      <c r="G51" s="383"/>
      <c r="H51" s="384"/>
      <c r="I51" s="138"/>
      <c r="J51" s="376"/>
      <c r="K51" s="377"/>
      <c r="L51" s="674"/>
      <c r="M51" s="842"/>
      <c r="N51" s="779"/>
      <c r="O51" s="446"/>
      <c r="P51" s="837"/>
      <c r="Q51" s="873"/>
      <c r="R51" s="675"/>
      <c r="S51" s="774"/>
      <c r="T51" s="371"/>
      <c r="U51" s="763"/>
      <c r="V51" s="777"/>
      <c r="W51" s="469"/>
      <c r="X51" s="70"/>
      <c r="Y51" s="70"/>
      <c r="Z51" s="31"/>
      <c r="AA51" s="31"/>
      <c r="AB51" s="31"/>
      <c r="AC51" s="31"/>
      <c r="AD51" s="70"/>
      <c r="AE51" s="70"/>
      <c r="AF51" s="70"/>
      <c r="AG51" s="70"/>
      <c r="AH51" s="31"/>
      <c r="AI51" s="31"/>
      <c r="AJ51" s="31"/>
      <c r="AK51" s="3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65" s="53" customFormat="1" x14ac:dyDescent="0.35">
      <c r="A52" s="208" t="s">
        <v>464</v>
      </c>
      <c r="B52" s="470">
        <f t="shared" si="6"/>
        <v>35</v>
      </c>
      <c r="C52" s="47"/>
      <c r="D52" s="744"/>
      <c r="E52" s="733"/>
      <c r="F52" s="682"/>
      <c r="G52" s="383"/>
      <c r="H52" s="384"/>
      <c r="I52" s="138"/>
      <c r="J52" s="376"/>
      <c r="K52" s="377"/>
      <c r="L52" s="674"/>
      <c r="M52" s="842"/>
      <c r="N52" s="779"/>
      <c r="O52" s="446"/>
      <c r="P52" s="837"/>
      <c r="Q52" s="873"/>
      <c r="R52" s="675"/>
      <c r="S52" s="774"/>
      <c r="T52" s="371"/>
      <c r="U52" s="763"/>
      <c r="V52" s="777"/>
      <c r="W52" s="469"/>
      <c r="X52" s="70"/>
      <c r="Y52" s="70"/>
      <c r="Z52" s="31"/>
      <c r="AA52" s="31"/>
      <c r="AB52" s="31"/>
      <c r="AC52" s="31"/>
      <c r="AD52" s="70"/>
      <c r="AE52" s="70"/>
      <c r="AF52" s="70"/>
      <c r="AG52" s="70"/>
      <c r="AH52" s="31"/>
      <c r="AI52" s="31"/>
      <c r="AJ52" s="31"/>
      <c r="AK52" s="3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s="53" customFormat="1" x14ac:dyDescent="0.35">
      <c r="A53" s="208" t="s">
        <v>421</v>
      </c>
      <c r="B53" s="470">
        <f t="shared" si="6"/>
        <v>21</v>
      </c>
      <c r="C53" s="387">
        <v>0.4</v>
      </c>
      <c r="D53" s="745">
        <v>27</v>
      </c>
      <c r="E53" s="733">
        <v>43</v>
      </c>
      <c r="F53" s="681">
        <v>32.51</v>
      </c>
      <c r="G53" s="374">
        <f>(F53*G$5)^G$6</f>
        <v>11.720815961227053</v>
      </c>
      <c r="H53" s="375">
        <f>IF(C53&gt;0.9,-1,IF(C53&lt;0.3,1,0))</f>
        <v>0</v>
      </c>
      <c r="I53" s="138">
        <v>0</v>
      </c>
      <c r="J53" s="376">
        <v>1</v>
      </c>
      <c r="K53" s="377">
        <f t="shared" si="7"/>
        <v>1</v>
      </c>
      <c r="L53" s="680">
        <f>MIN(SUM(G53,K53),10)</f>
        <v>10</v>
      </c>
      <c r="M53" s="445">
        <f>MAX(MAX(2,ROUND(L53/2,0)*2),4)</f>
        <v>10</v>
      </c>
      <c r="N53" s="779">
        <v>2013</v>
      </c>
      <c r="O53" s="445">
        <f>O$4-N53</f>
        <v>8</v>
      </c>
      <c r="P53" s="567">
        <f>IF(O53=2,-2,MAX(O53-M53,0))</f>
        <v>0</v>
      </c>
      <c r="Q53" s="488"/>
      <c r="R53" s="463" t="str">
        <f t="shared" si="5"/>
        <v xml:space="preserve"> </v>
      </c>
      <c r="S53" s="773"/>
      <c r="T53" s="371" t="str">
        <f t="shared" si="8"/>
        <v xml:space="preserve"> </v>
      </c>
      <c r="U53" s="763">
        <v>2</v>
      </c>
      <c r="V53" s="468">
        <f t="shared" si="9"/>
        <v>2</v>
      </c>
      <c r="W53" s="469"/>
      <c r="X53" s="31"/>
      <c r="Y53" s="31"/>
      <c r="Z53" s="31"/>
      <c r="AA53" s="31"/>
      <c r="AB53" s="30"/>
      <c r="AC53" s="30"/>
      <c r="AD53" s="70"/>
      <c r="AE53" s="70"/>
      <c r="AF53" s="70"/>
      <c r="AG53" s="70"/>
      <c r="AH53" s="31"/>
      <c r="AI53" s="31"/>
      <c r="AJ53" s="31"/>
      <c r="AK53" s="31"/>
      <c r="AL53" s="1"/>
      <c r="AM53" s="1"/>
      <c r="AN53" s="1"/>
      <c r="AO53" s="1"/>
      <c r="AW53" s="1"/>
      <c r="AX53" s="1"/>
    </row>
    <row r="54" spans="1:65" s="53" customFormat="1" x14ac:dyDescent="0.35">
      <c r="A54" s="91" t="s">
        <v>100</v>
      </c>
      <c r="B54" s="470">
        <f t="shared" si="6"/>
        <v>50</v>
      </c>
      <c r="C54" s="387">
        <v>1.4</v>
      </c>
      <c r="D54" s="746">
        <v>1</v>
      </c>
      <c r="E54" s="734">
        <v>2</v>
      </c>
      <c r="F54" s="687">
        <v>9.9</v>
      </c>
      <c r="G54" s="374">
        <f>(F54*G$5)^G$6</f>
        <v>7.4598959892890644</v>
      </c>
      <c r="H54" s="375">
        <f>IF(C54&gt;0.9,-1,IF(C54&lt;0.3,1,0))</f>
        <v>-1</v>
      </c>
      <c r="I54" s="138">
        <v>-1</v>
      </c>
      <c r="J54" s="376">
        <v>-1</v>
      </c>
      <c r="K54" s="377">
        <f t="shared" si="7"/>
        <v>-3</v>
      </c>
      <c r="L54" s="680">
        <f>MIN(SUM(G54,K54),10)</f>
        <v>4.4598959892890644</v>
      </c>
      <c r="M54" s="445">
        <f>MAX(MAX(2,ROUND(L54/2,0)*2),4)</f>
        <v>4</v>
      </c>
      <c r="N54" s="779">
        <v>2021</v>
      </c>
      <c r="O54" s="445">
        <f>O$4-N54</f>
        <v>0</v>
      </c>
      <c r="P54" s="567">
        <v>-2</v>
      </c>
      <c r="Q54" s="488"/>
      <c r="R54" s="463" t="str">
        <f t="shared" si="5"/>
        <v xml:space="preserve"> </v>
      </c>
      <c r="S54" s="773"/>
      <c r="T54" s="371" t="str">
        <f t="shared" si="8"/>
        <v xml:space="preserve"> </v>
      </c>
      <c r="U54" s="763"/>
      <c r="V54" s="468">
        <f t="shared" si="9"/>
        <v>-2</v>
      </c>
      <c r="W54" s="469"/>
      <c r="X54" s="189"/>
      <c r="Y54" s="31"/>
      <c r="Z54" s="31"/>
      <c r="AA54" s="31"/>
      <c r="AB54" s="31"/>
      <c r="AC54" s="31"/>
      <c r="AD54" s="70"/>
      <c r="AE54" s="70"/>
      <c r="AF54" s="70"/>
      <c r="AG54" s="70"/>
      <c r="AH54" s="31"/>
      <c r="AI54" s="31"/>
      <c r="AJ54" s="31"/>
      <c r="AK54" s="3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Y54" s="1"/>
      <c r="AZ54" s="1"/>
      <c r="BA54" s="1"/>
      <c r="BB54" s="1"/>
      <c r="BC54" s="1"/>
      <c r="BD54" s="1"/>
    </row>
    <row r="55" spans="1:65" x14ac:dyDescent="0.35">
      <c r="A55" s="208" t="s">
        <v>15</v>
      </c>
      <c r="B55" s="470">
        <f t="shared" si="6"/>
        <v>21</v>
      </c>
      <c r="C55" s="47"/>
      <c r="D55" s="745">
        <v>34</v>
      </c>
      <c r="E55" s="733">
        <v>40</v>
      </c>
      <c r="F55" s="682"/>
      <c r="G55" s="383"/>
      <c r="H55" s="384"/>
      <c r="I55" s="138">
        <v>0</v>
      </c>
      <c r="J55" s="376">
        <v>1</v>
      </c>
      <c r="K55" s="377">
        <f t="shared" si="7"/>
        <v>1</v>
      </c>
      <c r="L55" s="674"/>
      <c r="M55" s="842"/>
      <c r="N55" s="779"/>
      <c r="O55" s="446"/>
      <c r="P55" s="837">
        <f>P$2</f>
        <v>4</v>
      </c>
      <c r="Q55" s="873">
        <f>-K55</f>
        <v>-1</v>
      </c>
      <c r="R55" s="675" t="str">
        <f t="shared" si="5"/>
        <v xml:space="preserve"> </v>
      </c>
      <c r="S55" s="774"/>
      <c r="T55" s="371" t="str">
        <f t="shared" si="8"/>
        <v xml:space="preserve"> </v>
      </c>
      <c r="U55" s="763">
        <v>-1</v>
      </c>
      <c r="V55" s="777">
        <f t="shared" si="9"/>
        <v>2</v>
      </c>
      <c r="W55" s="469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65" s="53" customFormat="1" x14ac:dyDescent="0.35">
      <c r="A56" s="208" t="s">
        <v>176</v>
      </c>
      <c r="B56" s="470">
        <f t="shared" si="6"/>
        <v>39</v>
      </c>
      <c r="C56" s="387">
        <v>0.8</v>
      </c>
      <c r="D56" s="747">
        <v>55</v>
      </c>
      <c r="E56" s="736">
        <v>38</v>
      </c>
      <c r="F56" s="681">
        <v>13.32</v>
      </c>
      <c r="G56" s="378">
        <f>(F56*G$5)^G$6</f>
        <v>8.3503177889310205</v>
      </c>
      <c r="H56" s="137">
        <f>IF(C56&gt;0.9,-1,IF(C56&lt;0.3,1,0))</f>
        <v>0</v>
      </c>
      <c r="I56" s="379">
        <v>1</v>
      </c>
      <c r="J56" s="380">
        <v>0</v>
      </c>
      <c r="K56" s="381">
        <f t="shared" si="7"/>
        <v>1</v>
      </c>
      <c r="L56" s="686">
        <f>MIN(SUM(G56,K56),10)</f>
        <v>9.3503177889310205</v>
      </c>
      <c r="M56" s="447">
        <f>MAX(MAX(2,ROUND(L56/2,0)*2),4)</f>
        <v>10</v>
      </c>
      <c r="N56" s="779">
        <v>2013</v>
      </c>
      <c r="O56" s="447">
        <f>O$4-N56</f>
        <v>8</v>
      </c>
      <c r="P56" s="754">
        <f>IF(O56=2,-2,MAX(O56-M56,0))</f>
        <v>0</v>
      </c>
      <c r="Q56" s="874"/>
      <c r="R56" s="464" t="str">
        <f t="shared" si="5"/>
        <v xml:space="preserve"> </v>
      </c>
      <c r="S56" s="775"/>
      <c r="T56" s="371" t="str">
        <f t="shared" si="8"/>
        <v xml:space="preserve"> </v>
      </c>
      <c r="U56" s="764">
        <v>-1</v>
      </c>
      <c r="V56" s="468">
        <f t="shared" si="9"/>
        <v>-1</v>
      </c>
      <c r="W56" s="469"/>
      <c r="X56" s="31"/>
      <c r="Y56" s="31"/>
      <c r="Z56" s="31"/>
      <c r="AA56" s="31"/>
      <c r="AB56" s="31"/>
      <c r="AC56" s="31"/>
      <c r="AD56" s="70"/>
      <c r="AE56" s="70"/>
      <c r="AF56" s="70"/>
      <c r="AG56" s="70"/>
      <c r="AH56" s="31"/>
      <c r="AI56" s="31"/>
      <c r="AJ56" s="31"/>
      <c r="AK56" s="31"/>
      <c r="AL56" s="1"/>
      <c r="AM56" s="1"/>
      <c r="AN56" s="1"/>
      <c r="AO56" s="1"/>
      <c r="AW56" s="1"/>
      <c r="AX56" s="1"/>
    </row>
    <row r="57" spans="1:65" s="53" customFormat="1" x14ac:dyDescent="0.35">
      <c r="A57" s="208" t="s">
        <v>126</v>
      </c>
      <c r="B57" s="470">
        <f t="shared" si="6"/>
        <v>11</v>
      </c>
      <c r="C57" s="47"/>
      <c r="D57" s="744">
        <v>52</v>
      </c>
      <c r="E57" s="733">
        <v>56</v>
      </c>
      <c r="F57" s="682"/>
      <c r="G57" s="383"/>
      <c r="H57" s="384"/>
      <c r="I57" s="138">
        <v>1</v>
      </c>
      <c r="J57" s="376">
        <v>1</v>
      </c>
      <c r="K57" s="377">
        <f t="shared" si="7"/>
        <v>2</v>
      </c>
      <c r="L57" s="674"/>
      <c r="M57" s="842"/>
      <c r="N57" s="779"/>
      <c r="O57" s="446"/>
      <c r="P57" s="837">
        <f>P$2</f>
        <v>4</v>
      </c>
      <c r="Q57" s="873">
        <f>-K57</f>
        <v>-2</v>
      </c>
      <c r="R57" s="675" t="str">
        <f t="shared" si="5"/>
        <v xml:space="preserve"> </v>
      </c>
      <c r="S57" s="774"/>
      <c r="T57" s="371" t="str">
        <f t="shared" si="8"/>
        <v xml:space="preserve"> </v>
      </c>
      <c r="U57" s="763">
        <v>1</v>
      </c>
      <c r="V57" s="777">
        <f t="shared" si="9"/>
        <v>3</v>
      </c>
      <c r="W57" s="469"/>
      <c r="X57" s="31"/>
      <c r="Y57" s="31"/>
      <c r="Z57" s="31"/>
      <c r="AA57" s="31"/>
      <c r="AB57" s="31"/>
      <c r="AC57" s="31"/>
      <c r="AD57" s="70"/>
      <c r="AE57" s="70"/>
      <c r="AF57" s="70"/>
      <c r="AG57" s="70"/>
      <c r="AH57" s="31"/>
      <c r="AI57" s="31"/>
      <c r="AJ57" s="31"/>
      <c r="AK57" s="3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s="90" t="s">
        <v>96</v>
      </c>
      <c r="B58" s="470">
        <f t="shared" si="6"/>
        <v>32</v>
      </c>
      <c r="C58" s="387">
        <v>0.5</v>
      </c>
      <c r="D58" s="746">
        <v>18</v>
      </c>
      <c r="E58" s="734">
        <v>5</v>
      </c>
      <c r="F58" s="681">
        <v>25.4</v>
      </c>
      <c r="G58" s="374">
        <f>(F58*G$5)^G$6</f>
        <v>10.671567375563921</v>
      </c>
      <c r="H58" s="375">
        <f>IF(C58&gt;0.9,-1,IF(C58&lt;0.3,1,0))</f>
        <v>0</v>
      </c>
      <c r="I58" s="138">
        <v>-1</v>
      </c>
      <c r="J58" s="376">
        <v>-1</v>
      </c>
      <c r="K58" s="377">
        <f t="shared" si="7"/>
        <v>-2</v>
      </c>
      <c r="L58" s="680">
        <f>MIN(SUM(G58,K58),10)</f>
        <v>8.6715673755639209</v>
      </c>
      <c r="M58" s="445">
        <f>MAX(MAX(2,ROUND(L58/2,0)*2),4)</f>
        <v>8</v>
      </c>
      <c r="N58" s="779">
        <v>2013</v>
      </c>
      <c r="O58" s="445">
        <f>O$4-N58</f>
        <v>8</v>
      </c>
      <c r="P58" s="567">
        <f>IF(O58=2,-2,MAX(O58-M58,0))</f>
        <v>0</v>
      </c>
      <c r="Q58" s="488"/>
      <c r="R58" s="463" t="str">
        <f t="shared" si="5"/>
        <v xml:space="preserve"> </v>
      </c>
      <c r="S58" s="773"/>
      <c r="T58" s="371">
        <f t="shared" si="8"/>
        <v>1</v>
      </c>
      <c r="U58" s="763"/>
      <c r="V58" s="468">
        <f t="shared" si="9"/>
        <v>1</v>
      </c>
      <c r="W58" s="469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53"/>
      <c r="AM58" s="53"/>
      <c r="AN58" s="53"/>
      <c r="AO58" s="53"/>
    </row>
    <row r="59" spans="1:65" x14ac:dyDescent="0.35">
      <c r="A59" s="90" t="s">
        <v>450</v>
      </c>
      <c r="B59" s="470">
        <f t="shared" si="6"/>
        <v>35</v>
      </c>
      <c r="C59" s="387"/>
      <c r="D59" s="746"/>
      <c r="E59" s="734"/>
      <c r="F59" s="681"/>
      <c r="G59" s="374"/>
      <c r="H59" s="375"/>
      <c r="I59" s="138"/>
      <c r="J59" s="376"/>
      <c r="K59" s="377"/>
      <c r="L59" s="680"/>
      <c r="M59" s="445"/>
      <c r="N59" s="779"/>
      <c r="O59" s="445"/>
      <c r="P59" s="567"/>
      <c r="Q59" s="488"/>
      <c r="R59" s="463"/>
      <c r="S59" s="773"/>
      <c r="T59" s="371"/>
      <c r="U59" s="763"/>
      <c r="V59" s="468"/>
      <c r="W59" s="469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53"/>
      <c r="AM59" s="53"/>
      <c r="AN59" s="53"/>
      <c r="AO59" s="53"/>
    </row>
    <row r="60" spans="1:65" x14ac:dyDescent="0.35">
      <c r="A60" s="208" t="s">
        <v>127</v>
      </c>
      <c r="B60" s="470">
        <f t="shared" si="6"/>
        <v>11</v>
      </c>
      <c r="C60" s="47"/>
      <c r="D60" s="744">
        <v>41</v>
      </c>
      <c r="E60" s="735">
        <v>37</v>
      </c>
      <c r="F60" s="682"/>
      <c r="G60" s="383"/>
      <c r="H60" s="384"/>
      <c r="I60" s="138">
        <v>1</v>
      </c>
      <c r="J60" s="376">
        <v>0</v>
      </c>
      <c r="K60" s="377">
        <f t="shared" si="7"/>
        <v>1</v>
      </c>
      <c r="L60" s="674"/>
      <c r="M60" s="842"/>
      <c r="N60" s="779"/>
      <c r="O60" s="446"/>
      <c r="P60" s="837">
        <f>P$2</f>
        <v>4</v>
      </c>
      <c r="Q60" s="873">
        <f>-K60</f>
        <v>-1</v>
      </c>
      <c r="R60" s="675" t="str">
        <f t="shared" si="5"/>
        <v xml:space="preserve"> </v>
      </c>
      <c r="S60" s="774"/>
      <c r="T60" s="371" t="str">
        <f t="shared" si="8"/>
        <v xml:space="preserve"> </v>
      </c>
      <c r="U60" s="763"/>
      <c r="V60" s="777">
        <f t="shared" si="9"/>
        <v>3</v>
      </c>
      <c r="W60" s="469"/>
      <c r="X60" s="70"/>
      <c r="Y60" s="70"/>
      <c r="Z60" s="70"/>
      <c r="AA60" s="70"/>
      <c r="AB60" s="70"/>
      <c r="AC60" s="70"/>
      <c r="AD60" s="31"/>
      <c r="AE60" s="31"/>
      <c r="AF60" s="31"/>
      <c r="AG60" s="31"/>
      <c r="AH60" s="70"/>
      <c r="AI60" s="70"/>
      <c r="AJ60" s="70"/>
      <c r="AK60" s="70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Y60" s="53"/>
      <c r="AZ60" s="53"/>
      <c r="BA60" s="53"/>
      <c r="BB60" s="53"/>
      <c r="BC60" s="53"/>
      <c r="BD60" s="53"/>
    </row>
    <row r="61" spans="1:65" s="53" customFormat="1" x14ac:dyDescent="0.35">
      <c r="A61" s="208" t="s">
        <v>178</v>
      </c>
      <c r="B61" s="470">
        <f t="shared" si="6"/>
        <v>2</v>
      </c>
      <c r="C61" s="387">
        <v>1</v>
      </c>
      <c r="D61" s="744">
        <v>50</v>
      </c>
      <c r="E61" s="734">
        <v>19</v>
      </c>
      <c r="F61" s="681">
        <v>15.91</v>
      </c>
      <c r="G61" s="374">
        <f>(F61*G$5)^G$6</f>
        <v>8.9335910207891551</v>
      </c>
      <c r="H61" s="375">
        <f>IF(C61&gt;0.9,-1,IF(C61&lt;0.3,1,0))</f>
        <v>-1</v>
      </c>
      <c r="I61" s="138">
        <v>1</v>
      </c>
      <c r="J61" s="376">
        <v>-1</v>
      </c>
      <c r="K61" s="377">
        <f t="shared" si="7"/>
        <v>-1</v>
      </c>
      <c r="L61" s="677">
        <f>MIN(SUM(G61,K61),10)</f>
        <v>7.9335910207891551</v>
      </c>
      <c r="M61" s="445">
        <f>MAX(MAX(2,ROUND(L61/2,0)*2),4)</f>
        <v>8</v>
      </c>
      <c r="N61" s="779">
        <v>2009</v>
      </c>
      <c r="O61" s="445">
        <f>O$4-N61</f>
        <v>12</v>
      </c>
      <c r="P61" s="567">
        <f>IF(O61=2,-2,MAX(O61-M61,0))</f>
        <v>4</v>
      </c>
      <c r="Q61" s="488"/>
      <c r="R61" s="463">
        <f t="shared" si="5"/>
        <v>1</v>
      </c>
      <c r="S61" s="773"/>
      <c r="T61" s="371">
        <f t="shared" si="8"/>
        <v>1</v>
      </c>
      <c r="U61" s="763"/>
      <c r="V61" s="468">
        <f t="shared" si="9"/>
        <v>6</v>
      </c>
      <c r="W61" s="469"/>
      <c r="X61" s="70"/>
      <c r="Y61" s="70"/>
      <c r="Z61" s="70"/>
      <c r="AA61" s="70"/>
      <c r="AB61" s="70"/>
      <c r="AC61" s="70"/>
      <c r="AD61" s="31"/>
      <c r="AE61" s="31"/>
      <c r="AF61" s="31"/>
      <c r="AG61" s="31"/>
      <c r="AH61" s="70"/>
      <c r="AI61" s="70"/>
      <c r="AJ61" s="70"/>
      <c r="AK61" s="70"/>
      <c r="AW61" s="1"/>
      <c r="AX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53" customFormat="1" x14ac:dyDescent="0.35">
      <c r="A62" s="208" t="s">
        <v>128</v>
      </c>
      <c r="B62" s="470">
        <f t="shared" si="6"/>
        <v>11</v>
      </c>
      <c r="C62" s="47"/>
      <c r="D62" s="744">
        <v>54</v>
      </c>
      <c r="E62" s="733">
        <v>47</v>
      </c>
      <c r="F62" s="682"/>
      <c r="G62" s="383"/>
      <c r="H62" s="384"/>
      <c r="I62" s="138">
        <v>1</v>
      </c>
      <c r="J62" s="376">
        <v>1</v>
      </c>
      <c r="K62" s="377">
        <f t="shared" si="7"/>
        <v>2</v>
      </c>
      <c r="L62" s="674"/>
      <c r="M62" s="842"/>
      <c r="N62" s="779">
        <v>2021</v>
      </c>
      <c r="O62" s="445">
        <f>O$4-N62</f>
        <v>0</v>
      </c>
      <c r="P62" s="837">
        <f>P$2</f>
        <v>4</v>
      </c>
      <c r="Q62" s="873">
        <f>-K62</f>
        <v>-2</v>
      </c>
      <c r="R62" s="675" t="str">
        <f t="shared" si="5"/>
        <v xml:space="preserve"> </v>
      </c>
      <c r="S62" s="774"/>
      <c r="T62" s="371" t="str">
        <f t="shared" si="8"/>
        <v xml:space="preserve"> </v>
      </c>
      <c r="U62" s="763">
        <v>1</v>
      </c>
      <c r="V62" s="777">
        <f t="shared" si="9"/>
        <v>3</v>
      </c>
      <c r="W62" s="469"/>
      <c r="X62" s="70"/>
      <c r="Y62" s="70"/>
      <c r="Z62" s="70"/>
      <c r="AA62" s="70"/>
      <c r="AB62" s="70"/>
      <c r="AC62" s="70"/>
      <c r="AD62" s="31"/>
      <c r="AE62" s="31"/>
      <c r="AF62" s="31"/>
      <c r="AG62" s="31"/>
      <c r="AH62" s="70"/>
      <c r="AI62" s="70"/>
      <c r="AJ62" s="70"/>
      <c r="AK62" s="70"/>
      <c r="AP62" s="1"/>
      <c r="AQ62" s="1"/>
      <c r="AR62" s="1"/>
      <c r="AS62" s="1"/>
      <c r="AT62" s="1"/>
      <c r="AU62" s="1"/>
      <c r="AV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53" customFormat="1" x14ac:dyDescent="0.35">
      <c r="A63" s="90" t="s">
        <v>18</v>
      </c>
      <c r="B63" s="470">
        <f t="shared" si="6"/>
        <v>21</v>
      </c>
      <c r="C63" s="387"/>
      <c r="D63" s="744">
        <v>40</v>
      </c>
      <c r="E63" s="735">
        <v>29</v>
      </c>
      <c r="F63" s="681"/>
      <c r="G63" s="374"/>
      <c r="H63" s="375"/>
      <c r="I63" s="138">
        <v>1</v>
      </c>
      <c r="J63" s="376">
        <v>0</v>
      </c>
      <c r="K63" s="377">
        <f t="shared" si="7"/>
        <v>1</v>
      </c>
      <c r="L63" s="677"/>
      <c r="M63" s="445"/>
      <c r="N63" s="779"/>
      <c r="O63" s="445"/>
      <c r="P63" s="837">
        <f>P$2</f>
        <v>4</v>
      </c>
      <c r="Q63" s="873">
        <f>-K63</f>
        <v>-1</v>
      </c>
      <c r="R63" s="463" t="str">
        <f t="shared" si="5"/>
        <v xml:space="preserve"> </v>
      </c>
      <c r="S63" s="773"/>
      <c r="T63" s="371" t="str">
        <f t="shared" si="8"/>
        <v xml:space="preserve"> </v>
      </c>
      <c r="U63" s="763">
        <v>-1</v>
      </c>
      <c r="V63" s="777">
        <f t="shared" si="9"/>
        <v>2</v>
      </c>
      <c r="W63" s="469"/>
      <c r="X63" s="70"/>
      <c r="Y63" s="70"/>
      <c r="Z63" s="70"/>
      <c r="AA63" s="70"/>
      <c r="AB63" s="70"/>
      <c r="AC63" s="70"/>
      <c r="AD63" s="31"/>
      <c r="AE63" s="31"/>
      <c r="AF63" s="31"/>
      <c r="AG63" s="31"/>
      <c r="AH63" s="70"/>
      <c r="AI63" s="70"/>
      <c r="AJ63" s="70"/>
      <c r="AK63" s="70"/>
      <c r="AP63" s="1"/>
      <c r="AQ63" s="1"/>
      <c r="AR63" s="1"/>
      <c r="AS63" s="1"/>
      <c r="AT63" s="1"/>
      <c r="AU63" s="1"/>
      <c r="AV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3" customFormat="1" x14ac:dyDescent="0.35">
      <c r="A64" s="90" t="s">
        <v>451</v>
      </c>
      <c r="B64" s="470">
        <f t="shared" si="6"/>
        <v>35</v>
      </c>
      <c r="C64" s="387"/>
      <c r="D64" s="744"/>
      <c r="E64" s="735"/>
      <c r="F64" s="681"/>
      <c r="G64" s="374"/>
      <c r="H64" s="375"/>
      <c r="I64" s="138"/>
      <c r="J64" s="376"/>
      <c r="K64" s="377"/>
      <c r="L64" s="677"/>
      <c r="M64" s="445"/>
      <c r="N64" s="779"/>
      <c r="O64" s="445"/>
      <c r="P64" s="837"/>
      <c r="Q64" s="873"/>
      <c r="R64" s="463"/>
      <c r="S64" s="773"/>
      <c r="T64" s="371"/>
      <c r="U64" s="763"/>
      <c r="V64" s="777"/>
      <c r="W64" s="469"/>
      <c r="X64" s="70"/>
      <c r="Y64" s="70"/>
      <c r="Z64" s="70"/>
      <c r="AA64" s="70"/>
      <c r="AB64" s="70"/>
      <c r="AC64" s="70"/>
      <c r="AD64" s="31"/>
      <c r="AE64" s="31"/>
      <c r="AF64" s="31"/>
      <c r="AG64" s="31"/>
      <c r="AH64" s="70"/>
      <c r="AI64" s="70"/>
      <c r="AJ64" s="70"/>
      <c r="AK64" s="70"/>
      <c r="AP64" s="1"/>
      <c r="AQ64" s="1"/>
      <c r="AR64" s="1"/>
      <c r="AS64" s="1"/>
      <c r="AT64" s="1"/>
      <c r="AU64" s="1"/>
      <c r="AV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53" customFormat="1" x14ac:dyDescent="0.35">
      <c r="A65" s="208" t="s">
        <v>129</v>
      </c>
      <c r="B65" s="470">
        <f t="shared" si="6"/>
        <v>7</v>
      </c>
      <c r="C65" s="47"/>
      <c r="D65" s="744">
        <v>46</v>
      </c>
      <c r="E65" s="735">
        <v>30</v>
      </c>
      <c r="F65" s="682"/>
      <c r="G65" s="383"/>
      <c r="H65" s="384"/>
      <c r="I65" s="138">
        <v>1</v>
      </c>
      <c r="J65" s="376">
        <v>0</v>
      </c>
      <c r="K65" s="377">
        <f t="shared" si="7"/>
        <v>1</v>
      </c>
      <c r="L65" s="674"/>
      <c r="M65" s="842"/>
      <c r="N65" s="779"/>
      <c r="O65" s="446"/>
      <c r="P65" s="837">
        <f>P$2</f>
        <v>4</v>
      </c>
      <c r="Q65" s="873">
        <f>-K65</f>
        <v>-1</v>
      </c>
      <c r="R65" s="675" t="str">
        <f t="shared" si="5"/>
        <v xml:space="preserve"> </v>
      </c>
      <c r="S65" s="774"/>
      <c r="T65" s="371" t="str">
        <f t="shared" si="8"/>
        <v xml:space="preserve"> </v>
      </c>
      <c r="U65" s="763">
        <v>1</v>
      </c>
      <c r="V65" s="777">
        <f t="shared" si="9"/>
        <v>4</v>
      </c>
      <c r="W65" s="469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35">
      <c r="A66" s="208" t="s">
        <v>291</v>
      </c>
      <c r="B66" s="470">
        <f t="shared" si="6"/>
        <v>7</v>
      </c>
      <c r="C66" s="47"/>
      <c r="D66" s="745">
        <v>31</v>
      </c>
      <c r="E66" s="733">
        <v>53</v>
      </c>
      <c r="F66" s="682"/>
      <c r="G66" s="383"/>
      <c r="H66" s="384"/>
      <c r="I66" s="138">
        <v>0</v>
      </c>
      <c r="J66" s="376">
        <v>1</v>
      </c>
      <c r="K66" s="377">
        <f t="shared" si="7"/>
        <v>1</v>
      </c>
      <c r="L66" s="674"/>
      <c r="M66" s="842"/>
      <c r="N66" s="779"/>
      <c r="O66" s="446"/>
      <c r="P66" s="837">
        <f>P$2</f>
        <v>4</v>
      </c>
      <c r="Q66" s="873">
        <f>-K66</f>
        <v>-1</v>
      </c>
      <c r="R66" s="675" t="str">
        <f t="shared" si="5"/>
        <v xml:space="preserve"> </v>
      </c>
      <c r="S66" s="774"/>
      <c r="T66" s="371" t="str">
        <f t="shared" si="8"/>
        <v xml:space="preserve"> </v>
      </c>
      <c r="U66" s="763">
        <v>1</v>
      </c>
      <c r="V66" s="777">
        <f t="shared" si="9"/>
        <v>4</v>
      </c>
      <c r="W66" s="469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53"/>
      <c r="AM66" s="53"/>
      <c r="AN66" s="53"/>
      <c r="AO66" s="53"/>
    </row>
    <row r="67" spans="1:65" s="53" customFormat="1" x14ac:dyDescent="0.35">
      <c r="A67" s="208" t="s">
        <v>335</v>
      </c>
      <c r="B67" s="470">
        <f t="shared" si="6"/>
        <v>2</v>
      </c>
      <c r="C67" s="47"/>
      <c r="D67" s="746">
        <v>9</v>
      </c>
      <c r="E67" s="733">
        <v>49</v>
      </c>
      <c r="F67" s="682"/>
      <c r="G67" s="383"/>
      <c r="H67" s="375"/>
      <c r="I67" s="138">
        <v>-1</v>
      </c>
      <c r="J67" s="376">
        <v>1</v>
      </c>
      <c r="K67" s="377">
        <f t="shared" si="7"/>
        <v>0</v>
      </c>
      <c r="L67" s="674"/>
      <c r="M67" s="842"/>
      <c r="N67" s="779">
        <v>2021</v>
      </c>
      <c r="O67" s="446"/>
      <c r="P67" s="837">
        <f>P$2</f>
        <v>4</v>
      </c>
      <c r="Q67" s="873">
        <f>-K67</f>
        <v>0</v>
      </c>
      <c r="R67" s="675" t="str">
        <f t="shared" si="5"/>
        <v xml:space="preserve"> </v>
      </c>
      <c r="S67" s="774"/>
      <c r="T67" s="371" t="str">
        <f t="shared" si="8"/>
        <v xml:space="preserve"> </v>
      </c>
      <c r="U67" s="763">
        <v>2</v>
      </c>
      <c r="V67" s="777">
        <f t="shared" si="9"/>
        <v>6</v>
      </c>
      <c r="W67" s="469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W67" s="1"/>
      <c r="AX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53" customFormat="1" x14ac:dyDescent="0.35">
      <c r="A68" s="90" t="s">
        <v>111</v>
      </c>
      <c r="B68" s="470">
        <f t="shared" si="6"/>
        <v>55</v>
      </c>
      <c r="C68" s="1219">
        <v>0.6</v>
      </c>
      <c r="D68" s="746">
        <v>6</v>
      </c>
      <c r="E68" s="734">
        <v>13</v>
      </c>
      <c r="F68" s="681">
        <v>9.6999999999999993</v>
      </c>
      <c r="G68" s="374">
        <f>(F68*G$5)^G$6</f>
        <v>7.4022654884467434</v>
      </c>
      <c r="H68" s="375">
        <f>IF(C68&gt;0.9,-1,IF(C68&lt;0.3,1,0))</f>
        <v>0</v>
      </c>
      <c r="I68" s="138">
        <v>-1</v>
      </c>
      <c r="J68" s="376">
        <v>-1</v>
      </c>
      <c r="K68" s="377">
        <f t="shared" si="7"/>
        <v>-2</v>
      </c>
      <c r="L68" s="680">
        <f>MIN(SUM(G68,K68),10)</f>
        <v>5.4022654884467434</v>
      </c>
      <c r="M68" s="445">
        <f>MAX(MAX(2,ROUND(L68/2,0)*2),4)</f>
        <v>6</v>
      </c>
      <c r="N68" s="779">
        <v>2019</v>
      </c>
      <c r="O68" s="445">
        <f>O$4-N68</f>
        <v>2</v>
      </c>
      <c r="P68" s="134">
        <f>IF(O68=2,-2,MAX(O68-M68,0))</f>
        <v>-2</v>
      </c>
      <c r="Q68" s="5"/>
      <c r="R68" s="463" t="str">
        <f t="shared" si="5"/>
        <v xml:space="preserve"> </v>
      </c>
      <c r="S68" s="773">
        <f>IF(O68&lt;6,-1,0)</f>
        <v>-1</v>
      </c>
      <c r="T68" s="371" t="str">
        <f t="shared" si="8"/>
        <v xml:space="preserve"> </v>
      </c>
      <c r="U68" s="763"/>
      <c r="V68" s="468">
        <f t="shared" si="9"/>
        <v>-3</v>
      </c>
      <c r="W68" s="472" t="s">
        <v>259</v>
      </c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35">
      <c r="A69" s="90" t="s">
        <v>179</v>
      </c>
      <c r="B69" s="470">
        <f t="shared" si="6"/>
        <v>39</v>
      </c>
      <c r="C69" s="387">
        <v>0.5</v>
      </c>
      <c r="D69" s="748">
        <v>10</v>
      </c>
      <c r="E69" s="736">
        <v>24</v>
      </c>
      <c r="F69" s="681">
        <v>21.788933750000002</v>
      </c>
      <c r="G69" s="378">
        <f>(F69*G$5)^G$6</f>
        <v>10.067486829874124</v>
      </c>
      <c r="H69" s="137">
        <f>IF(C69&gt;0.9,-1,IF(C69&lt;0.3,1,0))</f>
        <v>0</v>
      </c>
      <c r="I69" s="379">
        <v>-1</v>
      </c>
      <c r="J69" s="380">
        <v>0</v>
      </c>
      <c r="K69" s="381">
        <f t="shared" si="7"/>
        <v>-1</v>
      </c>
      <c r="L69" s="686">
        <f>MIN(SUM(G69,K69),10)</f>
        <v>9.0674868298741238</v>
      </c>
      <c r="M69" s="447">
        <f>MAX(MAX(2,ROUND(L69/2,0)*2),4)</f>
        <v>10</v>
      </c>
      <c r="N69" s="779">
        <v>2017</v>
      </c>
      <c r="O69" s="447">
        <f>O$4-N69</f>
        <v>4</v>
      </c>
      <c r="P69" s="382">
        <f>IF(O69=2,-2,MAX(O69-M69,0))</f>
        <v>0</v>
      </c>
      <c r="Q69" s="875"/>
      <c r="R69" s="464" t="str">
        <f t="shared" si="5"/>
        <v xml:space="preserve"> </v>
      </c>
      <c r="S69" s="775">
        <f>IF(O69&lt;6,-1,0)</f>
        <v>-1</v>
      </c>
      <c r="T69" s="371" t="str">
        <f t="shared" si="8"/>
        <v xml:space="preserve"> </v>
      </c>
      <c r="U69" s="764"/>
      <c r="V69" s="468">
        <f t="shared" si="9"/>
        <v>-1</v>
      </c>
      <c r="W69" s="472" t="s">
        <v>259</v>
      </c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53"/>
      <c r="AM69" s="53"/>
      <c r="AN69" s="53"/>
      <c r="AO69" s="53"/>
    </row>
    <row r="70" spans="1:65" x14ac:dyDescent="0.35">
      <c r="A70" s="1270" t="s">
        <v>454</v>
      </c>
      <c r="B70" s="470">
        <f t="shared" si="6"/>
        <v>35</v>
      </c>
      <c r="C70" s="1302"/>
      <c r="D70" s="1303"/>
      <c r="E70" s="1304"/>
      <c r="F70" s="1305"/>
      <c r="G70" s="1306"/>
      <c r="H70" s="1299"/>
      <c r="I70" s="1307"/>
      <c r="J70" s="1308"/>
      <c r="K70" s="1309"/>
      <c r="L70" s="1310"/>
      <c r="M70" s="1311"/>
      <c r="N70" s="1312"/>
      <c r="O70" s="1311"/>
      <c r="P70" s="1313"/>
      <c r="Q70" s="1314"/>
      <c r="R70" s="1315"/>
      <c r="S70" s="1316"/>
      <c r="T70" s="1317"/>
      <c r="U70" s="1318"/>
      <c r="V70" s="1319"/>
      <c r="W70" s="132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53"/>
      <c r="AM70" s="53"/>
      <c r="AN70" s="53"/>
      <c r="AO70" s="53"/>
    </row>
    <row r="71" spans="1:65" s="53" customFormat="1" ht="18.600000000000001" thickBot="1" x14ac:dyDescent="0.4">
      <c r="A71" s="159" t="s">
        <v>180</v>
      </c>
      <c r="B71" s="881">
        <f t="shared" si="6"/>
        <v>39</v>
      </c>
      <c r="C71" s="1220">
        <v>0.3783224896363811</v>
      </c>
      <c r="D71" s="749">
        <v>5</v>
      </c>
      <c r="E71" s="738">
        <v>6</v>
      </c>
      <c r="F71" s="1225">
        <v>14.12</v>
      </c>
      <c r="G71" s="431">
        <f>(F71*G$5)^G$6</f>
        <v>8.5374580574003947</v>
      </c>
      <c r="H71" s="432">
        <f>IF(C71&gt;0.9,-1,IF(C71&lt;0.3,1,0))</f>
        <v>0</v>
      </c>
      <c r="I71" s="141">
        <v>-1</v>
      </c>
      <c r="J71" s="385">
        <v>-1</v>
      </c>
      <c r="K71" s="386">
        <f t="shared" si="7"/>
        <v>-2</v>
      </c>
      <c r="L71" s="688">
        <f>MIN(SUM(G71,K71),10)</f>
        <v>6.5374580574003947</v>
      </c>
      <c r="M71" s="448">
        <f>MAX(MAX(2,ROUND(L71/2,0)*2),4)</f>
        <v>6</v>
      </c>
      <c r="N71" s="839">
        <v>2017</v>
      </c>
      <c r="O71" s="448">
        <f>O$4-N71</f>
        <v>4</v>
      </c>
      <c r="P71" s="433">
        <f>IF(O71=2,-2,MAX(O71-M71,0))</f>
        <v>0</v>
      </c>
      <c r="Q71" s="6"/>
      <c r="R71" s="465" t="str">
        <f t="shared" si="5"/>
        <v xml:space="preserve"> </v>
      </c>
      <c r="S71" s="776">
        <f>IF(O71&lt;6,-1,0)</f>
        <v>-1</v>
      </c>
      <c r="T71" s="432" t="str">
        <f t="shared" si="8"/>
        <v xml:space="preserve"> </v>
      </c>
      <c r="U71" s="879"/>
      <c r="V71" s="880">
        <f t="shared" si="9"/>
        <v>-1</v>
      </c>
      <c r="W71" s="882" t="s">
        <v>259</v>
      </c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53" customFormat="1" x14ac:dyDescent="0.35">
      <c r="A72" s="92"/>
      <c r="B72" s="155"/>
      <c r="C72" s="70"/>
      <c r="D72" s="110"/>
      <c r="E72" s="70"/>
      <c r="F72" s="518"/>
      <c r="G72" s="493"/>
      <c r="H72" s="110"/>
      <c r="I72" s="110"/>
      <c r="J72" s="70"/>
      <c r="K72" s="70"/>
      <c r="L72" s="92"/>
      <c r="M72" s="110"/>
      <c r="N72" s="130"/>
      <c r="O72" s="70"/>
      <c r="P72" s="70"/>
      <c r="Q72" s="70"/>
      <c r="R72" s="70"/>
      <c r="S72" s="70"/>
      <c r="T72" s="70"/>
      <c r="U72" s="70"/>
      <c r="V72" s="155"/>
      <c r="W72" s="155"/>
      <c r="X72" s="155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8"/>
      <c r="AM72" s="8"/>
      <c r="AN72" s="8"/>
      <c r="AO72" s="8"/>
    </row>
    <row r="73" spans="1:65" s="53" customFormat="1" x14ac:dyDescent="0.35">
      <c r="A73" s="92"/>
      <c r="B73" s="155"/>
      <c r="C73" s="70"/>
      <c r="D73" s="110"/>
      <c r="E73" s="70"/>
      <c r="F73" s="518"/>
      <c r="G73" s="493"/>
      <c r="H73" s="110"/>
      <c r="I73" s="110"/>
      <c r="J73" s="70"/>
      <c r="K73" s="70"/>
      <c r="L73" s="92"/>
      <c r="M73" s="110"/>
      <c r="N73" s="130"/>
      <c r="O73" s="70"/>
      <c r="P73" s="70"/>
      <c r="Q73" s="70"/>
      <c r="R73" s="70"/>
      <c r="S73" s="70"/>
      <c r="T73" s="70"/>
      <c r="U73" s="70"/>
      <c r="V73" s="155"/>
      <c r="W73" s="155"/>
      <c r="X73" s="155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"/>
      <c r="AM73" s="8"/>
      <c r="AN73" s="8"/>
      <c r="AO73" s="8"/>
    </row>
    <row r="74" spans="1:65" s="53" customFormat="1" x14ac:dyDescent="0.35">
      <c r="A74" s="92"/>
      <c r="B74" s="155"/>
      <c r="C74" s="70"/>
      <c r="D74" s="110"/>
      <c r="E74" s="70"/>
      <c r="F74" s="518"/>
      <c r="G74" s="493"/>
      <c r="H74" s="110"/>
      <c r="I74" s="110"/>
      <c r="J74" s="70"/>
      <c r="K74" s="70"/>
      <c r="L74" s="92"/>
      <c r="M74" s="110"/>
      <c r="N74" s="130"/>
      <c r="O74" s="70"/>
      <c r="P74" s="70"/>
      <c r="Q74" s="70"/>
      <c r="R74" s="70"/>
      <c r="S74" s="70"/>
      <c r="T74" s="70"/>
      <c r="U74" s="70"/>
      <c r="V74" s="155"/>
      <c r="W74" s="155"/>
      <c r="X74" s="155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8"/>
      <c r="AM74" s="8"/>
      <c r="AN74" s="8"/>
      <c r="AO74" s="8"/>
    </row>
    <row r="75" spans="1:65" x14ac:dyDescent="0.35">
      <c r="A75" s="397"/>
      <c r="B75" s="189"/>
      <c r="C75" s="31"/>
      <c r="D75" s="30"/>
      <c r="E75" s="189"/>
      <c r="F75" s="399"/>
      <c r="G75" s="394"/>
      <c r="H75" s="30"/>
      <c r="I75" s="30"/>
      <c r="J75" s="31"/>
      <c r="K75" s="31"/>
      <c r="L75" s="397"/>
      <c r="M75" s="30"/>
      <c r="N75" s="450"/>
      <c r="O75" s="31"/>
      <c r="P75" s="31"/>
      <c r="Q75" s="31"/>
      <c r="R75" s="31"/>
      <c r="S75" s="31"/>
      <c r="T75" s="31"/>
      <c r="U75" s="31"/>
      <c r="V75" s="189"/>
      <c r="W75" s="189"/>
      <c r="X75" s="189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65" x14ac:dyDescent="0.35">
      <c r="A76" s="397"/>
      <c r="B76" s="189"/>
      <c r="C76" s="31"/>
      <c r="D76" s="30"/>
      <c r="E76" s="189"/>
      <c r="F76" s="399"/>
      <c r="G76" s="394"/>
      <c r="H76" s="30"/>
      <c r="I76" s="30"/>
      <c r="J76" s="31"/>
      <c r="K76" s="31"/>
      <c r="L76" s="397"/>
      <c r="M76" s="30"/>
      <c r="N76" s="450"/>
      <c r="O76" s="31"/>
      <c r="P76" s="31"/>
      <c r="Q76" s="31"/>
      <c r="R76" s="31"/>
      <c r="S76" s="31"/>
      <c r="T76" s="31"/>
      <c r="U76" s="31"/>
      <c r="V76" s="189"/>
      <c r="W76" s="189"/>
      <c r="X76" s="189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65" x14ac:dyDescent="0.35">
      <c r="A77" s="397"/>
      <c r="B77" s="189"/>
      <c r="C77" s="31"/>
      <c r="D77" s="30"/>
      <c r="E77" s="189"/>
      <c r="F77" s="399"/>
      <c r="G77" s="394"/>
      <c r="H77" s="30"/>
      <c r="I77" s="30"/>
      <c r="J77" s="31"/>
      <c r="K77" s="31"/>
      <c r="L77" s="397"/>
      <c r="M77" s="30"/>
      <c r="N77" s="450"/>
      <c r="O77" s="31"/>
      <c r="P77" s="31"/>
      <c r="Q77" s="31"/>
      <c r="R77" s="31"/>
      <c r="S77" s="31"/>
      <c r="T77" s="31"/>
      <c r="U77" s="31"/>
      <c r="V77" s="189"/>
      <c r="W77" s="189"/>
      <c r="X77" s="189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65" x14ac:dyDescent="0.35">
      <c r="A78" s="397"/>
      <c r="B78" s="189"/>
      <c r="C78" s="31"/>
      <c r="D78" s="30"/>
      <c r="E78" s="189"/>
      <c r="F78" s="399"/>
      <c r="G78" s="394"/>
      <c r="H78" s="30"/>
      <c r="I78" s="30"/>
      <c r="J78" s="31"/>
      <c r="K78" s="31"/>
      <c r="L78" s="397"/>
      <c r="M78" s="30"/>
      <c r="N78" s="450"/>
      <c r="O78" s="31"/>
      <c r="P78" s="31"/>
      <c r="Q78" s="31"/>
      <c r="R78" s="31"/>
      <c r="S78" s="31"/>
      <c r="T78" s="31"/>
      <c r="U78" s="31"/>
      <c r="V78" s="189"/>
      <c r="W78" s="189"/>
      <c r="X78" s="189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65" x14ac:dyDescent="0.35">
      <c r="A79" s="397"/>
      <c r="B79" s="189"/>
      <c r="C79" s="31"/>
      <c r="D79" s="30"/>
      <c r="E79" s="189"/>
      <c r="F79" s="399"/>
      <c r="G79" s="394"/>
      <c r="H79" s="30"/>
      <c r="I79" s="30"/>
      <c r="J79" s="31"/>
      <c r="K79" s="31"/>
      <c r="L79" s="397"/>
      <c r="M79" s="30"/>
      <c r="N79" s="450"/>
      <c r="O79" s="31"/>
      <c r="P79" s="31"/>
      <c r="Q79" s="31"/>
      <c r="R79" s="31"/>
      <c r="S79" s="31"/>
      <c r="T79" s="31"/>
      <c r="U79" s="31"/>
      <c r="V79" s="189"/>
      <c r="W79" s="189"/>
      <c r="X79" s="189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65" x14ac:dyDescent="0.35">
      <c r="A80" s="397"/>
      <c r="B80" s="189"/>
      <c r="C80" s="31"/>
      <c r="D80" s="30"/>
      <c r="E80" s="189"/>
      <c r="F80" s="399"/>
      <c r="G80" s="394"/>
      <c r="H80" s="30"/>
      <c r="I80" s="30"/>
      <c r="J80" s="31"/>
      <c r="K80" s="31"/>
      <c r="L80" s="397"/>
      <c r="M80" s="30"/>
      <c r="N80" s="450"/>
      <c r="O80" s="31"/>
      <c r="P80" s="31"/>
      <c r="Q80" s="31"/>
      <c r="R80" s="31"/>
      <c r="S80" s="31"/>
      <c r="T80" s="31"/>
      <c r="U80" s="31"/>
      <c r="V80" s="189"/>
      <c r="W80" s="189"/>
      <c r="X80" s="189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</sheetData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80"/>
  <sheetViews>
    <sheetView zoomScale="85" zoomScaleNormal="85" workbookViewId="0">
      <selection activeCell="G13" sqref="G13"/>
    </sheetView>
  </sheetViews>
  <sheetFormatPr defaultColWidth="8.88671875" defaultRowHeight="18" x14ac:dyDescent="0.35"/>
  <cols>
    <col min="1" max="1" width="39.21875" style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3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08" t="s">
        <v>417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97"/>
      <c r="S1" s="31"/>
      <c r="T1" s="30"/>
      <c r="U1" s="31"/>
      <c r="V1" s="31"/>
      <c r="W1" s="31"/>
      <c r="X1" s="31"/>
      <c r="Y1" s="31"/>
      <c r="Z1" s="31"/>
      <c r="AA1" s="31"/>
      <c r="AB1" s="31"/>
    </row>
    <row r="2" spans="1:28" ht="21" x14ac:dyDescent="0.4">
      <c r="A2" s="108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97" t="s">
        <v>367</v>
      </c>
      <c r="S2" s="31"/>
      <c r="T2" s="30"/>
      <c r="U2" s="31"/>
      <c r="V2" s="31"/>
      <c r="W2" s="31"/>
      <c r="X2" s="31"/>
      <c r="Y2" s="31"/>
      <c r="Z2" s="31"/>
      <c r="AA2" s="31"/>
      <c r="AB2" s="31"/>
    </row>
    <row r="3" spans="1:2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97" t="s">
        <v>368</v>
      </c>
      <c r="S3" s="31"/>
      <c r="T3" s="30"/>
      <c r="U3" s="31"/>
      <c r="V3" s="31"/>
      <c r="W3" s="31"/>
      <c r="X3" s="31"/>
      <c r="Y3" s="31"/>
      <c r="Z3" s="31"/>
      <c r="AA3" s="31"/>
      <c r="AB3" s="31"/>
    </row>
    <row r="4" spans="1:28" ht="18.600000000000001" thickBot="1" x14ac:dyDescent="0.4">
      <c r="A4" s="31"/>
      <c r="B4" s="31"/>
      <c r="C4" s="31"/>
      <c r="D4" s="31"/>
      <c r="E4" s="31"/>
      <c r="F4" s="31"/>
      <c r="G4" s="31"/>
      <c r="H4" s="884" t="s">
        <v>357</v>
      </c>
      <c r="I4" s="885"/>
      <c r="J4" s="31"/>
      <c r="K4" s="31"/>
      <c r="L4" s="31"/>
      <c r="M4" s="31"/>
      <c r="N4" s="31"/>
      <c r="O4" s="31"/>
      <c r="P4" s="31"/>
      <c r="Q4" s="31"/>
      <c r="R4" s="397"/>
      <c r="S4" s="31"/>
      <c r="T4" s="30"/>
      <c r="U4" s="31"/>
      <c r="V4" s="31"/>
      <c r="W4" s="31"/>
      <c r="X4" s="31"/>
      <c r="Y4" s="31"/>
      <c r="Z4" s="31"/>
      <c r="AA4" s="31"/>
      <c r="AB4" s="31"/>
    </row>
    <row r="5" spans="1:28" ht="36" x14ac:dyDescent="0.35">
      <c r="A5" s="111"/>
      <c r="B5" s="788" t="s">
        <v>169</v>
      </c>
      <c r="C5" s="500"/>
      <c r="D5" s="831" t="s">
        <v>413</v>
      </c>
      <c r="E5" s="832"/>
      <c r="F5" s="789" t="s">
        <v>300</v>
      </c>
      <c r="G5" s="790" t="s">
        <v>414</v>
      </c>
      <c r="H5" s="886" t="s">
        <v>415</v>
      </c>
      <c r="I5" s="887" t="s">
        <v>414</v>
      </c>
      <c r="J5" s="796"/>
      <c r="K5" s="833" t="s">
        <v>323</v>
      </c>
      <c r="L5" s="833"/>
      <c r="M5" s="797"/>
      <c r="N5" s="829" t="s">
        <v>318</v>
      </c>
      <c r="O5" s="630"/>
      <c r="P5" s="830" t="s">
        <v>312</v>
      </c>
      <c r="Q5" s="31"/>
      <c r="R5" s="93" t="s">
        <v>317</v>
      </c>
      <c r="S5" s="31"/>
      <c r="T5" s="935"/>
      <c r="U5" s="31"/>
      <c r="V5" s="31"/>
      <c r="W5" s="31"/>
      <c r="X5" s="31"/>
      <c r="Y5" s="31"/>
      <c r="Z5" s="31"/>
      <c r="AA5" s="31"/>
      <c r="AB5" s="31"/>
    </row>
    <row r="6" spans="1:28" ht="36.6" thickBot="1" x14ac:dyDescent="0.4">
      <c r="A6" s="99" t="s">
        <v>4</v>
      </c>
      <c r="B6" s="730" t="s">
        <v>412</v>
      </c>
      <c r="C6" s="791">
        <v>2020</v>
      </c>
      <c r="D6" s="936" t="s">
        <v>369</v>
      </c>
      <c r="E6" s="937" t="s">
        <v>370</v>
      </c>
      <c r="F6" s="792" t="s">
        <v>301</v>
      </c>
      <c r="G6" s="793" t="s">
        <v>301</v>
      </c>
      <c r="H6" s="792" t="s">
        <v>356</v>
      </c>
      <c r="I6" s="793" t="s">
        <v>416</v>
      </c>
      <c r="J6" s="804"/>
      <c r="K6" s="809" t="s">
        <v>314</v>
      </c>
      <c r="L6" s="301" t="s">
        <v>315</v>
      </c>
      <c r="M6" s="626"/>
      <c r="N6" s="827" t="s">
        <v>316</v>
      </c>
      <c r="O6" s="828"/>
      <c r="P6" s="827" t="s">
        <v>313</v>
      </c>
      <c r="Q6" s="611"/>
      <c r="R6" s="883" t="s">
        <v>316</v>
      </c>
      <c r="S6" s="938"/>
      <c r="T6" s="939" t="s">
        <v>371</v>
      </c>
      <c r="U6" s="31"/>
      <c r="V6" s="31"/>
      <c r="W6" s="31"/>
      <c r="X6" s="31"/>
      <c r="Y6" s="31"/>
      <c r="Z6" s="31"/>
      <c r="AA6" s="31"/>
      <c r="AB6" s="31"/>
    </row>
    <row r="7" spans="1:28" ht="18.600000000000001" thickBot="1" x14ac:dyDescent="0.4">
      <c r="A7" s="158" t="s">
        <v>10</v>
      </c>
      <c r="B7" s="810"/>
      <c r="C7" s="811"/>
      <c r="D7" s="915"/>
      <c r="E7" s="915"/>
      <c r="F7" s="812" t="e">
        <f t="shared" ref="F7:F71" si="0">B7/E7</f>
        <v>#DIV/0!</v>
      </c>
      <c r="G7" s="813" t="e">
        <f t="shared" ref="G7:G71" si="1">C7/E7</f>
        <v>#DIV/0!</v>
      </c>
      <c r="H7" s="814" t="e">
        <f t="shared" ref="H7:H71" si="2">B7/D7</f>
        <v>#DIV/0!</v>
      </c>
      <c r="I7" s="815" t="e">
        <f>C7/D7</f>
        <v>#DIV/0!</v>
      </c>
      <c r="J7" s="816"/>
      <c r="K7" s="891" t="e">
        <f t="shared" ref="K7:K71" si="3">MAX(F7:G7)</f>
        <v>#DIV/0!</v>
      </c>
      <c r="L7" s="817">
        <f t="shared" ref="L7:L71" si="4">MAX(B7:C7)</f>
        <v>0</v>
      </c>
      <c r="M7" s="818"/>
      <c r="N7" s="390">
        <v>-1</v>
      </c>
      <c r="O7" s="818"/>
      <c r="P7" s="819">
        <v>2017</v>
      </c>
      <c r="Q7" s="820"/>
      <c r="R7" s="821">
        <v>-1</v>
      </c>
      <c r="S7" s="31"/>
      <c r="T7" s="940">
        <v>-1</v>
      </c>
      <c r="U7" s="31"/>
      <c r="V7" s="31"/>
      <c r="W7" s="31"/>
      <c r="X7" s="31"/>
      <c r="Y7" s="31"/>
      <c r="Z7" s="31"/>
      <c r="AA7" s="31"/>
      <c r="AB7" s="31"/>
    </row>
    <row r="8" spans="1:28" ht="18.600000000000001" thickBot="1" x14ac:dyDescent="0.4">
      <c r="A8" s="208" t="s">
        <v>174</v>
      </c>
      <c r="B8" s="822"/>
      <c r="C8" s="556"/>
      <c r="D8" s="917"/>
      <c r="E8" s="917"/>
      <c r="F8" s="731" t="e">
        <f t="shared" si="0"/>
        <v>#DIV/0!</v>
      </c>
      <c r="G8" s="728" t="e">
        <f t="shared" si="1"/>
        <v>#DIV/0!</v>
      </c>
      <c r="H8" s="823" t="e">
        <f t="shared" si="2"/>
        <v>#DIV/0!</v>
      </c>
      <c r="I8" s="815" t="e">
        <f t="shared" ref="I8:I71" si="5">C8/D8</f>
        <v>#DIV/0!</v>
      </c>
      <c r="J8" s="798"/>
      <c r="K8" s="800" t="e">
        <f t="shared" si="3"/>
        <v>#DIV/0!</v>
      </c>
      <c r="L8" s="801">
        <f t="shared" si="4"/>
        <v>0</v>
      </c>
      <c r="M8" s="799"/>
      <c r="N8" s="799"/>
      <c r="O8" s="799"/>
      <c r="P8" s="794">
        <v>2013</v>
      </c>
      <c r="Q8" s="489"/>
      <c r="R8" s="807"/>
      <c r="S8" s="31"/>
      <c r="T8" s="940"/>
      <c r="U8" s="31"/>
      <c r="V8" s="31"/>
      <c r="W8" s="31"/>
      <c r="X8" s="31"/>
      <c r="Y8" s="31"/>
      <c r="Z8" s="31"/>
      <c r="AA8" s="31"/>
      <c r="AB8" s="31"/>
    </row>
    <row r="9" spans="1:28" ht="18.600000000000001" thickBot="1" x14ac:dyDescent="0.4">
      <c r="A9" s="208" t="s">
        <v>115</v>
      </c>
      <c r="B9" s="822"/>
      <c r="C9" s="556"/>
      <c r="D9" s="917"/>
      <c r="E9" s="917"/>
      <c r="F9" s="731" t="e">
        <f t="shared" si="0"/>
        <v>#DIV/0!</v>
      </c>
      <c r="G9" s="728" t="e">
        <f t="shared" si="1"/>
        <v>#DIV/0!</v>
      </c>
      <c r="H9" s="823" t="e">
        <f t="shared" si="2"/>
        <v>#DIV/0!</v>
      </c>
      <c r="I9" s="815" t="e">
        <f t="shared" si="5"/>
        <v>#DIV/0!</v>
      </c>
      <c r="J9" s="798"/>
      <c r="K9" s="890" t="e">
        <f t="shared" si="3"/>
        <v>#DIV/0!</v>
      </c>
      <c r="L9" s="801">
        <f t="shared" si="4"/>
        <v>0</v>
      </c>
      <c r="M9" s="799"/>
      <c r="N9" s="390">
        <v>-1</v>
      </c>
      <c r="O9" s="799"/>
      <c r="P9" s="794"/>
      <c r="Q9" s="489"/>
      <c r="R9" s="806">
        <v>-1</v>
      </c>
      <c r="S9" s="31"/>
      <c r="T9" s="940">
        <v>-1</v>
      </c>
      <c r="U9" s="31"/>
      <c r="V9" s="31"/>
      <c r="W9" s="31"/>
      <c r="X9" s="31"/>
      <c r="Y9" s="31"/>
      <c r="Z9" s="31"/>
      <c r="AA9" s="31"/>
      <c r="AB9" s="31"/>
    </row>
    <row r="10" spans="1:28" ht="18.600000000000001" thickBot="1" x14ac:dyDescent="0.4">
      <c r="A10" s="208" t="s">
        <v>21</v>
      </c>
      <c r="B10" s="822"/>
      <c r="C10" s="556"/>
      <c r="D10" s="917"/>
      <c r="E10" s="917"/>
      <c r="F10" s="731" t="e">
        <f t="shared" si="0"/>
        <v>#DIV/0!</v>
      </c>
      <c r="G10" s="728" t="e">
        <f t="shared" si="1"/>
        <v>#DIV/0!</v>
      </c>
      <c r="H10" s="823" t="e">
        <f t="shared" si="2"/>
        <v>#DIV/0!</v>
      </c>
      <c r="I10" s="815" t="e">
        <f t="shared" si="5"/>
        <v>#DIV/0!</v>
      </c>
      <c r="J10" s="798"/>
      <c r="K10" s="800" t="e">
        <f t="shared" si="3"/>
        <v>#DIV/0!</v>
      </c>
      <c r="L10" s="801">
        <f t="shared" si="4"/>
        <v>0</v>
      </c>
      <c r="M10" s="799"/>
      <c r="N10" s="799"/>
      <c r="O10" s="799"/>
      <c r="P10" s="794">
        <v>2019</v>
      </c>
      <c r="Q10" s="489"/>
      <c r="R10" s="807"/>
      <c r="S10" s="31"/>
      <c r="T10" s="940"/>
      <c r="U10" s="31"/>
      <c r="V10" s="31"/>
      <c r="W10" s="31"/>
      <c r="X10" s="31"/>
      <c r="Y10" s="31"/>
      <c r="Z10" s="31"/>
      <c r="AA10" s="31"/>
      <c r="AB10" s="31"/>
    </row>
    <row r="11" spans="1:28" ht="18.600000000000001" thickBot="1" x14ac:dyDescent="0.4">
      <c r="A11" s="90" t="s">
        <v>5</v>
      </c>
      <c r="B11" s="822"/>
      <c r="C11" s="556"/>
      <c r="D11" s="356"/>
      <c r="E11" s="356"/>
      <c r="F11" s="731" t="e">
        <f t="shared" si="0"/>
        <v>#DIV/0!</v>
      </c>
      <c r="G11" s="728" t="e">
        <f t="shared" si="1"/>
        <v>#DIV/0!</v>
      </c>
      <c r="H11" s="823" t="e">
        <f t="shared" si="2"/>
        <v>#DIV/0!</v>
      </c>
      <c r="I11" s="815" t="e">
        <f t="shared" si="5"/>
        <v>#DIV/0!</v>
      </c>
      <c r="J11" s="798"/>
      <c r="K11" s="802" t="e">
        <f t="shared" si="3"/>
        <v>#DIV/0!</v>
      </c>
      <c r="L11" s="801">
        <f t="shared" si="4"/>
        <v>0</v>
      </c>
      <c r="M11" s="799"/>
      <c r="N11" s="390">
        <v>2</v>
      </c>
      <c r="O11" s="799"/>
      <c r="P11" s="794">
        <v>2015</v>
      </c>
      <c r="Q11" s="489"/>
      <c r="R11" s="806">
        <v>2</v>
      </c>
      <c r="S11" s="31"/>
      <c r="T11" s="940">
        <v>2</v>
      </c>
      <c r="U11" s="31"/>
      <c r="V11" s="31"/>
      <c r="W11" s="31"/>
      <c r="X11" s="31"/>
      <c r="Y11" s="31"/>
      <c r="Z11" s="31"/>
      <c r="AA11" s="31"/>
      <c r="AB11" s="31"/>
    </row>
    <row r="12" spans="1:28" ht="18.600000000000001" thickBot="1" x14ac:dyDescent="0.4">
      <c r="A12" s="208" t="s">
        <v>175</v>
      </c>
      <c r="B12" s="822"/>
      <c r="C12" s="556"/>
      <c r="D12" s="917"/>
      <c r="E12" s="917"/>
      <c r="F12" s="731" t="e">
        <f t="shared" si="0"/>
        <v>#DIV/0!</v>
      </c>
      <c r="G12" s="728" t="e">
        <f t="shared" si="1"/>
        <v>#DIV/0!</v>
      </c>
      <c r="H12" s="823" t="e">
        <f t="shared" si="2"/>
        <v>#DIV/0!</v>
      </c>
      <c r="I12" s="815" t="e">
        <f t="shared" si="5"/>
        <v>#DIV/0!</v>
      </c>
      <c r="J12" s="798"/>
      <c r="K12" s="800" t="e">
        <f t="shared" si="3"/>
        <v>#DIV/0!</v>
      </c>
      <c r="L12" s="801">
        <f t="shared" si="4"/>
        <v>0</v>
      </c>
      <c r="M12" s="799"/>
      <c r="N12" s="799"/>
      <c r="O12" s="799"/>
      <c r="P12" s="794">
        <v>2017</v>
      </c>
      <c r="Q12" s="489"/>
      <c r="R12" s="807"/>
      <c r="S12" s="31"/>
      <c r="T12" s="940"/>
      <c r="U12" s="31"/>
      <c r="V12" s="31"/>
      <c r="W12" s="31"/>
      <c r="X12" s="31"/>
      <c r="Y12" s="31"/>
      <c r="Z12" s="31"/>
      <c r="AA12" s="31"/>
      <c r="AB12" s="31"/>
    </row>
    <row r="13" spans="1:28" ht="18.600000000000001" thickBot="1" x14ac:dyDescent="0.4">
      <c r="A13" s="208" t="s">
        <v>292</v>
      </c>
      <c r="B13" s="822"/>
      <c r="C13" s="556"/>
      <c r="D13" s="917"/>
      <c r="E13" s="917"/>
      <c r="F13" s="731" t="e">
        <f t="shared" si="0"/>
        <v>#DIV/0!</v>
      </c>
      <c r="G13" s="728" t="e">
        <f t="shared" si="1"/>
        <v>#DIV/0!</v>
      </c>
      <c r="H13" s="823" t="e">
        <f t="shared" si="2"/>
        <v>#DIV/0!</v>
      </c>
      <c r="I13" s="815" t="e">
        <f t="shared" si="5"/>
        <v>#DIV/0!</v>
      </c>
      <c r="J13" s="798"/>
      <c r="K13" s="888" t="e">
        <f t="shared" si="3"/>
        <v>#DIV/0!</v>
      </c>
      <c r="L13" s="801">
        <f t="shared" si="4"/>
        <v>0</v>
      </c>
      <c r="M13" s="799"/>
      <c r="N13" s="799"/>
      <c r="O13" s="799"/>
      <c r="P13" s="794">
        <v>2017</v>
      </c>
      <c r="Q13" s="489"/>
      <c r="R13" s="807"/>
      <c r="S13" s="31"/>
      <c r="T13" s="940"/>
      <c r="U13" s="31"/>
      <c r="V13" s="31"/>
      <c r="W13" s="31"/>
      <c r="X13" s="31"/>
      <c r="Y13" s="31"/>
      <c r="Z13" s="31"/>
      <c r="AA13" s="31"/>
      <c r="AB13" s="31"/>
    </row>
    <row r="14" spans="1:28" ht="18.600000000000001" thickBot="1" x14ac:dyDescent="0.4">
      <c r="A14" s="90" t="s">
        <v>104</v>
      </c>
      <c r="B14" s="822"/>
      <c r="C14" s="556"/>
      <c r="D14" s="356"/>
      <c r="E14" s="356"/>
      <c r="F14" s="731" t="e">
        <f t="shared" si="0"/>
        <v>#DIV/0!</v>
      </c>
      <c r="G14" s="728" t="e">
        <f t="shared" si="1"/>
        <v>#DIV/0!</v>
      </c>
      <c r="H14" s="823" t="e">
        <f t="shared" si="2"/>
        <v>#DIV/0!</v>
      </c>
      <c r="I14" s="815" t="e">
        <f t="shared" si="5"/>
        <v>#DIV/0!</v>
      </c>
      <c r="J14" s="798"/>
      <c r="K14" s="800" t="e">
        <f t="shared" si="3"/>
        <v>#DIV/0!</v>
      </c>
      <c r="L14" s="801">
        <f t="shared" si="4"/>
        <v>0</v>
      </c>
      <c r="M14" s="799"/>
      <c r="N14" s="799"/>
      <c r="O14" s="799"/>
      <c r="P14" s="794">
        <v>2017</v>
      </c>
      <c r="Q14" s="489"/>
      <c r="R14" s="807"/>
      <c r="S14" s="31"/>
      <c r="T14" s="940"/>
      <c r="U14" s="31"/>
      <c r="V14" s="31"/>
      <c r="W14" s="31"/>
      <c r="X14" s="31"/>
      <c r="Y14" s="31"/>
      <c r="Z14" s="31"/>
      <c r="AA14" s="31"/>
      <c r="AB14" s="31"/>
    </row>
    <row r="15" spans="1:28" ht="18.600000000000001" thickBot="1" x14ac:dyDescent="0.4">
      <c r="A15" s="208" t="s">
        <v>117</v>
      </c>
      <c r="B15" s="822"/>
      <c r="C15" s="556"/>
      <c r="D15" s="357"/>
      <c r="E15" s="357"/>
      <c r="F15" s="731" t="e">
        <f t="shared" si="0"/>
        <v>#DIV/0!</v>
      </c>
      <c r="G15" s="728" t="e">
        <f t="shared" si="1"/>
        <v>#DIV/0!</v>
      </c>
      <c r="H15" s="823" t="e">
        <f t="shared" si="2"/>
        <v>#DIV/0!</v>
      </c>
      <c r="I15" s="815" t="e">
        <f t="shared" si="5"/>
        <v>#DIV/0!</v>
      </c>
      <c r="J15" s="798"/>
      <c r="K15" s="803" t="e">
        <f t="shared" si="3"/>
        <v>#DIV/0!</v>
      </c>
      <c r="L15" s="801">
        <f t="shared" si="4"/>
        <v>0</v>
      </c>
      <c r="M15" s="799"/>
      <c r="N15" s="390">
        <v>1</v>
      </c>
      <c r="O15" s="799"/>
      <c r="P15" s="794"/>
      <c r="Q15" s="489"/>
      <c r="R15" s="806">
        <v>1</v>
      </c>
      <c r="S15" s="31"/>
      <c r="T15" s="940">
        <v>2</v>
      </c>
      <c r="U15" s="31"/>
      <c r="V15" s="31"/>
      <c r="W15" s="31"/>
      <c r="X15" s="31"/>
      <c r="Y15" s="31"/>
      <c r="Z15" s="31"/>
      <c r="AA15" s="31"/>
      <c r="AB15" s="31"/>
    </row>
    <row r="16" spans="1:28" ht="18.600000000000001" thickBot="1" x14ac:dyDescent="0.4">
      <c r="A16" s="208" t="s">
        <v>9</v>
      </c>
      <c r="B16" s="822"/>
      <c r="C16" s="556"/>
      <c r="D16" s="356"/>
      <c r="E16" s="356"/>
      <c r="F16" s="731" t="e">
        <f t="shared" si="0"/>
        <v>#DIV/0!</v>
      </c>
      <c r="G16" s="728" t="e">
        <f t="shared" si="1"/>
        <v>#DIV/0!</v>
      </c>
      <c r="H16" s="823" t="e">
        <f t="shared" si="2"/>
        <v>#DIV/0!</v>
      </c>
      <c r="I16" s="815" t="e">
        <f t="shared" si="5"/>
        <v>#DIV/0!</v>
      </c>
      <c r="J16" s="798"/>
      <c r="K16" s="800" t="e">
        <f t="shared" si="3"/>
        <v>#DIV/0!</v>
      </c>
      <c r="L16" s="801">
        <f t="shared" si="4"/>
        <v>0</v>
      </c>
      <c r="M16" s="799"/>
      <c r="N16" s="799"/>
      <c r="O16" s="799"/>
      <c r="P16" s="794">
        <v>2019</v>
      </c>
      <c r="Q16" s="489"/>
      <c r="R16" s="807"/>
      <c r="S16" s="31"/>
      <c r="T16" s="940"/>
      <c r="U16" s="31"/>
      <c r="V16" s="31"/>
      <c r="W16" s="31"/>
      <c r="X16" s="31"/>
      <c r="Y16" s="31"/>
      <c r="Z16" s="31"/>
      <c r="AA16" s="31"/>
      <c r="AB16" s="31"/>
    </row>
    <row r="17" spans="1:28" ht="18.600000000000001" thickBot="1" x14ac:dyDescent="0.4">
      <c r="A17" s="90" t="s">
        <v>99</v>
      </c>
      <c r="B17" s="822"/>
      <c r="C17" s="556"/>
      <c r="D17" s="356"/>
      <c r="E17" s="356"/>
      <c r="F17" s="731" t="e">
        <f t="shared" si="0"/>
        <v>#DIV/0!</v>
      </c>
      <c r="G17" s="728" t="e">
        <f t="shared" si="1"/>
        <v>#DIV/0!</v>
      </c>
      <c r="H17" s="823" t="e">
        <f t="shared" si="2"/>
        <v>#DIV/0!</v>
      </c>
      <c r="I17" s="815" t="e">
        <f t="shared" si="5"/>
        <v>#DIV/0!</v>
      </c>
      <c r="J17" s="798"/>
      <c r="K17" s="800" t="e">
        <f t="shared" si="3"/>
        <v>#DIV/0!</v>
      </c>
      <c r="L17" s="801">
        <f t="shared" si="4"/>
        <v>0</v>
      </c>
      <c r="M17" s="799"/>
      <c r="N17" s="799"/>
      <c r="O17" s="799"/>
      <c r="P17" s="794">
        <v>2017</v>
      </c>
      <c r="Q17" s="489"/>
      <c r="R17" s="807"/>
      <c r="S17" s="31"/>
      <c r="T17" s="940"/>
      <c r="U17" s="31"/>
      <c r="V17" s="31"/>
      <c r="W17" s="31"/>
      <c r="X17" s="31"/>
      <c r="Y17" s="31"/>
      <c r="Z17" s="31"/>
      <c r="AA17" s="31"/>
      <c r="AB17" s="31"/>
    </row>
    <row r="18" spans="1:28" ht="18.600000000000001" thickBot="1" x14ac:dyDescent="0.4">
      <c r="A18" s="90" t="s">
        <v>14</v>
      </c>
      <c r="B18" s="822"/>
      <c r="C18" s="556"/>
      <c r="D18" s="356"/>
      <c r="E18" s="356"/>
      <c r="F18" s="731" t="e">
        <f t="shared" si="0"/>
        <v>#DIV/0!</v>
      </c>
      <c r="G18" s="728" t="e">
        <f t="shared" si="1"/>
        <v>#DIV/0!</v>
      </c>
      <c r="H18" s="823" t="e">
        <f t="shared" si="2"/>
        <v>#DIV/0!</v>
      </c>
      <c r="I18" s="815" t="e">
        <f t="shared" si="5"/>
        <v>#DIV/0!</v>
      </c>
      <c r="J18" s="798"/>
      <c r="K18" s="800" t="e">
        <f t="shared" si="3"/>
        <v>#DIV/0!</v>
      </c>
      <c r="L18" s="801">
        <f t="shared" si="4"/>
        <v>0</v>
      </c>
      <c r="M18" s="799"/>
      <c r="N18" s="799"/>
      <c r="O18" s="799"/>
      <c r="P18" s="794">
        <v>2015</v>
      </c>
      <c r="Q18" s="489"/>
      <c r="R18" s="807"/>
      <c r="S18" s="31"/>
      <c r="T18" s="940"/>
      <c r="U18" s="31"/>
      <c r="V18" s="31"/>
      <c r="W18" s="31"/>
      <c r="X18" s="31"/>
      <c r="Y18" s="31"/>
      <c r="Z18" s="31"/>
      <c r="AA18" s="31"/>
      <c r="AB18" s="31"/>
    </row>
    <row r="19" spans="1:28" ht="18.600000000000001" thickBot="1" x14ac:dyDescent="0.4">
      <c r="A19" s="90" t="s">
        <v>109</v>
      </c>
      <c r="B19" s="822"/>
      <c r="C19" s="556"/>
      <c r="D19" s="356"/>
      <c r="E19" s="356"/>
      <c r="F19" s="731" t="e">
        <f t="shared" si="0"/>
        <v>#DIV/0!</v>
      </c>
      <c r="G19" s="728" t="e">
        <f t="shared" si="1"/>
        <v>#DIV/0!</v>
      </c>
      <c r="H19" s="823" t="e">
        <f t="shared" si="2"/>
        <v>#DIV/0!</v>
      </c>
      <c r="I19" s="815" t="e">
        <f t="shared" si="5"/>
        <v>#DIV/0!</v>
      </c>
      <c r="J19" s="798"/>
      <c r="K19" s="890" t="e">
        <f t="shared" si="3"/>
        <v>#DIV/0!</v>
      </c>
      <c r="L19" s="801">
        <f t="shared" si="4"/>
        <v>0</v>
      </c>
      <c r="M19" s="799"/>
      <c r="N19" s="390">
        <v>-1</v>
      </c>
      <c r="O19" s="799"/>
      <c r="P19" s="794">
        <v>2015</v>
      </c>
      <c r="Q19" s="489"/>
      <c r="R19" s="806">
        <v>-1</v>
      </c>
      <c r="S19" s="31"/>
      <c r="T19" s="940">
        <v>-1</v>
      </c>
      <c r="U19" s="31"/>
      <c r="V19" s="31"/>
      <c r="W19" s="31"/>
      <c r="X19" s="31"/>
      <c r="Y19" s="31"/>
      <c r="Z19" s="31"/>
      <c r="AA19" s="31"/>
      <c r="AB19" s="31"/>
    </row>
    <row r="20" spans="1:28" ht="18.600000000000001" thickBot="1" x14ac:dyDescent="0.4">
      <c r="A20" s="208" t="s">
        <v>112</v>
      </c>
      <c r="B20" s="822"/>
      <c r="C20" s="556"/>
      <c r="D20" s="917"/>
      <c r="E20" s="917"/>
      <c r="F20" s="731" t="e">
        <f t="shared" si="0"/>
        <v>#DIV/0!</v>
      </c>
      <c r="G20" s="728" t="e">
        <f t="shared" si="1"/>
        <v>#DIV/0!</v>
      </c>
      <c r="H20" s="823" t="e">
        <f t="shared" si="2"/>
        <v>#DIV/0!</v>
      </c>
      <c r="I20" s="815" t="e">
        <f t="shared" si="5"/>
        <v>#DIV/0!</v>
      </c>
      <c r="J20" s="798"/>
      <c r="K20" s="888" t="e">
        <f t="shared" si="3"/>
        <v>#DIV/0!</v>
      </c>
      <c r="L20" s="801">
        <f t="shared" si="4"/>
        <v>0</v>
      </c>
      <c r="M20" s="799"/>
      <c r="N20" s="799"/>
      <c r="O20" s="799"/>
      <c r="P20" s="794">
        <v>2015</v>
      </c>
      <c r="Q20" s="489"/>
      <c r="R20" s="807"/>
      <c r="S20" s="31"/>
      <c r="T20" s="940"/>
      <c r="U20" s="31"/>
      <c r="V20" s="31"/>
      <c r="W20" s="31"/>
      <c r="X20" s="31"/>
      <c r="Y20" s="31"/>
      <c r="Z20" s="31"/>
      <c r="AA20" s="31"/>
      <c r="AB20" s="31"/>
    </row>
    <row r="21" spans="1:28" ht="18.600000000000001" thickBot="1" x14ac:dyDescent="0.4">
      <c r="A21" s="208" t="s">
        <v>118</v>
      </c>
      <c r="B21" s="822"/>
      <c r="C21" s="556"/>
      <c r="D21" s="917"/>
      <c r="E21" s="917"/>
      <c r="F21" s="731" t="e">
        <f t="shared" si="0"/>
        <v>#DIV/0!</v>
      </c>
      <c r="G21" s="728" t="e">
        <f t="shared" si="1"/>
        <v>#DIV/0!</v>
      </c>
      <c r="H21" s="823" t="e">
        <f t="shared" si="2"/>
        <v>#DIV/0!</v>
      </c>
      <c r="I21" s="815" t="e">
        <f t="shared" si="5"/>
        <v>#DIV/0!</v>
      </c>
      <c r="J21" s="798"/>
      <c r="K21" s="802" t="e">
        <f t="shared" si="3"/>
        <v>#DIV/0!</v>
      </c>
      <c r="L21" s="801">
        <f t="shared" si="4"/>
        <v>0</v>
      </c>
      <c r="M21" s="799"/>
      <c r="N21" s="390">
        <v>2</v>
      </c>
      <c r="O21" s="799"/>
      <c r="P21" s="794">
        <v>2021</v>
      </c>
      <c r="Q21" s="489"/>
      <c r="R21" s="806">
        <v>2</v>
      </c>
      <c r="S21" s="31"/>
      <c r="T21" s="940">
        <v>2</v>
      </c>
      <c r="U21" s="31"/>
      <c r="V21" s="31"/>
      <c r="W21" s="31"/>
      <c r="X21" s="31"/>
      <c r="Y21" s="31"/>
      <c r="Z21" s="31"/>
      <c r="AA21" s="31"/>
      <c r="AB21" s="31"/>
    </row>
    <row r="22" spans="1:28" ht="18.600000000000001" thickBot="1" x14ac:dyDescent="0.4">
      <c r="A22" s="90" t="s">
        <v>102</v>
      </c>
      <c r="B22" s="822"/>
      <c r="C22" s="556"/>
      <c r="D22" s="356"/>
      <c r="E22" s="356"/>
      <c r="F22" s="731" t="e">
        <f t="shared" si="0"/>
        <v>#DIV/0!</v>
      </c>
      <c r="G22" s="728" t="e">
        <f t="shared" si="1"/>
        <v>#DIV/0!</v>
      </c>
      <c r="H22" s="823" t="e">
        <f t="shared" si="2"/>
        <v>#DIV/0!</v>
      </c>
      <c r="I22" s="815" t="e">
        <f t="shared" si="5"/>
        <v>#DIV/0!</v>
      </c>
      <c r="J22" s="798"/>
      <c r="K22" s="890" t="e">
        <f t="shared" si="3"/>
        <v>#DIV/0!</v>
      </c>
      <c r="L22" s="801">
        <f t="shared" si="4"/>
        <v>0</v>
      </c>
      <c r="M22" s="799"/>
      <c r="N22" s="390">
        <v>-1</v>
      </c>
      <c r="O22" s="799"/>
      <c r="P22" s="794">
        <v>2019</v>
      </c>
      <c r="Q22" s="489"/>
      <c r="R22" s="806">
        <v>-1</v>
      </c>
      <c r="S22" s="31"/>
      <c r="T22" s="940">
        <v>-1</v>
      </c>
      <c r="U22" s="31"/>
      <c r="V22" s="31"/>
      <c r="W22" s="31"/>
      <c r="X22" s="31"/>
      <c r="Y22" s="31"/>
      <c r="Z22" s="31"/>
      <c r="AA22" s="31"/>
      <c r="AB22" s="31"/>
    </row>
    <row r="23" spans="1:28" ht="18.600000000000001" thickBot="1" x14ac:dyDescent="0.4">
      <c r="A23" s="90" t="s">
        <v>22</v>
      </c>
      <c r="B23" s="822"/>
      <c r="C23" s="556"/>
      <c r="D23" s="356"/>
      <c r="E23" s="356"/>
      <c r="F23" s="731"/>
      <c r="G23" s="728"/>
      <c r="H23" s="823"/>
      <c r="I23" s="815"/>
      <c r="J23" s="798"/>
      <c r="K23" s="890"/>
      <c r="L23" s="801"/>
      <c r="M23" s="799"/>
      <c r="N23" s="390"/>
      <c r="O23" s="799"/>
      <c r="P23" s="794"/>
      <c r="Q23" s="489"/>
      <c r="R23" s="806"/>
      <c r="S23" s="31"/>
      <c r="T23" s="940"/>
      <c r="U23" s="31"/>
      <c r="V23" s="31"/>
      <c r="W23" s="31"/>
      <c r="X23" s="31"/>
      <c r="Y23" s="31"/>
      <c r="Z23" s="31"/>
      <c r="AA23" s="31"/>
      <c r="AB23" s="31"/>
    </row>
    <row r="24" spans="1:28" ht="18.600000000000001" thickBot="1" x14ac:dyDescent="0.4">
      <c r="A24" s="90" t="s">
        <v>13</v>
      </c>
      <c r="B24" s="822"/>
      <c r="C24" s="556"/>
      <c r="D24" s="356"/>
      <c r="E24" s="356"/>
      <c r="F24" s="731" t="e">
        <f t="shared" si="0"/>
        <v>#DIV/0!</v>
      </c>
      <c r="G24" s="728" t="e">
        <f t="shared" si="1"/>
        <v>#DIV/0!</v>
      </c>
      <c r="H24" s="823" t="e">
        <f t="shared" si="2"/>
        <v>#DIV/0!</v>
      </c>
      <c r="I24" s="815" t="e">
        <f t="shared" si="5"/>
        <v>#DIV/0!</v>
      </c>
      <c r="J24" s="798"/>
      <c r="K24" s="800" t="e">
        <f t="shared" si="3"/>
        <v>#DIV/0!</v>
      </c>
      <c r="L24" s="801">
        <f t="shared" si="4"/>
        <v>0</v>
      </c>
      <c r="M24" s="799"/>
      <c r="N24" s="799"/>
      <c r="O24" s="799"/>
      <c r="P24" s="794">
        <v>2017</v>
      </c>
      <c r="Q24" s="489"/>
      <c r="R24" s="807"/>
      <c r="S24" s="31"/>
      <c r="T24" s="940"/>
      <c r="U24" s="31"/>
      <c r="V24" s="31"/>
      <c r="W24" s="31"/>
      <c r="X24" s="31"/>
      <c r="Y24" s="31"/>
      <c r="Z24" s="31"/>
      <c r="AA24" s="31"/>
      <c r="AB24" s="31"/>
    </row>
    <row r="25" spans="1:28" ht="18.600000000000001" thickBot="1" x14ac:dyDescent="0.4">
      <c r="A25" s="90" t="s">
        <v>6</v>
      </c>
      <c r="B25" s="822"/>
      <c r="C25" s="556"/>
      <c r="D25" s="356"/>
      <c r="E25" s="356"/>
      <c r="F25" s="731" t="e">
        <f t="shared" si="0"/>
        <v>#DIV/0!</v>
      </c>
      <c r="G25" s="728" t="e">
        <f t="shared" si="1"/>
        <v>#DIV/0!</v>
      </c>
      <c r="H25" s="823" t="e">
        <f t="shared" si="2"/>
        <v>#DIV/0!</v>
      </c>
      <c r="I25" s="815" t="e">
        <f t="shared" si="5"/>
        <v>#DIV/0!</v>
      </c>
      <c r="J25" s="798"/>
      <c r="K25" s="890" t="e">
        <f t="shared" si="3"/>
        <v>#DIV/0!</v>
      </c>
      <c r="L25" s="801">
        <f t="shared" si="4"/>
        <v>0</v>
      </c>
      <c r="M25" s="799"/>
      <c r="N25" s="390">
        <v>-1</v>
      </c>
      <c r="O25" s="799"/>
      <c r="P25" s="794">
        <v>2021</v>
      </c>
      <c r="Q25" s="489"/>
      <c r="R25" s="806">
        <v>-1</v>
      </c>
      <c r="S25" s="31"/>
      <c r="T25" s="940">
        <v>-1</v>
      </c>
      <c r="U25" s="31"/>
      <c r="V25" s="31"/>
      <c r="W25" s="31"/>
      <c r="X25" s="31"/>
      <c r="Y25" s="31"/>
      <c r="Z25" s="31"/>
      <c r="AA25" s="31"/>
      <c r="AB25" s="31"/>
    </row>
    <row r="26" spans="1:28" ht="18.600000000000001" thickBot="1" x14ac:dyDescent="0.4">
      <c r="A26" s="90" t="s">
        <v>16</v>
      </c>
      <c r="B26" s="822"/>
      <c r="C26" s="556"/>
      <c r="D26" s="356"/>
      <c r="E26" s="356"/>
      <c r="F26" s="731" t="e">
        <f t="shared" si="0"/>
        <v>#DIV/0!</v>
      </c>
      <c r="G26" s="728" t="e">
        <f t="shared" si="1"/>
        <v>#DIV/0!</v>
      </c>
      <c r="H26" s="823" t="e">
        <f t="shared" si="2"/>
        <v>#DIV/0!</v>
      </c>
      <c r="I26" s="815" t="e">
        <f t="shared" si="5"/>
        <v>#DIV/0!</v>
      </c>
      <c r="J26" s="798"/>
      <c r="K26" s="890" t="e">
        <f t="shared" si="3"/>
        <v>#DIV/0!</v>
      </c>
      <c r="L26" s="801">
        <f t="shared" si="4"/>
        <v>0</v>
      </c>
      <c r="M26" s="799"/>
      <c r="N26" s="390">
        <v>-1</v>
      </c>
      <c r="O26" s="799"/>
      <c r="P26" s="794">
        <v>2013</v>
      </c>
      <c r="Q26" s="489"/>
      <c r="R26" s="806">
        <v>-1</v>
      </c>
      <c r="S26" s="31"/>
      <c r="T26" s="940">
        <v>-1</v>
      </c>
      <c r="U26" s="31"/>
      <c r="V26" s="31"/>
      <c r="W26" s="31"/>
      <c r="X26" s="31"/>
      <c r="Y26" s="31"/>
      <c r="Z26" s="31"/>
      <c r="AA26" s="31"/>
      <c r="AB26" s="31"/>
    </row>
    <row r="27" spans="1:28" ht="18.600000000000001" thickBot="1" x14ac:dyDescent="0.4">
      <c r="A27" s="208" t="s">
        <v>119</v>
      </c>
      <c r="B27" s="822"/>
      <c r="C27" s="556"/>
      <c r="D27" s="917"/>
      <c r="E27" s="917"/>
      <c r="F27" s="731" t="e">
        <f t="shared" si="0"/>
        <v>#DIV/0!</v>
      </c>
      <c r="G27" s="728" t="e">
        <f t="shared" si="1"/>
        <v>#DIV/0!</v>
      </c>
      <c r="H27" s="823" t="e">
        <f t="shared" si="2"/>
        <v>#DIV/0!</v>
      </c>
      <c r="I27" s="815" t="e">
        <f t="shared" si="5"/>
        <v>#DIV/0!</v>
      </c>
      <c r="J27" s="798"/>
      <c r="K27" s="888" t="e">
        <f t="shared" si="3"/>
        <v>#DIV/0!</v>
      </c>
      <c r="L27" s="801">
        <f t="shared" si="4"/>
        <v>0</v>
      </c>
      <c r="M27" s="799"/>
      <c r="N27" s="799"/>
      <c r="O27" s="799"/>
      <c r="P27" s="794"/>
      <c r="Q27" s="489"/>
      <c r="R27" s="807"/>
      <c r="S27" s="31"/>
      <c r="T27" s="940"/>
      <c r="U27" s="31"/>
      <c r="V27" s="31"/>
      <c r="W27" s="31"/>
      <c r="X27" s="31"/>
      <c r="Y27" s="31"/>
      <c r="Z27" s="31"/>
      <c r="AA27" s="31"/>
      <c r="AB27" s="31"/>
    </row>
    <row r="28" spans="1:28" ht="18.600000000000001" thickBot="1" x14ac:dyDescent="0.4">
      <c r="A28" s="208" t="s">
        <v>23</v>
      </c>
      <c r="B28" s="822"/>
      <c r="C28" s="556"/>
      <c r="D28" s="941"/>
      <c r="E28" s="941"/>
      <c r="F28" s="731" t="e">
        <f t="shared" si="0"/>
        <v>#DIV/0!</v>
      </c>
      <c r="G28" s="728" t="e">
        <f t="shared" si="1"/>
        <v>#DIV/0!</v>
      </c>
      <c r="H28" s="823" t="e">
        <f t="shared" si="2"/>
        <v>#DIV/0!</v>
      </c>
      <c r="I28" s="815" t="e">
        <f t="shared" si="5"/>
        <v>#DIV/0!</v>
      </c>
      <c r="J28" s="798"/>
      <c r="K28" s="802" t="e">
        <f t="shared" si="3"/>
        <v>#DIV/0!</v>
      </c>
      <c r="L28" s="801">
        <f t="shared" si="4"/>
        <v>0</v>
      </c>
      <c r="M28" s="799"/>
      <c r="N28" s="390">
        <v>1</v>
      </c>
      <c r="O28" s="799"/>
      <c r="P28" s="794"/>
      <c r="Q28" s="489"/>
      <c r="R28" s="806">
        <v>1</v>
      </c>
      <c r="S28" s="31"/>
      <c r="T28" s="940">
        <v>2</v>
      </c>
      <c r="U28" s="31"/>
      <c r="V28" s="31"/>
      <c r="W28" s="31"/>
      <c r="X28" s="31"/>
      <c r="Y28" s="31"/>
      <c r="Z28" s="31"/>
      <c r="AA28" s="31"/>
      <c r="AB28" s="31"/>
    </row>
    <row r="29" spans="1:28" ht="18.600000000000001" thickBot="1" x14ac:dyDescent="0.4">
      <c r="A29" s="208" t="s">
        <v>425</v>
      </c>
      <c r="B29" s="822"/>
      <c r="C29" s="556"/>
      <c r="D29" s="941"/>
      <c r="E29" s="941"/>
      <c r="F29" s="731" t="e">
        <f t="shared" si="0"/>
        <v>#DIV/0!</v>
      </c>
      <c r="G29" s="728" t="e">
        <f t="shared" si="1"/>
        <v>#DIV/0!</v>
      </c>
      <c r="H29" s="823" t="e">
        <f t="shared" si="2"/>
        <v>#DIV/0!</v>
      </c>
      <c r="I29" s="815" t="e">
        <f t="shared" si="5"/>
        <v>#DIV/0!</v>
      </c>
      <c r="J29" s="798"/>
      <c r="K29" s="802" t="e">
        <f t="shared" si="3"/>
        <v>#DIV/0!</v>
      </c>
      <c r="L29" s="801">
        <f t="shared" si="4"/>
        <v>0</v>
      </c>
      <c r="M29" s="799"/>
      <c r="N29" s="390">
        <v>1</v>
      </c>
      <c r="O29" s="799"/>
      <c r="P29" s="794">
        <v>2019</v>
      </c>
      <c r="Q29" s="489"/>
      <c r="R29" s="806"/>
      <c r="S29" s="31"/>
      <c r="T29" s="940">
        <v>2</v>
      </c>
      <c r="U29" s="31"/>
      <c r="V29" s="31"/>
      <c r="W29" s="31"/>
      <c r="X29" s="31"/>
      <c r="Y29" s="31"/>
      <c r="Z29" s="31"/>
      <c r="AA29" s="31"/>
      <c r="AB29" s="31"/>
    </row>
    <row r="30" spans="1:28" ht="18.600000000000001" thickBot="1" x14ac:dyDescent="0.4">
      <c r="A30" s="208" t="s">
        <v>120</v>
      </c>
      <c r="B30" s="822"/>
      <c r="C30" s="556"/>
      <c r="D30" s="941"/>
      <c r="E30" s="941"/>
      <c r="F30" s="731" t="e">
        <f t="shared" si="0"/>
        <v>#DIV/0!</v>
      </c>
      <c r="G30" s="728" t="e">
        <f t="shared" si="1"/>
        <v>#DIV/0!</v>
      </c>
      <c r="H30" s="823" t="e">
        <f t="shared" si="2"/>
        <v>#DIV/0!</v>
      </c>
      <c r="I30" s="815" t="e">
        <f t="shared" si="5"/>
        <v>#DIV/0!</v>
      </c>
      <c r="J30" s="798"/>
      <c r="K30" s="800" t="e">
        <f t="shared" si="3"/>
        <v>#DIV/0!</v>
      </c>
      <c r="L30" s="801">
        <f t="shared" si="4"/>
        <v>0</v>
      </c>
      <c r="M30" s="799"/>
      <c r="N30" s="799"/>
      <c r="O30" s="799"/>
      <c r="P30" s="794"/>
      <c r="Q30" s="489"/>
      <c r="R30" s="807"/>
      <c r="S30" s="31"/>
      <c r="T30" s="940"/>
      <c r="U30" s="31"/>
      <c r="V30" s="31"/>
      <c r="W30" s="31"/>
      <c r="X30" s="31"/>
      <c r="Y30" s="31"/>
      <c r="Z30" s="31"/>
      <c r="AA30" s="31"/>
      <c r="AB30" s="31"/>
    </row>
    <row r="31" spans="1:28" ht="18.600000000000001" thickBot="1" x14ac:dyDescent="0.4">
      <c r="A31" s="208" t="s">
        <v>113</v>
      </c>
      <c r="B31" s="822"/>
      <c r="C31" s="556"/>
      <c r="D31" s="941"/>
      <c r="E31" s="941"/>
      <c r="F31" s="731" t="e">
        <f t="shared" si="0"/>
        <v>#DIV/0!</v>
      </c>
      <c r="G31" s="728" t="e">
        <f t="shared" si="1"/>
        <v>#DIV/0!</v>
      </c>
      <c r="H31" s="823" t="e">
        <f t="shared" si="2"/>
        <v>#DIV/0!</v>
      </c>
      <c r="I31" s="815" t="e">
        <f t="shared" si="5"/>
        <v>#DIV/0!</v>
      </c>
      <c r="J31" s="798"/>
      <c r="K31" s="800" t="e">
        <f t="shared" si="3"/>
        <v>#DIV/0!</v>
      </c>
      <c r="L31" s="801">
        <f t="shared" si="4"/>
        <v>0</v>
      </c>
      <c r="M31" s="799"/>
      <c r="N31" s="799"/>
      <c r="O31" s="799"/>
      <c r="P31" s="794">
        <v>2011</v>
      </c>
      <c r="Q31" s="489"/>
      <c r="R31" s="807"/>
      <c r="S31" s="31"/>
      <c r="T31" s="940"/>
      <c r="U31" s="31"/>
      <c r="V31" s="31"/>
      <c r="W31" s="31"/>
      <c r="X31" s="31"/>
      <c r="Y31" s="31"/>
      <c r="Z31" s="31"/>
      <c r="AA31" s="31"/>
      <c r="AB31" s="31"/>
    </row>
    <row r="32" spans="1:28" ht="18.600000000000001" thickBot="1" x14ac:dyDescent="0.4">
      <c r="A32" s="208" t="s">
        <v>114</v>
      </c>
      <c r="B32" s="822"/>
      <c r="C32" s="556"/>
      <c r="D32" s="941"/>
      <c r="E32" s="941"/>
      <c r="F32" s="731" t="e">
        <f t="shared" si="0"/>
        <v>#DIV/0!</v>
      </c>
      <c r="G32" s="728" t="e">
        <f t="shared" si="1"/>
        <v>#DIV/0!</v>
      </c>
      <c r="H32" s="823" t="e">
        <f t="shared" si="2"/>
        <v>#DIV/0!</v>
      </c>
      <c r="I32" s="815" t="e">
        <f t="shared" si="5"/>
        <v>#DIV/0!</v>
      </c>
      <c r="J32" s="798"/>
      <c r="K32" s="890" t="e">
        <f t="shared" si="3"/>
        <v>#DIV/0!</v>
      </c>
      <c r="L32" s="801">
        <f t="shared" si="4"/>
        <v>0</v>
      </c>
      <c r="M32" s="799"/>
      <c r="N32" s="390">
        <v>-1</v>
      </c>
      <c r="O32" s="799"/>
      <c r="P32" s="794">
        <v>2009</v>
      </c>
      <c r="Q32" s="489"/>
      <c r="R32" s="806">
        <v>-1</v>
      </c>
      <c r="S32" s="31"/>
      <c r="T32" s="940">
        <v>-1</v>
      </c>
      <c r="U32" s="31"/>
      <c r="V32" s="31"/>
      <c r="W32" s="31"/>
      <c r="X32" s="31"/>
      <c r="Y32" s="31"/>
      <c r="Z32" s="31"/>
      <c r="AA32" s="31"/>
      <c r="AB32" s="31"/>
    </row>
    <row r="33" spans="1:28" ht="18.600000000000001" thickBot="1" x14ac:dyDescent="0.4">
      <c r="A33" s="208" t="s">
        <v>121</v>
      </c>
      <c r="B33" s="822"/>
      <c r="C33" s="556"/>
      <c r="D33" s="941"/>
      <c r="E33" s="941"/>
      <c r="F33" s="731" t="e">
        <f t="shared" si="0"/>
        <v>#DIV/0!</v>
      </c>
      <c r="G33" s="728" t="e">
        <f t="shared" si="1"/>
        <v>#DIV/0!</v>
      </c>
      <c r="H33" s="823" t="e">
        <f t="shared" si="2"/>
        <v>#DIV/0!</v>
      </c>
      <c r="I33" s="815" t="e">
        <f t="shared" si="5"/>
        <v>#DIV/0!</v>
      </c>
      <c r="J33" s="798"/>
      <c r="K33" s="888" t="e">
        <f t="shared" si="3"/>
        <v>#DIV/0!</v>
      </c>
      <c r="L33" s="801">
        <f t="shared" si="4"/>
        <v>0</v>
      </c>
      <c r="M33" s="799"/>
      <c r="N33" s="799"/>
      <c r="O33" s="799"/>
      <c r="P33" s="794"/>
      <c r="Q33" s="489"/>
      <c r="R33" s="807"/>
      <c r="S33" s="31"/>
      <c r="T33" s="940"/>
      <c r="U33" s="31"/>
      <c r="V33" s="31"/>
      <c r="W33" s="31"/>
      <c r="X33" s="31"/>
      <c r="Y33" s="31"/>
      <c r="Z33" s="31"/>
      <c r="AA33" s="31"/>
      <c r="AB33" s="31"/>
    </row>
    <row r="34" spans="1:28" ht="18.600000000000001" thickBot="1" x14ac:dyDescent="0.4">
      <c r="A34" s="208" t="s">
        <v>308</v>
      </c>
      <c r="B34" s="822"/>
      <c r="C34" s="556"/>
      <c r="D34" s="941"/>
      <c r="E34" s="941"/>
      <c r="F34" s="731" t="e">
        <f t="shared" si="0"/>
        <v>#DIV/0!</v>
      </c>
      <c r="G34" s="728" t="e">
        <f t="shared" si="1"/>
        <v>#DIV/0!</v>
      </c>
      <c r="H34" s="823" t="e">
        <f t="shared" si="2"/>
        <v>#DIV/0!</v>
      </c>
      <c r="I34" s="815" t="e">
        <f t="shared" si="5"/>
        <v>#DIV/0!</v>
      </c>
      <c r="J34" s="798"/>
      <c r="K34" s="890" t="e">
        <f t="shared" si="3"/>
        <v>#DIV/0!</v>
      </c>
      <c r="L34" s="801">
        <f t="shared" si="4"/>
        <v>0</v>
      </c>
      <c r="M34" s="799"/>
      <c r="N34" s="390">
        <v>-1</v>
      </c>
      <c r="O34" s="799"/>
      <c r="P34" s="794">
        <v>2015</v>
      </c>
      <c r="Q34" s="489"/>
      <c r="R34" s="806">
        <v>-1</v>
      </c>
      <c r="S34" s="31"/>
      <c r="T34" s="940">
        <v>-1</v>
      </c>
      <c r="U34" s="31"/>
      <c r="V34" s="31"/>
      <c r="W34" s="31"/>
      <c r="X34" s="31"/>
      <c r="Y34" s="31"/>
      <c r="Z34" s="31"/>
      <c r="AA34" s="31"/>
      <c r="AB34" s="31"/>
    </row>
    <row r="35" spans="1:28" ht="18.600000000000001" thickBot="1" x14ac:dyDescent="0.4">
      <c r="A35" s="208" t="s">
        <v>290</v>
      </c>
      <c r="B35" s="822"/>
      <c r="C35" s="556"/>
      <c r="D35" s="941"/>
      <c r="E35" s="941"/>
      <c r="F35" s="731" t="e">
        <f t="shared" si="0"/>
        <v>#DIV/0!</v>
      </c>
      <c r="G35" s="728" t="e">
        <f t="shared" si="1"/>
        <v>#DIV/0!</v>
      </c>
      <c r="H35" s="823" t="e">
        <f t="shared" si="2"/>
        <v>#DIV/0!</v>
      </c>
      <c r="I35" s="815" t="e">
        <f t="shared" si="5"/>
        <v>#DIV/0!</v>
      </c>
      <c r="J35" s="798"/>
      <c r="K35" s="888" t="e">
        <f t="shared" si="3"/>
        <v>#DIV/0!</v>
      </c>
      <c r="L35" s="801">
        <f t="shared" si="4"/>
        <v>0</v>
      </c>
      <c r="M35" s="799"/>
      <c r="N35" s="799"/>
      <c r="O35" s="799"/>
      <c r="P35" s="794"/>
      <c r="Q35" s="489"/>
      <c r="R35" s="807"/>
      <c r="S35" s="31"/>
      <c r="T35" s="940"/>
      <c r="U35" s="31"/>
      <c r="V35" s="31"/>
      <c r="W35" s="31"/>
      <c r="X35" s="31"/>
      <c r="Y35" s="31"/>
      <c r="Z35" s="31"/>
      <c r="AA35" s="31"/>
      <c r="AB35" s="31"/>
    </row>
    <row r="36" spans="1:28" ht="18.600000000000001" thickBot="1" x14ac:dyDescent="0.4">
      <c r="A36" s="208" t="s">
        <v>442</v>
      </c>
      <c r="B36" s="822"/>
      <c r="C36" s="556"/>
      <c r="D36" s="941"/>
      <c r="E36" s="941"/>
      <c r="F36" s="731"/>
      <c r="G36" s="728"/>
      <c r="H36" s="823"/>
      <c r="I36" s="815"/>
      <c r="J36" s="798"/>
      <c r="K36" s="888"/>
      <c r="L36" s="801"/>
      <c r="M36" s="799"/>
      <c r="N36" s="799"/>
      <c r="O36" s="799"/>
      <c r="P36" s="794"/>
      <c r="Q36" s="489"/>
      <c r="R36" s="807"/>
      <c r="S36" s="31"/>
      <c r="T36" s="940"/>
      <c r="U36" s="31"/>
      <c r="V36" s="31"/>
      <c r="W36" s="31"/>
      <c r="X36" s="31"/>
      <c r="Y36" s="31"/>
      <c r="Z36" s="31"/>
      <c r="AA36" s="31"/>
      <c r="AB36" s="31"/>
    </row>
    <row r="37" spans="1:28" ht="18.600000000000001" thickBot="1" x14ac:dyDescent="0.4">
      <c r="A37" s="90" t="s">
        <v>98</v>
      </c>
      <c r="B37" s="822"/>
      <c r="C37" s="556"/>
      <c r="D37" s="942"/>
      <c r="E37" s="942"/>
      <c r="F37" s="731" t="e">
        <f t="shared" si="0"/>
        <v>#DIV/0!</v>
      </c>
      <c r="G37" s="728" t="e">
        <f t="shared" si="1"/>
        <v>#DIV/0!</v>
      </c>
      <c r="H37" s="823" t="e">
        <f t="shared" si="2"/>
        <v>#DIV/0!</v>
      </c>
      <c r="I37" s="815" t="e">
        <f t="shared" si="5"/>
        <v>#DIV/0!</v>
      </c>
      <c r="J37" s="798"/>
      <c r="K37" s="800" t="e">
        <f t="shared" si="3"/>
        <v>#DIV/0!</v>
      </c>
      <c r="L37" s="801">
        <f t="shared" si="4"/>
        <v>0</v>
      </c>
      <c r="M37" s="799"/>
      <c r="N37" s="799"/>
      <c r="O37" s="799"/>
      <c r="P37" s="794">
        <v>2017</v>
      </c>
      <c r="Q37" s="489"/>
      <c r="R37" s="807"/>
      <c r="S37" s="31"/>
      <c r="T37" s="940"/>
      <c r="U37" s="31"/>
      <c r="V37" s="31"/>
      <c r="W37" s="31"/>
      <c r="X37" s="31"/>
      <c r="Y37" s="31"/>
      <c r="Z37" s="31"/>
      <c r="AA37" s="31"/>
      <c r="AB37" s="31"/>
    </row>
    <row r="38" spans="1:28" ht="18.600000000000001" thickBot="1" x14ac:dyDescent="0.4">
      <c r="A38" s="91" t="s">
        <v>8</v>
      </c>
      <c r="B38" s="822"/>
      <c r="C38" s="556"/>
      <c r="D38" s="942"/>
      <c r="E38" s="942"/>
      <c r="F38" s="731" t="e">
        <f t="shared" si="0"/>
        <v>#DIV/0!</v>
      </c>
      <c r="G38" s="728" t="e">
        <f t="shared" si="1"/>
        <v>#DIV/0!</v>
      </c>
      <c r="H38" s="823" t="e">
        <f t="shared" si="2"/>
        <v>#DIV/0!</v>
      </c>
      <c r="I38" s="815" t="e">
        <f t="shared" si="5"/>
        <v>#DIV/0!</v>
      </c>
      <c r="J38" s="798"/>
      <c r="K38" s="800" t="e">
        <f t="shared" si="3"/>
        <v>#DIV/0!</v>
      </c>
      <c r="L38" s="801">
        <f t="shared" si="4"/>
        <v>0</v>
      </c>
      <c r="M38" s="799"/>
      <c r="N38" s="799"/>
      <c r="O38" s="799"/>
      <c r="P38" s="794">
        <v>2019</v>
      </c>
      <c r="Q38" s="489"/>
      <c r="R38" s="807"/>
      <c r="S38" s="31"/>
      <c r="T38" s="940"/>
      <c r="U38" s="31"/>
      <c r="V38" s="31"/>
      <c r="W38" s="31"/>
      <c r="X38" s="31"/>
      <c r="Y38" s="31"/>
      <c r="Z38" s="31"/>
      <c r="AA38" s="31"/>
      <c r="AB38" s="31"/>
    </row>
    <row r="39" spans="1:28" ht="18.600000000000001" thickBot="1" x14ac:dyDescent="0.4">
      <c r="A39" s="90" t="s">
        <v>95</v>
      </c>
      <c r="B39" s="822"/>
      <c r="C39" s="556"/>
      <c r="D39" s="942"/>
      <c r="E39" s="942"/>
      <c r="F39" s="731" t="e">
        <f t="shared" si="0"/>
        <v>#DIV/0!</v>
      </c>
      <c r="G39" s="728" t="e">
        <f t="shared" si="1"/>
        <v>#DIV/0!</v>
      </c>
      <c r="H39" s="823" t="e">
        <f t="shared" si="2"/>
        <v>#DIV/0!</v>
      </c>
      <c r="I39" s="815" t="e">
        <f t="shared" si="5"/>
        <v>#DIV/0!</v>
      </c>
      <c r="J39" s="798"/>
      <c r="K39" s="800" t="e">
        <f t="shared" si="3"/>
        <v>#DIV/0!</v>
      </c>
      <c r="L39" s="801">
        <f t="shared" si="4"/>
        <v>0</v>
      </c>
      <c r="M39" s="799"/>
      <c r="N39" s="799"/>
      <c r="O39" s="799"/>
      <c r="P39" s="794">
        <v>2013</v>
      </c>
      <c r="Q39" s="489"/>
      <c r="R39" s="807"/>
      <c r="S39" s="31"/>
      <c r="T39" s="940"/>
      <c r="U39" s="31"/>
      <c r="V39" s="31"/>
      <c r="W39" s="31"/>
      <c r="X39" s="31"/>
      <c r="Y39" s="31"/>
      <c r="Z39" s="31"/>
      <c r="AA39" s="31"/>
      <c r="AB39" s="31"/>
    </row>
    <row r="40" spans="1:28" ht="18.600000000000001" thickBot="1" x14ac:dyDescent="0.4">
      <c r="A40" s="208" t="s">
        <v>122</v>
      </c>
      <c r="B40" s="822"/>
      <c r="C40" s="556"/>
      <c r="D40" s="941"/>
      <c r="E40" s="941"/>
      <c r="F40" s="731" t="e">
        <f t="shared" si="0"/>
        <v>#DIV/0!</v>
      </c>
      <c r="G40" s="728" t="e">
        <f t="shared" si="1"/>
        <v>#DIV/0!</v>
      </c>
      <c r="H40" s="823" t="e">
        <f t="shared" si="2"/>
        <v>#DIV/0!</v>
      </c>
      <c r="I40" s="815" t="e">
        <f t="shared" si="5"/>
        <v>#DIV/0!</v>
      </c>
      <c r="J40" s="798"/>
      <c r="K40" s="800" t="e">
        <f t="shared" si="3"/>
        <v>#DIV/0!</v>
      </c>
      <c r="L40" s="801">
        <f t="shared" si="4"/>
        <v>0</v>
      </c>
      <c r="M40" s="799"/>
      <c r="N40" s="799"/>
      <c r="O40" s="799"/>
      <c r="P40" s="794"/>
      <c r="Q40" s="489"/>
      <c r="R40" s="807"/>
      <c r="S40" s="31"/>
      <c r="T40" s="940"/>
      <c r="U40" s="31"/>
      <c r="V40" s="31"/>
      <c r="W40" s="31"/>
      <c r="X40" s="31"/>
      <c r="Y40" s="31"/>
      <c r="Z40" s="31"/>
      <c r="AA40" s="31"/>
      <c r="AB40" s="31"/>
    </row>
    <row r="41" spans="1:28" ht="18.600000000000001" thickBot="1" x14ac:dyDescent="0.4">
      <c r="A41" s="90" t="s">
        <v>103</v>
      </c>
      <c r="B41" s="822"/>
      <c r="C41" s="556"/>
      <c r="D41" s="942"/>
      <c r="E41" s="942"/>
      <c r="F41" s="731" t="e">
        <f t="shared" si="0"/>
        <v>#DIV/0!</v>
      </c>
      <c r="G41" s="728" t="e">
        <f t="shared" si="1"/>
        <v>#DIV/0!</v>
      </c>
      <c r="H41" s="823" t="e">
        <f t="shared" si="2"/>
        <v>#DIV/0!</v>
      </c>
      <c r="I41" s="815" t="e">
        <f t="shared" si="5"/>
        <v>#DIV/0!</v>
      </c>
      <c r="J41" s="798"/>
      <c r="K41" s="890" t="e">
        <f t="shared" si="3"/>
        <v>#DIV/0!</v>
      </c>
      <c r="L41" s="801">
        <f t="shared" si="4"/>
        <v>0</v>
      </c>
      <c r="M41" s="799"/>
      <c r="N41" s="390">
        <v>-1</v>
      </c>
      <c r="O41" s="799"/>
      <c r="P41" s="794"/>
      <c r="Q41" s="489"/>
      <c r="R41" s="806">
        <v>-1</v>
      </c>
      <c r="S41" s="31"/>
      <c r="T41" s="940">
        <v>-1</v>
      </c>
      <c r="U41" s="31"/>
      <c r="V41" s="31"/>
      <c r="W41" s="31"/>
      <c r="X41" s="31"/>
      <c r="Y41" s="31"/>
      <c r="Z41" s="31"/>
      <c r="AA41" s="31"/>
      <c r="AB41" s="31"/>
    </row>
    <row r="42" spans="1:28" ht="18.600000000000001" thickBot="1" x14ac:dyDescent="0.4">
      <c r="A42" s="90" t="s">
        <v>17</v>
      </c>
      <c r="B42" s="822"/>
      <c r="C42" s="556"/>
      <c r="D42" s="942"/>
      <c r="E42" s="942"/>
      <c r="F42" s="731" t="e">
        <f t="shared" si="0"/>
        <v>#DIV/0!</v>
      </c>
      <c r="G42" s="728" t="e">
        <f t="shared" si="1"/>
        <v>#DIV/0!</v>
      </c>
      <c r="H42" s="823" t="e">
        <f t="shared" si="2"/>
        <v>#DIV/0!</v>
      </c>
      <c r="I42" s="815" t="e">
        <f t="shared" si="5"/>
        <v>#DIV/0!</v>
      </c>
      <c r="J42" s="798"/>
      <c r="K42" s="890" t="e">
        <f t="shared" si="3"/>
        <v>#DIV/0!</v>
      </c>
      <c r="L42" s="801">
        <f t="shared" si="4"/>
        <v>0</v>
      </c>
      <c r="M42" s="799"/>
      <c r="N42" s="390">
        <v>-1</v>
      </c>
      <c r="O42" s="799"/>
      <c r="P42" s="794">
        <v>2017</v>
      </c>
      <c r="Q42" s="489"/>
      <c r="R42" s="806">
        <v>-1</v>
      </c>
      <c r="S42" s="31"/>
      <c r="T42" s="940">
        <v>-1</v>
      </c>
      <c r="U42" s="31"/>
      <c r="V42" s="31"/>
      <c r="W42" s="31"/>
      <c r="X42" s="31"/>
      <c r="Y42" s="31"/>
      <c r="Z42" s="31"/>
      <c r="AA42" s="31"/>
      <c r="AB42" s="31"/>
    </row>
    <row r="43" spans="1:28" ht="18.600000000000001" thickBot="1" x14ac:dyDescent="0.4">
      <c r="A43" s="208" t="s">
        <v>123</v>
      </c>
      <c r="B43" s="822"/>
      <c r="C43" s="556"/>
      <c r="D43" s="943"/>
      <c r="E43" s="943"/>
      <c r="F43" s="731" t="e">
        <f t="shared" si="0"/>
        <v>#DIV/0!</v>
      </c>
      <c r="G43" s="728" t="e">
        <f t="shared" si="1"/>
        <v>#DIV/0!</v>
      </c>
      <c r="H43" s="823" t="e">
        <f t="shared" si="2"/>
        <v>#DIV/0!</v>
      </c>
      <c r="I43" s="815" t="e">
        <f t="shared" si="5"/>
        <v>#DIV/0!</v>
      </c>
      <c r="J43" s="798"/>
      <c r="K43" s="890" t="e">
        <f t="shared" si="3"/>
        <v>#DIV/0!</v>
      </c>
      <c r="L43" s="801">
        <f t="shared" si="4"/>
        <v>0</v>
      </c>
      <c r="M43" s="799"/>
      <c r="N43" s="799"/>
      <c r="O43" s="799"/>
      <c r="P43" s="794"/>
      <c r="Q43" s="489"/>
      <c r="R43" s="806">
        <v>-1</v>
      </c>
      <c r="S43" s="31"/>
      <c r="T43" s="940">
        <v>-1</v>
      </c>
      <c r="U43" s="31"/>
      <c r="V43" s="31"/>
      <c r="W43" s="31"/>
      <c r="X43" s="31"/>
      <c r="Y43" s="31"/>
      <c r="Z43" s="31"/>
      <c r="AA43" s="31"/>
      <c r="AB43" s="31"/>
    </row>
    <row r="44" spans="1:28" ht="18.600000000000001" thickBot="1" x14ac:dyDescent="0.4">
      <c r="A44" s="208" t="s">
        <v>294</v>
      </c>
      <c r="B44" s="822"/>
      <c r="C44" s="556"/>
      <c r="D44" s="942"/>
      <c r="E44" s="942"/>
      <c r="F44" s="731" t="e">
        <f t="shared" si="0"/>
        <v>#DIV/0!</v>
      </c>
      <c r="G44" s="728" t="e">
        <f t="shared" si="1"/>
        <v>#DIV/0!</v>
      </c>
      <c r="H44" s="823" t="e">
        <f t="shared" si="2"/>
        <v>#DIV/0!</v>
      </c>
      <c r="I44" s="815" t="e">
        <f t="shared" si="5"/>
        <v>#DIV/0!</v>
      </c>
      <c r="J44" s="798"/>
      <c r="K44" s="802" t="e">
        <f t="shared" si="3"/>
        <v>#DIV/0!</v>
      </c>
      <c r="L44" s="801">
        <f t="shared" si="4"/>
        <v>0</v>
      </c>
      <c r="M44" s="799"/>
      <c r="N44" s="390">
        <v>2</v>
      </c>
      <c r="O44" s="799"/>
      <c r="P44" s="794">
        <v>2021</v>
      </c>
      <c r="Q44" s="489"/>
      <c r="R44" s="806">
        <v>2</v>
      </c>
      <c r="S44" s="31"/>
      <c r="T44" s="940">
        <v>2</v>
      </c>
      <c r="U44" s="31"/>
      <c r="V44" s="31"/>
      <c r="W44" s="31"/>
      <c r="X44" s="31"/>
      <c r="Y44" s="31"/>
      <c r="Z44" s="31"/>
      <c r="AA44" s="31"/>
      <c r="AB44" s="31"/>
    </row>
    <row r="45" spans="1:28" ht="18.600000000000001" thickBot="1" x14ac:dyDescent="0.4">
      <c r="A45" s="90" t="s">
        <v>7</v>
      </c>
      <c r="B45" s="822"/>
      <c r="C45" s="556"/>
      <c r="D45" s="942"/>
      <c r="E45" s="942"/>
      <c r="F45" s="731" t="e">
        <f t="shared" si="0"/>
        <v>#DIV/0!</v>
      </c>
      <c r="G45" s="728" t="e">
        <f t="shared" si="1"/>
        <v>#DIV/0!</v>
      </c>
      <c r="H45" s="823" t="e">
        <f t="shared" si="2"/>
        <v>#DIV/0!</v>
      </c>
      <c r="I45" s="815" t="e">
        <f t="shared" si="5"/>
        <v>#DIV/0!</v>
      </c>
      <c r="J45" s="798"/>
      <c r="K45" s="802" t="e">
        <f t="shared" si="3"/>
        <v>#DIV/0!</v>
      </c>
      <c r="L45" s="801">
        <f t="shared" si="4"/>
        <v>0</v>
      </c>
      <c r="M45" s="799"/>
      <c r="N45" s="390">
        <v>1</v>
      </c>
      <c r="O45" s="799"/>
      <c r="P45" s="794">
        <v>2019</v>
      </c>
      <c r="Q45" s="489"/>
      <c r="R45" s="806"/>
      <c r="S45" s="31"/>
      <c r="T45" s="940">
        <v>2</v>
      </c>
      <c r="U45" s="31"/>
      <c r="V45" s="31"/>
      <c r="W45" s="31"/>
      <c r="X45" s="31"/>
      <c r="Y45" s="31"/>
      <c r="Z45" s="31"/>
      <c r="AA45" s="31"/>
      <c r="AB45" s="31"/>
    </row>
    <row r="46" spans="1:28" ht="18.600000000000001" thickBot="1" x14ac:dyDescent="0.4">
      <c r="A46" s="208" t="s">
        <v>124</v>
      </c>
      <c r="B46" s="822"/>
      <c r="C46" s="556"/>
      <c r="D46" s="941"/>
      <c r="E46" s="941"/>
      <c r="F46" s="731" t="e">
        <f t="shared" si="0"/>
        <v>#DIV/0!</v>
      </c>
      <c r="G46" s="728" t="e">
        <f t="shared" si="1"/>
        <v>#DIV/0!</v>
      </c>
      <c r="H46" s="823" t="e">
        <f t="shared" si="2"/>
        <v>#DIV/0!</v>
      </c>
      <c r="I46" s="815" t="e">
        <f t="shared" si="5"/>
        <v>#DIV/0!</v>
      </c>
      <c r="J46" s="798"/>
      <c r="K46" s="802" t="e">
        <f t="shared" si="3"/>
        <v>#DIV/0!</v>
      </c>
      <c r="L46" s="801">
        <f t="shared" si="4"/>
        <v>0</v>
      </c>
      <c r="M46" s="799"/>
      <c r="N46" s="390">
        <v>1</v>
      </c>
      <c r="O46" s="799"/>
      <c r="P46" s="794">
        <v>2021</v>
      </c>
      <c r="Q46" s="489"/>
      <c r="R46" s="806">
        <v>1</v>
      </c>
      <c r="S46" s="31"/>
      <c r="T46" s="940">
        <v>1</v>
      </c>
      <c r="U46" s="31"/>
      <c r="V46" s="31"/>
      <c r="W46" s="31"/>
      <c r="X46" s="31"/>
      <c r="Y46" s="31"/>
      <c r="Z46" s="31"/>
      <c r="AA46" s="31"/>
      <c r="AB46" s="31"/>
    </row>
    <row r="47" spans="1:28" ht="18.600000000000001" thickBot="1" x14ac:dyDescent="0.4">
      <c r="A47" s="208" t="s">
        <v>125</v>
      </c>
      <c r="B47" s="822"/>
      <c r="C47" s="556"/>
      <c r="D47" s="941"/>
      <c r="E47" s="941"/>
      <c r="F47" s="731" t="e">
        <f t="shared" si="0"/>
        <v>#DIV/0!</v>
      </c>
      <c r="G47" s="728" t="e">
        <f t="shared" si="1"/>
        <v>#DIV/0!</v>
      </c>
      <c r="H47" s="823" t="e">
        <f t="shared" si="2"/>
        <v>#DIV/0!</v>
      </c>
      <c r="I47" s="815" t="e">
        <f t="shared" si="5"/>
        <v>#DIV/0!</v>
      </c>
      <c r="J47" s="798"/>
      <c r="K47" s="802" t="e">
        <f t="shared" si="3"/>
        <v>#DIV/0!</v>
      </c>
      <c r="L47" s="801">
        <f t="shared" si="4"/>
        <v>0</v>
      </c>
      <c r="M47" s="799"/>
      <c r="N47" s="390">
        <v>1</v>
      </c>
      <c r="O47" s="799"/>
      <c r="P47" s="794"/>
      <c r="Q47" s="489"/>
      <c r="R47" s="806">
        <v>1</v>
      </c>
      <c r="S47" s="31"/>
      <c r="T47" s="940">
        <v>1</v>
      </c>
      <c r="U47" s="31"/>
      <c r="V47" s="31"/>
      <c r="W47" s="31"/>
      <c r="X47" s="31"/>
      <c r="Y47" s="31"/>
      <c r="Z47" s="31"/>
      <c r="AA47" s="31"/>
      <c r="AB47" s="31"/>
    </row>
    <row r="48" spans="1:28" ht="18.600000000000001" thickBot="1" x14ac:dyDescent="0.4">
      <c r="A48" s="208" t="s">
        <v>447</v>
      </c>
      <c r="B48" s="822"/>
      <c r="C48" s="556"/>
      <c r="D48" s="941"/>
      <c r="E48" s="941"/>
      <c r="F48" s="731"/>
      <c r="G48" s="728"/>
      <c r="H48" s="823"/>
      <c r="I48" s="815"/>
      <c r="J48" s="798"/>
      <c r="K48" s="802"/>
      <c r="L48" s="801"/>
      <c r="M48" s="799"/>
      <c r="N48" s="390"/>
      <c r="O48" s="799"/>
      <c r="P48" s="794"/>
      <c r="Q48" s="489"/>
      <c r="R48" s="806"/>
      <c r="S48" s="31"/>
      <c r="T48" s="940"/>
      <c r="U48" s="31"/>
      <c r="V48" s="31"/>
      <c r="W48" s="31"/>
      <c r="X48" s="31"/>
      <c r="Y48" s="31"/>
      <c r="Z48" s="31"/>
      <c r="AA48" s="31"/>
      <c r="AB48" s="31"/>
    </row>
    <row r="49" spans="1:28" ht="18.600000000000001" thickBot="1" x14ac:dyDescent="0.4">
      <c r="A49" s="208" t="s">
        <v>460</v>
      </c>
      <c r="B49" s="822"/>
      <c r="C49" s="556"/>
      <c r="D49" s="941"/>
      <c r="E49" s="941"/>
      <c r="F49" s="731" t="e">
        <f t="shared" si="0"/>
        <v>#DIV/0!</v>
      </c>
      <c r="G49" s="728" t="e">
        <f t="shared" si="1"/>
        <v>#DIV/0!</v>
      </c>
      <c r="H49" s="823" t="e">
        <f t="shared" si="2"/>
        <v>#DIV/0!</v>
      </c>
      <c r="I49" s="815" t="e">
        <f t="shared" si="5"/>
        <v>#DIV/0!</v>
      </c>
      <c r="J49" s="798"/>
      <c r="K49" s="800" t="e">
        <f t="shared" si="3"/>
        <v>#DIV/0!</v>
      </c>
      <c r="L49" s="801">
        <f t="shared" si="4"/>
        <v>0</v>
      </c>
      <c r="M49" s="799"/>
      <c r="N49" s="799"/>
      <c r="O49" s="799"/>
      <c r="P49" s="794">
        <v>2013</v>
      </c>
      <c r="Q49" s="489"/>
      <c r="R49" s="807"/>
      <c r="S49" s="31"/>
      <c r="T49" s="940"/>
      <c r="U49" s="31"/>
      <c r="V49" s="31"/>
      <c r="W49" s="31"/>
      <c r="X49" s="31"/>
      <c r="Y49" s="31"/>
      <c r="Z49" s="31"/>
      <c r="AA49" s="31"/>
      <c r="AB49" s="31"/>
    </row>
    <row r="50" spans="1:28" ht="18.600000000000001" thickBot="1" x14ac:dyDescent="0.4">
      <c r="A50" s="208" t="s">
        <v>461</v>
      </c>
      <c r="B50" s="822"/>
      <c r="C50" s="556"/>
      <c r="D50" s="941"/>
      <c r="E50" s="941"/>
      <c r="F50" s="731" t="e">
        <f t="shared" si="0"/>
        <v>#DIV/0!</v>
      </c>
      <c r="G50" s="728" t="e">
        <f t="shared" si="1"/>
        <v>#DIV/0!</v>
      </c>
      <c r="H50" s="823" t="e">
        <f t="shared" si="2"/>
        <v>#DIV/0!</v>
      </c>
      <c r="I50" s="815" t="e">
        <f t="shared" si="5"/>
        <v>#DIV/0!</v>
      </c>
      <c r="J50" s="798"/>
      <c r="K50" s="800" t="e">
        <f t="shared" si="3"/>
        <v>#DIV/0!</v>
      </c>
      <c r="L50" s="801">
        <f t="shared" si="4"/>
        <v>0</v>
      </c>
      <c r="M50" s="799"/>
      <c r="N50" s="799"/>
      <c r="O50" s="799"/>
      <c r="P50" s="794"/>
      <c r="Q50" s="489"/>
      <c r="R50" s="807"/>
      <c r="S50" s="31"/>
      <c r="T50" s="940"/>
      <c r="U50" s="31"/>
      <c r="V50" s="31"/>
      <c r="W50" s="31"/>
      <c r="X50" s="31"/>
      <c r="Y50" s="31"/>
      <c r="Z50" s="31"/>
      <c r="AA50" s="31"/>
      <c r="AB50" s="31"/>
    </row>
    <row r="51" spans="1:28" ht="18.600000000000001" thickBot="1" x14ac:dyDescent="0.4">
      <c r="A51" s="208" t="s">
        <v>448</v>
      </c>
      <c r="B51" s="822"/>
      <c r="C51" s="556"/>
      <c r="D51" s="941"/>
      <c r="E51" s="941"/>
      <c r="F51" s="731"/>
      <c r="G51" s="728"/>
      <c r="H51" s="823"/>
      <c r="I51" s="815"/>
      <c r="J51" s="798"/>
      <c r="K51" s="800"/>
      <c r="L51" s="801"/>
      <c r="M51" s="799"/>
      <c r="N51" s="799"/>
      <c r="O51" s="799"/>
      <c r="P51" s="794"/>
      <c r="Q51" s="489"/>
      <c r="R51" s="807"/>
      <c r="S51" s="31"/>
      <c r="T51" s="940"/>
      <c r="U51" s="31"/>
      <c r="V51" s="31"/>
      <c r="W51" s="31"/>
      <c r="X51" s="31"/>
      <c r="Y51" s="31"/>
      <c r="Z51" s="31"/>
      <c r="AA51" s="31"/>
      <c r="AB51" s="31"/>
    </row>
    <row r="52" spans="1:28" ht="18.600000000000001" thickBot="1" x14ac:dyDescent="0.4">
      <c r="A52" s="208" t="s">
        <v>464</v>
      </c>
      <c r="B52" s="822"/>
      <c r="C52" s="556"/>
      <c r="D52" s="941"/>
      <c r="E52" s="941"/>
      <c r="F52" s="731"/>
      <c r="G52" s="728"/>
      <c r="H52" s="823"/>
      <c r="I52" s="815"/>
      <c r="J52" s="798"/>
      <c r="K52" s="800"/>
      <c r="L52" s="801"/>
      <c r="M52" s="799"/>
      <c r="N52" s="799"/>
      <c r="O52" s="799"/>
      <c r="P52" s="794"/>
      <c r="Q52" s="489"/>
      <c r="R52" s="807"/>
      <c r="S52" s="31"/>
      <c r="T52" s="940"/>
      <c r="U52" s="31"/>
      <c r="V52" s="31"/>
      <c r="W52" s="31"/>
      <c r="X52" s="31"/>
      <c r="Y52" s="31"/>
      <c r="Z52" s="31"/>
      <c r="AA52" s="31"/>
      <c r="AB52" s="31"/>
    </row>
    <row r="53" spans="1:28" ht="18.600000000000001" thickBot="1" x14ac:dyDescent="0.4">
      <c r="A53" s="208" t="s">
        <v>421</v>
      </c>
      <c r="B53" s="822"/>
      <c r="C53" s="556"/>
      <c r="D53" s="941"/>
      <c r="E53" s="941"/>
      <c r="F53" s="731" t="e">
        <f t="shared" si="0"/>
        <v>#DIV/0!</v>
      </c>
      <c r="G53" s="728" t="e">
        <f t="shared" si="1"/>
        <v>#DIV/0!</v>
      </c>
      <c r="H53" s="823" t="e">
        <f t="shared" si="2"/>
        <v>#DIV/0!</v>
      </c>
      <c r="I53" s="815" t="e">
        <f t="shared" si="5"/>
        <v>#DIV/0!</v>
      </c>
      <c r="J53" s="798"/>
      <c r="K53" s="802" t="e">
        <f t="shared" si="3"/>
        <v>#DIV/0!</v>
      </c>
      <c r="L53" s="801">
        <f t="shared" si="4"/>
        <v>0</v>
      </c>
      <c r="M53" s="799"/>
      <c r="N53" s="390">
        <v>2</v>
      </c>
      <c r="O53" s="799"/>
      <c r="P53" s="794">
        <v>2013</v>
      </c>
      <c r="Q53" s="489"/>
      <c r="R53" s="806">
        <v>2</v>
      </c>
      <c r="S53" s="31"/>
      <c r="T53" s="940">
        <v>2</v>
      </c>
      <c r="U53" s="31"/>
      <c r="V53" s="31"/>
      <c r="W53" s="31"/>
      <c r="X53" s="31"/>
      <c r="Y53" s="31"/>
      <c r="Z53" s="31"/>
      <c r="AA53" s="31"/>
      <c r="AB53" s="31"/>
    </row>
    <row r="54" spans="1:28" ht="18.600000000000001" thickBot="1" x14ac:dyDescent="0.4">
      <c r="A54" s="91" t="s">
        <v>100</v>
      </c>
      <c r="B54" s="822"/>
      <c r="C54" s="556"/>
      <c r="D54" s="942"/>
      <c r="E54" s="942"/>
      <c r="F54" s="731" t="e">
        <f t="shared" si="0"/>
        <v>#DIV/0!</v>
      </c>
      <c r="G54" s="728" t="e">
        <f t="shared" si="1"/>
        <v>#DIV/0!</v>
      </c>
      <c r="H54" s="823" t="e">
        <f t="shared" si="2"/>
        <v>#DIV/0!</v>
      </c>
      <c r="I54" s="815" t="e">
        <f t="shared" si="5"/>
        <v>#DIV/0!</v>
      </c>
      <c r="J54" s="798"/>
      <c r="K54" s="888" t="e">
        <f t="shared" si="3"/>
        <v>#DIV/0!</v>
      </c>
      <c r="L54" s="801">
        <f t="shared" si="4"/>
        <v>0</v>
      </c>
      <c r="M54" s="799"/>
      <c r="N54" s="799"/>
      <c r="O54" s="799"/>
      <c r="P54" s="794">
        <v>2021</v>
      </c>
      <c r="Q54" s="489"/>
      <c r="R54" s="807"/>
      <c r="S54" s="31"/>
      <c r="T54" s="940"/>
      <c r="U54" s="31"/>
      <c r="V54" s="31"/>
      <c r="W54" s="31"/>
      <c r="X54" s="31"/>
      <c r="Y54" s="31"/>
      <c r="Z54" s="31"/>
      <c r="AA54" s="31"/>
      <c r="AB54" s="31"/>
    </row>
    <row r="55" spans="1:28" ht="18.600000000000001" thickBot="1" x14ac:dyDescent="0.4">
      <c r="A55" s="208" t="s">
        <v>462</v>
      </c>
      <c r="B55" s="822"/>
      <c r="C55" s="556"/>
      <c r="D55" s="941"/>
      <c r="E55" s="941"/>
      <c r="F55" s="731" t="e">
        <f t="shared" si="0"/>
        <v>#DIV/0!</v>
      </c>
      <c r="G55" s="728" t="e">
        <f t="shared" si="1"/>
        <v>#DIV/0!</v>
      </c>
      <c r="H55" s="823" t="e">
        <f t="shared" si="2"/>
        <v>#DIV/0!</v>
      </c>
      <c r="I55" s="815" t="e">
        <f t="shared" si="5"/>
        <v>#DIV/0!</v>
      </c>
      <c r="J55" s="798"/>
      <c r="K55" s="890" t="e">
        <f t="shared" si="3"/>
        <v>#DIV/0!</v>
      </c>
      <c r="L55" s="801">
        <f t="shared" si="4"/>
        <v>0</v>
      </c>
      <c r="M55" s="799"/>
      <c r="N55" s="390">
        <v>-1</v>
      </c>
      <c r="O55" s="799"/>
      <c r="P55" s="794"/>
      <c r="Q55" s="489"/>
      <c r="R55" s="806">
        <v>-1</v>
      </c>
      <c r="S55" s="31"/>
      <c r="T55" s="940">
        <v>-1</v>
      </c>
      <c r="U55" s="31"/>
      <c r="V55" s="31"/>
      <c r="W55" s="31"/>
      <c r="X55" s="31"/>
      <c r="Y55" s="31"/>
      <c r="Z55" s="31"/>
      <c r="AA55" s="31"/>
      <c r="AB55" s="31"/>
    </row>
    <row r="56" spans="1:28" ht="18.600000000000001" thickBot="1" x14ac:dyDescent="0.4">
      <c r="A56" s="208" t="s">
        <v>176</v>
      </c>
      <c r="B56" s="822"/>
      <c r="C56" s="556"/>
      <c r="D56" s="941"/>
      <c r="E56" s="941"/>
      <c r="F56" s="731" t="e">
        <f t="shared" si="0"/>
        <v>#DIV/0!</v>
      </c>
      <c r="G56" s="728" t="e">
        <f t="shared" si="1"/>
        <v>#DIV/0!</v>
      </c>
      <c r="H56" s="823" t="e">
        <f t="shared" si="2"/>
        <v>#DIV/0!</v>
      </c>
      <c r="I56" s="815" t="e">
        <f t="shared" si="5"/>
        <v>#DIV/0!</v>
      </c>
      <c r="J56" s="798"/>
      <c r="K56" s="890" t="e">
        <f t="shared" si="3"/>
        <v>#DIV/0!</v>
      </c>
      <c r="L56" s="801">
        <f t="shared" si="4"/>
        <v>0</v>
      </c>
      <c r="M56" s="799"/>
      <c r="N56" s="390">
        <v>-1</v>
      </c>
      <c r="O56" s="799"/>
      <c r="P56" s="794">
        <v>2013</v>
      </c>
      <c r="Q56" s="489"/>
      <c r="R56" s="806">
        <v>-1</v>
      </c>
      <c r="S56" s="31"/>
      <c r="T56" s="940">
        <v>-1</v>
      </c>
      <c r="U56" s="31"/>
      <c r="V56" s="31"/>
      <c r="W56" s="31"/>
      <c r="X56" s="31"/>
      <c r="Y56" s="31"/>
      <c r="Z56" s="31"/>
      <c r="AA56" s="31"/>
      <c r="AB56" s="31"/>
    </row>
    <row r="57" spans="1:28" ht="18.600000000000001" thickBot="1" x14ac:dyDescent="0.4">
      <c r="A57" s="208" t="s">
        <v>126</v>
      </c>
      <c r="B57" s="822"/>
      <c r="C57" s="556"/>
      <c r="D57" s="941"/>
      <c r="E57" s="941"/>
      <c r="F57" s="731" t="e">
        <f t="shared" si="0"/>
        <v>#DIV/0!</v>
      </c>
      <c r="G57" s="728" t="e">
        <f t="shared" si="1"/>
        <v>#DIV/0!</v>
      </c>
      <c r="H57" s="823" t="e">
        <f t="shared" si="2"/>
        <v>#DIV/0!</v>
      </c>
      <c r="I57" s="815" t="e">
        <f t="shared" si="5"/>
        <v>#DIV/0!</v>
      </c>
      <c r="J57" s="798"/>
      <c r="K57" s="802" t="e">
        <f t="shared" si="3"/>
        <v>#DIV/0!</v>
      </c>
      <c r="L57" s="801">
        <f t="shared" si="4"/>
        <v>0</v>
      </c>
      <c r="M57" s="799"/>
      <c r="N57" s="390">
        <v>1</v>
      </c>
      <c r="O57" s="799"/>
      <c r="P57" s="794"/>
      <c r="Q57" s="489"/>
      <c r="R57" s="806">
        <v>1</v>
      </c>
      <c r="S57" s="31"/>
      <c r="T57" s="940">
        <v>1</v>
      </c>
      <c r="U57" s="31"/>
      <c r="V57" s="31"/>
      <c r="W57" s="31"/>
      <c r="X57" s="31"/>
      <c r="Y57" s="31"/>
      <c r="Z57" s="31"/>
      <c r="AA57" s="31"/>
      <c r="AB57" s="31"/>
    </row>
    <row r="58" spans="1:28" ht="18.600000000000001" thickBot="1" x14ac:dyDescent="0.4">
      <c r="A58" s="90" t="s">
        <v>96</v>
      </c>
      <c r="B58" s="822"/>
      <c r="C58" s="556"/>
      <c r="D58" s="942"/>
      <c r="E58" s="942"/>
      <c r="F58" s="731" t="e">
        <f t="shared" si="0"/>
        <v>#DIV/0!</v>
      </c>
      <c r="G58" s="728" t="e">
        <f t="shared" si="1"/>
        <v>#DIV/0!</v>
      </c>
      <c r="H58" s="823" t="e">
        <f t="shared" si="2"/>
        <v>#DIV/0!</v>
      </c>
      <c r="I58" s="815" t="e">
        <f t="shared" si="5"/>
        <v>#DIV/0!</v>
      </c>
      <c r="J58" s="798"/>
      <c r="K58" s="800" t="e">
        <f t="shared" si="3"/>
        <v>#DIV/0!</v>
      </c>
      <c r="L58" s="801">
        <f t="shared" si="4"/>
        <v>0</v>
      </c>
      <c r="M58" s="799"/>
      <c r="N58" s="799"/>
      <c r="O58" s="799"/>
      <c r="P58" s="794">
        <v>2013</v>
      </c>
      <c r="Q58" s="489"/>
      <c r="R58" s="807"/>
      <c r="S58" s="31"/>
      <c r="T58" s="940"/>
      <c r="U58" s="31"/>
      <c r="V58" s="31"/>
      <c r="W58" s="31"/>
      <c r="X58" s="31"/>
      <c r="Y58" s="31"/>
      <c r="Z58" s="31"/>
      <c r="AA58" s="31"/>
      <c r="AB58" s="31"/>
    </row>
    <row r="59" spans="1:28" ht="18.600000000000001" thickBot="1" x14ac:dyDescent="0.4">
      <c r="A59" s="90" t="s">
        <v>450</v>
      </c>
      <c r="B59" s="822"/>
      <c r="C59" s="556"/>
      <c r="D59" s="942"/>
      <c r="E59" s="942"/>
      <c r="F59" s="731"/>
      <c r="G59" s="728"/>
      <c r="H59" s="823"/>
      <c r="I59" s="815"/>
      <c r="J59" s="798"/>
      <c r="K59" s="800"/>
      <c r="L59" s="801"/>
      <c r="M59" s="799"/>
      <c r="N59" s="799"/>
      <c r="O59" s="799"/>
      <c r="P59" s="794"/>
      <c r="Q59" s="489"/>
      <c r="R59" s="807"/>
      <c r="S59" s="31"/>
      <c r="T59" s="940"/>
      <c r="U59" s="31"/>
      <c r="V59" s="31"/>
      <c r="W59" s="31"/>
      <c r="X59" s="31"/>
      <c r="Y59" s="31"/>
      <c r="Z59" s="31"/>
      <c r="AA59" s="31"/>
      <c r="AB59" s="31"/>
    </row>
    <row r="60" spans="1:28" ht="18.600000000000001" thickBot="1" x14ac:dyDescent="0.4">
      <c r="A60" s="208" t="s">
        <v>127</v>
      </c>
      <c r="B60" s="822"/>
      <c r="C60" s="556"/>
      <c r="D60" s="941"/>
      <c r="E60" s="941"/>
      <c r="F60" s="731" t="e">
        <f t="shared" si="0"/>
        <v>#DIV/0!</v>
      </c>
      <c r="G60" s="728" t="e">
        <f t="shared" si="1"/>
        <v>#DIV/0!</v>
      </c>
      <c r="H60" s="823" t="e">
        <f t="shared" si="2"/>
        <v>#DIV/0!</v>
      </c>
      <c r="I60" s="815" t="e">
        <f t="shared" si="5"/>
        <v>#DIV/0!</v>
      </c>
      <c r="J60" s="798"/>
      <c r="K60" s="800" t="e">
        <f t="shared" si="3"/>
        <v>#DIV/0!</v>
      </c>
      <c r="L60" s="801">
        <f t="shared" si="4"/>
        <v>0</v>
      </c>
      <c r="M60" s="799"/>
      <c r="N60" s="799"/>
      <c r="O60" s="799"/>
      <c r="P60" s="794"/>
      <c r="Q60" s="489"/>
      <c r="R60" s="807"/>
      <c r="S60" s="31"/>
      <c r="T60" s="940"/>
      <c r="U60" s="31"/>
      <c r="V60" s="31"/>
      <c r="W60" s="31"/>
      <c r="X60" s="31"/>
      <c r="Y60" s="31"/>
      <c r="Z60" s="31"/>
      <c r="AA60" s="31"/>
      <c r="AB60" s="31"/>
    </row>
    <row r="61" spans="1:28" ht="18.600000000000001" thickBot="1" x14ac:dyDescent="0.4">
      <c r="A61" s="208" t="s">
        <v>178</v>
      </c>
      <c r="B61" s="822"/>
      <c r="C61" s="556"/>
      <c r="D61" s="942"/>
      <c r="E61" s="942"/>
      <c r="F61" s="731" t="e">
        <f t="shared" si="0"/>
        <v>#DIV/0!</v>
      </c>
      <c r="G61" s="728" t="e">
        <f t="shared" si="1"/>
        <v>#DIV/0!</v>
      </c>
      <c r="H61" s="823" t="e">
        <f t="shared" si="2"/>
        <v>#DIV/0!</v>
      </c>
      <c r="I61" s="815" t="e">
        <f t="shared" si="5"/>
        <v>#DIV/0!</v>
      </c>
      <c r="J61" s="798"/>
      <c r="K61" s="800" t="e">
        <f t="shared" si="3"/>
        <v>#DIV/0!</v>
      </c>
      <c r="L61" s="801">
        <f t="shared" si="4"/>
        <v>0</v>
      </c>
      <c r="M61" s="799"/>
      <c r="N61" s="799"/>
      <c r="O61" s="799"/>
      <c r="P61" s="794">
        <v>2009</v>
      </c>
      <c r="Q61" s="489"/>
      <c r="R61" s="807"/>
      <c r="S61" s="31"/>
      <c r="T61" s="940"/>
      <c r="U61" s="31"/>
      <c r="V61" s="31"/>
      <c r="W61" s="31"/>
      <c r="X61" s="31"/>
      <c r="Y61" s="31"/>
      <c r="Z61" s="31"/>
      <c r="AA61" s="31"/>
      <c r="AB61" s="31"/>
    </row>
    <row r="62" spans="1:28" ht="18.600000000000001" thickBot="1" x14ac:dyDescent="0.4">
      <c r="A62" s="208" t="s">
        <v>128</v>
      </c>
      <c r="B62" s="822"/>
      <c r="C62" s="556"/>
      <c r="D62" s="941"/>
      <c r="E62" s="941"/>
      <c r="F62" s="731" t="e">
        <f t="shared" si="0"/>
        <v>#DIV/0!</v>
      </c>
      <c r="G62" s="728" t="e">
        <f t="shared" si="1"/>
        <v>#DIV/0!</v>
      </c>
      <c r="H62" s="823" t="e">
        <f t="shared" si="2"/>
        <v>#DIV/0!</v>
      </c>
      <c r="I62" s="815" t="e">
        <f t="shared" si="5"/>
        <v>#DIV/0!</v>
      </c>
      <c r="J62" s="798"/>
      <c r="K62" s="802" t="e">
        <f t="shared" si="3"/>
        <v>#DIV/0!</v>
      </c>
      <c r="L62" s="801">
        <f t="shared" si="4"/>
        <v>0</v>
      </c>
      <c r="M62" s="799"/>
      <c r="N62" s="390">
        <v>1</v>
      </c>
      <c r="O62" s="799"/>
      <c r="P62" s="794"/>
      <c r="Q62" s="489"/>
      <c r="R62" s="806">
        <v>1</v>
      </c>
      <c r="S62" s="31"/>
      <c r="T62" s="940">
        <v>1</v>
      </c>
      <c r="U62" s="31"/>
      <c r="V62" s="31"/>
      <c r="W62" s="31"/>
      <c r="X62" s="31"/>
      <c r="Y62" s="31"/>
      <c r="Z62" s="31"/>
      <c r="AA62" s="31"/>
      <c r="AB62" s="31"/>
    </row>
    <row r="63" spans="1:28" ht="18.600000000000001" thickBot="1" x14ac:dyDescent="0.4">
      <c r="A63" s="90" t="s">
        <v>18</v>
      </c>
      <c r="B63" s="822"/>
      <c r="C63" s="556"/>
      <c r="D63" s="941"/>
      <c r="E63" s="941"/>
      <c r="F63" s="731" t="e">
        <f t="shared" si="0"/>
        <v>#DIV/0!</v>
      </c>
      <c r="G63" s="728" t="e">
        <f t="shared" si="1"/>
        <v>#DIV/0!</v>
      </c>
      <c r="H63" s="823" t="e">
        <f t="shared" si="2"/>
        <v>#DIV/0!</v>
      </c>
      <c r="I63" s="815" t="e">
        <f t="shared" si="5"/>
        <v>#DIV/0!</v>
      </c>
      <c r="J63" s="798"/>
      <c r="K63" s="890" t="e">
        <f t="shared" si="3"/>
        <v>#DIV/0!</v>
      </c>
      <c r="L63" s="801">
        <f t="shared" si="4"/>
        <v>0</v>
      </c>
      <c r="M63" s="799"/>
      <c r="N63" s="390">
        <v>-1</v>
      </c>
      <c r="O63" s="799"/>
      <c r="P63" s="794"/>
      <c r="Q63" s="489"/>
      <c r="R63" s="806">
        <v>-1</v>
      </c>
      <c r="S63" s="31"/>
      <c r="T63" s="940">
        <v>-1</v>
      </c>
      <c r="U63" s="31"/>
      <c r="V63" s="31"/>
      <c r="W63" s="31"/>
      <c r="X63" s="31"/>
      <c r="Y63" s="31"/>
      <c r="Z63" s="31"/>
      <c r="AA63" s="31"/>
      <c r="AB63" s="31"/>
    </row>
    <row r="64" spans="1:28" ht="18.600000000000001" thickBot="1" x14ac:dyDescent="0.4">
      <c r="A64" s="208" t="s">
        <v>129</v>
      </c>
      <c r="B64" s="822"/>
      <c r="C64" s="556"/>
      <c r="D64" s="941"/>
      <c r="E64" s="941"/>
      <c r="F64" s="731" t="e">
        <f t="shared" si="0"/>
        <v>#DIV/0!</v>
      </c>
      <c r="G64" s="728" t="e">
        <f t="shared" si="1"/>
        <v>#DIV/0!</v>
      </c>
      <c r="H64" s="823" t="e">
        <f t="shared" si="2"/>
        <v>#DIV/0!</v>
      </c>
      <c r="I64" s="815" t="e">
        <f t="shared" si="5"/>
        <v>#DIV/0!</v>
      </c>
      <c r="J64" s="798"/>
      <c r="K64" s="802" t="e">
        <f t="shared" si="3"/>
        <v>#DIV/0!</v>
      </c>
      <c r="L64" s="801">
        <f t="shared" si="4"/>
        <v>0</v>
      </c>
      <c r="M64" s="799"/>
      <c r="N64" s="390">
        <v>1</v>
      </c>
      <c r="O64" s="799"/>
      <c r="P64" s="794"/>
      <c r="Q64" s="489"/>
      <c r="R64" s="806">
        <v>1</v>
      </c>
      <c r="S64" s="31"/>
      <c r="T64" s="940">
        <v>1</v>
      </c>
      <c r="U64" s="31"/>
      <c r="V64" s="31"/>
      <c r="W64" s="31"/>
      <c r="X64" s="31"/>
      <c r="Y64" s="31"/>
      <c r="Z64" s="31"/>
      <c r="AA64" s="31"/>
      <c r="AB64" s="31"/>
    </row>
    <row r="65" spans="1:28" ht="18.600000000000001" thickBot="1" x14ac:dyDescent="0.4">
      <c r="A65" s="208" t="s">
        <v>451</v>
      </c>
      <c r="B65" s="822"/>
      <c r="C65" s="556"/>
      <c r="D65" s="941"/>
      <c r="E65" s="941"/>
      <c r="F65" s="731"/>
      <c r="G65" s="728"/>
      <c r="H65" s="823"/>
      <c r="I65" s="815"/>
      <c r="J65" s="798"/>
      <c r="K65" s="802"/>
      <c r="L65" s="801"/>
      <c r="M65" s="799"/>
      <c r="N65" s="390"/>
      <c r="O65" s="799"/>
      <c r="P65" s="794"/>
      <c r="Q65" s="489"/>
      <c r="R65" s="806"/>
      <c r="S65" s="31"/>
      <c r="T65" s="940"/>
      <c r="U65" s="31"/>
      <c r="V65" s="31"/>
      <c r="W65" s="31"/>
      <c r="X65" s="31"/>
      <c r="Y65" s="31"/>
      <c r="Z65" s="31"/>
      <c r="AA65" s="31"/>
      <c r="AB65" s="31"/>
    </row>
    <row r="66" spans="1:28" ht="18.600000000000001" thickBot="1" x14ac:dyDescent="0.4">
      <c r="A66" s="208" t="s">
        <v>291</v>
      </c>
      <c r="B66" s="822"/>
      <c r="C66" s="556"/>
      <c r="D66" s="941"/>
      <c r="E66" s="941"/>
      <c r="F66" s="731" t="e">
        <f t="shared" si="0"/>
        <v>#DIV/0!</v>
      </c>
      <c r="G66" s="728" t="e">
        <f t="shared" si="1"/>
        <v>#DIV/0!</v>
      </c>
      <c r="H66" s="823" t="e">
        <f t="shared" si="2"/>
        <v>#DIV/0!</v>
      </c>
      <c r="I66" s="815" t="e">
        <f t="shared" si="5"/>
        <v>#DIV/0!</v>
      </c>
      <c r="J66" s="798"/>
      <c r="K66" s="802" t="e">
        <f t="shared" si="3"/>
        <v>#DIV/0!</v>
      </c>
      <c r="L66" s="801">
        <f t="shared" si="4"/>
        <v>0</v>
      </c>
      <c r="M66" s="799"/>
      <c r="N66" s="390">
        <v>1</v>
      </c>
      <c r="O66" s="799"/>
      <c r="P66" s="794"/>
      <c r="Q66" s="489"/>
      <c r="R66" s="806">
        <v>1</v>
      </c>
      <c r="S66" s="31"/>
      <c r="T66" s="940">
        <v>1</v>
      </c>
      <c r="U66" s="31"/>
      <c r="V66" s="31"/>
      <c r="W66" s="31"/>
      <c r="X66" s="31"/>
      <c r="Y66" s="31"/>
      <c r="Z66" s="31"/>
      <c r="AA66" s="31"/>
      <c r="AB66" s="31"/>
    </row>
    <row r="67" spans="1:28" ht="18.600000000000001" thickBot="1" x14ac:dyDescent="0.4">
      <c r="A67" s="208" t="s">
        <v>335</v>
      </c>
      <c r="B67" s="822"/>
      <c r="C67" s="556"/>
      <c r="D67" s="941"/>
      <c r="E67" s="941"/>
      <c r="F67" s="731" t="e">
        <f t="shared" si="0"/>
        <v>#DIV/0!</v>
      </c>
      <c r="G67" s="728" t="e">
        <f t="shared" si="1"/>
        <v>#DIV/0!</v>
      </c>
      <c r="H67" s="823" t="e">
        <f t="shared" si="2"/>
        <v>#DIV/0!</v>
      </c>
      <c r="I67" s="815" t="e">
        <f t="shared" si="5"/>
        <v>#DIV/0!</v>
      </c>
      <c r="J67" s="798"/>
      <c r="K67" s="802" t="e">
        <f t="shared" si="3"/>
        <v>#DIV/0!</v>
      </c>
      <c r="L67" s="801">
        <f t="shared" si="4"/>
        <v>0</v>
      </c>
      <c r="M67" s="799"/>
      <c r="N67" s="390">
        <v>2</v>
      </c>
      <c r="O67" s="799"/>
      <c r="P67" s="794">
        <v>2021</v>
      </c>
      <c r="Q67" s="489"/>
      <c r="R67" s="806">
        <v>2</v>
      </c>
      <c r="S67" s="31"/>
      <c r="T67" s="940">
        <v>2</v>
      </c>
      <c r="U67" s="31"/>
      <c r="V67" s="31"/>
      <c r="W67" s="31"/>
      <c r="X67" s="31"/>
      <c r="Y67" s="31"/>
      <c r="Z67" s="31"/>
      <c r="AA67" s="31"/>
      <c r="AB67" s="31"/>
    </row>
    <row r="68" spans="1:28" ht="18.600000000000001" thickBot="1" x14ac:dyDescent="0.4">
      <c r="A68" s="90" t="s">
        <v>111</v>
      </c>
      <c r="B68" s="822"/>
      <c r="C68" s="556"/>
      <c r="D68" s="358"/>
      <c r="E68" s="358"/>
      <c r="F68" s="731" t="e">
        <f t="shared" si="0"/>
        <v>#DIV/0!</v>
      </c>
      <c r="G68" s="728" t="e">
        <f t="shared" si="1"/>
        <v>#DIV/0!</v>
      </c>
      <c r="H68" s="823" t="e">
        <f t="shared" si="2"/>
        <v>#DIV/0!</v>
      </c>
      <c r="I68" s="815" t="e">
        <f t="shared" si="5"/>
        <v>#DIV/0!</v>
      </c>
      <c r="J68" s="798"/>
      <c r="K68" s="803" t="e">
        <f t="shared" si="3"/>
        <v>#DIV/0!</v>
      </c>
      <c r="L68" s="801">
        <f t="shared" si="4"/>
        <v>0</v>
      </c>
      <c r="M68" s="799"/>
      <c r="N68" s="390">
        <v>1</v>
      </c>
      <c r="O68" s="799"/>
      <c r="P68" s="794">
        <v>2019</v>
      </c>
      <c r="Q68" s="489"/>
      <c r="R68" s="807"/>
      <c r="S68" s="31"/>
      <c r="T68" s="940">
        <v>1</v>
      </c>
      <c r="U68" s="31"/>
      <c r="V68" s="31"/>
      <c r="W68" s="31"/>
      <c r="X68" s="31"/>
      <c r="Y68" s="31"/>
      <c r="Z68" s="31"/>
      <c r="AA68" s="31"/>
      <c r="AB68" s="31"/>
    </row>
    <row r="69" spans="1:28" ht="18.600000000000001" thickBot="1" x14ac:dyDescent="0.4">
      <c r="A69" s="90" t="s">
        <v>179</v>
      </c>
      <c r="B69" s="822"/>
      <c r="C69" s="556"/>
      <c r="D69" s="358"/>
      <c r="E69" s="358"/>
      <c r="F69" s="731" t="e">
        <f t="shared" si="0"/>
        <v>#DIV/0!</v>
      </c>
      <c r="G69" s="728" t="e">
        <f t="shared" si="1"/>
        <v>#DIV/0!</v>
      </c>
      <c r="H69" s="823" t="e">
        <f t="shared" si="2"/>
        <v>#DIV/0!</v>
      </c>
      <c r="I69" s="815" t="e">
        <f t="shared" si="5"/>
        <v>#DIV/0!</v>
      </c>
      <c r="J69" s="798"/>
      <c r="K69" s="800" t="e">
        <f t="shared" si="3"/>
        <v>#DIV/0!</v>
      </c>
      <c r="L69" s="801">
        <f t="shared" si="4"/>
        <v>0</v>
      </c>
      <c r="M69" s="799"/>
      <c r="N69" s="799"/>
      <c r="O69" s="799"/>
      <c r="P69" s="794">
        <v>2017</v>
      </c>
      <c r="Q69" s="489"/>
      <c r="R69" s="807"/>
      <c r="S69" s="31"/>
      <c r="T69" s="940"/>
      <c r="U69" s="31"/>
      <c r="V69" s="31"/>
      <c r="W69" s="31"/>
      <c r="X69" s="31"/>
      <c r="Y69" s="31"/>
      <c r="Z69" s="31"/>
      <c r="AA69" s="31"/>
      <c r="AB69" s="31"/>
    </row>
    <row r="70" spans="1:28" ht="18.600000000000001" thickBot="1" x14ac:dyDescent="0.4">
      <c r="A70" s="1270" t="s">
        <v>454</v>
      </c>
      <c r="B70" s="1321"/>
      <c r="C70" s="1322"/>
      <c r="D70" s="1273"/>
      <c r="E70" s="1273"/>
      <c r="F70" s="1323"/>
      <c r="G70" s="1324"/>
      <c r="H70" s="1325"/>
      <c r="I70" s="815"/>
      <c r="J70" s="1326"/>
      <c r="K70" s="1327"/>
      <c r="L70" s="1328"/>
      <c r="M70" s="1329"/>
      <c r="N70" s="1329"/>
      <c r="O70" s="1329"/>
      <c r="P70" s="1330"/>
      <c r="Q70" s="1331"/>
      <c r="R70" s="1332"/>
      <c r="S70" s="31"/>
      <c r="T70" s="940"/>
      <c r="U70" s="31"/>
      <c r="V70" s="31"/>
      <c r="W70" s="31"/>
      <c r="X70" s="31"/>
      <c r="Y70" s="31"/>
      <c r="Z70" s="31"/>
      <c r="AA70" s="31"/>
      <c r="AB70" s="31"/>
    </row>
    <row r="71" spans="1:28" ht="18.600000000000001" thickBot="1" x14ac:dyDescent="0.4">
      <c r="A71" s="159" t="s">
        <v>180</v>
      </c>
      <c r="B71" s="824"/>
      <c r="C71" s="825"/>
      <c r="D71" s="916"/>
      <c r="E71" s="916"/>
      <c r="F71" s="732" t="e">
        <f t="shared" si="0"/>
        <v>#DIV/0!</v>
      </c>
      <c r="G71" s="729" t="e">
        <f t="shared" si="1"/>
        <v>#DIV/0!</v>
      </c>
      <c r="H71" s="826" t="e">
        <f t="shared" si="2"/>
        <v>#DIV/0!</v>
      </c>
      <c r="I71" s="815" t="e">
        <f t="shared" si="5"/>
        <v>#DIV/0!</v>
      </c>
      <c r="J71" s="804"/>
      <c r="K71" s="889" t="e">
        <f t="shared" si="3"/>
        <v>#DIV/0!</v>
      </c>
      <c r="L71" s="805">
        <f t="shared" si="4"/>
        <v>0</v>
      </c>
      <c r="M71" s="626"/>
      <c r="N71" s="626"/>
      <c r="O71" s="626"/>
      <c r="P71" s="795">
        <v>2017</v>
      </c>
      <c r="Q71" s="755"/>
      <c r="R71" s="808"/>
      <c r="S71" s="31"/>
      <c r="T71" s="940"/>
      <c r="U71" s="31"/>
      <c r="V71" s="31"/>
      <c r="W71" s="31"/>
      <c r="X71" s="31"/>
      <c r="Y71" s="31"/>
      <c r="Z71" s="31"/>
      <c r="AA71" s="31"/>
      <c r="AB71" s="31"/>
    </row>
    <row r="74" spans="1:28" x14ac:dyDescent="0.35">
      <c r="F74" s="1" t="s">
        <v>303</v>
      </c>
      <c r="G74" s="7">
        <f>COUNTIF(F$7:F$71,"&lt;.1")</f>
        <v>0</v>
      </c>
    </row>
    <row r="75" spans="1:28" x14ac:dyDescent="0.35">
      <c r="F75" s="1" t="s">
        <v>302</v>
      </c>
      <c r="G75" s="7">
        <f>COUNTIF(F$7:F$71,"&lt;.25")-G74</f>
        <v>0</v>
      </c>
    </row>
    <row r="76" spans="1:28" x14ac:dyDescent="0.35">
      <c r="F76" s="1" t="s">
        <v>296</v>
      </c>
      <c r="G76" s="7">
        <f>COUNTIF(F$7:F$71,"&lt;.5")-G75-G74</f>
        <v>0</v>
      </c>
    </row>
    <row r="77" spans="1:28" x14ac:dyDescent="0.35">
      <c r="F77" s="1" t="s">
        <v>297</v>
      </c>
      <c r="G77" s="7">
        <f>COUNTIF(F$7:F$71,"&lt;.75")-G76-G75-G74</f>
        <v>0</v>
      </c>
    </row>
    <row r="78" spans="1:28" x14ac:dyDescent="0.35">
      <c r="F78" s="1" t="s">
        <v>298</v>
      </c>
      <c r="G78" s="7">
        <f>COUNTIF(F$7:F$71,"&lt;1")-G77-G76-G75-G74</f>
        <v>0</v>
      </c>
    </row>
    <row r="79" spans="1:28" x14ac:dyDescent="0.35">
      <c r="F79" s="1" t="s">
        <v>299</v>
      </c>
      <c r="G79" s="7">
        <f>COUNTIF(F$7:F$71,"&gt;1")</f>
        <v>0</v>
      </c>
    </row>
    <row r="80" spans="1:28" x14ac:dyDescent="0.35">
      <c r="G80" s="689">
        <f>SUM(G74:G79)</f>
        <v>0</v>
      </c>
    </row>
  </sheetData>
  <sortState ref="A6:R62">
    <sortCondition ref="A6"/>
  </sortState>
  <conditionalFormatting sqref="F7:F71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83"/>
  <sheetViews>
    <sheetView zoomScaleNormal="100" workbookViewId="0">
      <pane xSplit="4" ySplit="7" topLeftCell="E59" activePane="bottomRight" state="frozen"/>
      <selection activeCell="F52" sqref="F52"/>
      <selection pane="topRight" activeCell="F52" sqref="F52"/>
      <selection pane="bottomLeft" activeCell="F52" sqref="F52"/>
      <selection pane="bottomRight" activeCell="B71" sqref="A71:XFD71"/>
    </sheetView>
  </sheetViews>
  <sheetFormatPr defaultColWidth="9.109375" defaultRowHeight="18" x14ac:dyDescent="0.35"/>
  <cols>
    <col min="1" max="1" width="35.109375" style="1109" customWidth="1"/>
    <col min="2" max="2" width="7.33203125" style="12" customWidth="1"/>
    <col min="3" max="3" width="5.88671875" style="22" customWidth="1"/>
    <col min="4" max="4" width="6.33203125" style="1112" customWidth="1"/>
    <col min="5" max="5" width="8.6640625" style="945" customWidth="1"/>
    <col min="6" max="6" width="8.5546875" style="950" customWidth="1"/>
    <col min="7" max="7" width="11.33203125" style="950" customWidth="1"/>
    <col min="8" max="9" width="9.5546875" style="950" customWidth="1"/>
    <col min="10" max="10" width="13.33203125" style="950" customWidth="1"/>
    <col min="11" max="11" width="10.33203125" style="950" customWidth="1"/>
    <col min="12" max="12" width="10.44140625" style="1110" customWidth="1"/>
    <col min="13" max="13" width="8.6640625" style="1111" customWidth="1"/>
    <col min="14" max="14" width="13.44140625" style="950" customWidth="1"/>
    <col min="15" max="15" width="10.6640625" style="950" customWidth="1"/>
    <col min="16" max="16" width="10.33203125" style="1111" customWidth="1"/>
    <col min="17" max="17" width="6.5546875" style="950" bestFit="1" customWidth="1"/>
    <col min="18" max="18" width="9.6640625" style="950" customWidth="1"/>
    <col min="19" max="20" width="7.44140625" style="950" customWidth="1"/>
    <col min="21" max="21" width="9.33203125" style="950" customWidth="1"/>
    <col min="22" max="22" width="2.88671875" style="950" customWidth="1"/>
    <col min="23" max="23" width="26.6640625" style="985" bestFit="1" customWidth="1"/>
    <col min="24" max="16384" width="9.109375" style="950"/>
  </cols>
  <sheetData>
    <row r="1" spans="1:28" x14ac:dyDescent="0.35">
      <c r="A1" s="944" t="s">
        <v>372</v>
      </c>
      <c r="B1" s="149"/>
      <c r="C1" s="475"/>
      <c r="D1" s="427"/>
      <c r="F1" s="946"/>
      <c r="G1" s="946"/>
      <c r="H1" s="946"/>
      <c r="I1" s="946"/>
      <c r="J1" s="946"/>
      <c r="K1" s="946"/>
      <c r="L1" s="947"/>
      <c r="M1" s="948"/>
      <c r="N1" s="946"/>
      <c r="O1" s="946"/>
      <c r="P1" s="948"/>
      <c r="Q1" s="946"/>
      <c r="R1" s="946"/>
      <c r="S1" s="946"/>
      <c r="T1" s="946"/>
      <c r="U1" s="946"/>
      <c r="V1" s="946"/>
      <c r="W1" s="949"/>
      <c r="X1" s="946"/>
      <c r="Y1" s="946"/>
      <c r="AB1" s="951" t="s">
        <v>373</v>
      </c>
    </row>
    <row r="2" spans="1:28" s="961" customFormat="1" ht="18.600000000000001" customHeight="1" x14ac:dyDescent="0.3">
      <c r="A2" s="952" t="s">
        <v>374</v>
      </c>
      <c r="B2" s="953"/>
      <c r="C2" s="954"/>
      <c r="D2" s="955"/>
      <c r="E2" s="956"/>
      <c r="F2" s="957"/>
      <c r="G2" s="957"/>
      <c r="H2" s="957"/>
      <c r="I2" s="957"/>
      <c r="J2" s="957"/>
      <c r="K2" s="957"/>
      <c r="L2" s="958"/>
      <c r="M2" s="959"/>
      <c r="N2" s="957"/>
      <c r="O2" s="957"/>
      <c r="P2" s="959"/>
      <c r="Q2" s="957"/>
      <c r="R2" s="957"/>
      <c r="S2" s="957"/>
      <c r="T2" s="957"/>
      <c r="U2" s="957"/>
      <c r="V2" s="957"/>
      <c r="W2" s="960"/>
      <c r="X2" s="957"/>
      <c r="Y2" s="957"/>
    </row>
    <row r="3" spans="1:28" ht="18.600000000000001" thickBot="1" x14ac:dyDescent="0.4">
      <c r="A3" s="962"/>
      <c r="B3" s="963" t="s">
        <v>375</v>
      </c>
      <c r="C3" s="964"/>
      <c r="D3" s="963"/>
      <c r="E3" s="964"/>
      <c r="F3" s="965" t="s">
        <v>376</v>
      </c>
      <c r="G3" s="966"/>
      <c r="H3" s="967"/>
      <c r="I3" s="966"/>
      <c r="J3" s="966"/>
      <c r="K3" s="966"/>
      <c r="L3" s="968"/>
      <c r="M3" s="969" t="s">
        <v>377</v>
      </c>
      <c r="N3" s="970"/>
      <c r="O3" s="970"/>
      <c r="P3" s="971"/>
      <c r="Q3" s="972" t="s">
        <v>378</v>
      </c>
      <c r="R3" s="973"/>
      <c r="S3" s="973"/>
      <c r="T3" s="973"/>
      <c r="U3" s="974"/>
      <c r="V3" s="946"/>
      <c r="W3" s="949"/>
      <c r="X3" s="946"/>
      <c r="Y3" s="946"/>
    </row>
    <row r="4" spans="1:28" s="985" customFormat="1" ht="15.6" x14ac:dyDescent="0.3">
      <c r="A4" s="975"/>
      <c r="B4" s="156"/>
      <c r="C4" s="976"/>
      <c r="D4" s="977"/>
      <c r="E4" s="978"/>
      <c r="F4" s="979"/>
      <c r="G4" s="1113" t="s">
        <v>398</v>
      </c>
      <c r="H4" s="979"/>
      <c r="I4" s="979"/>
      <c r="J4" s="979"/>
      <c r="K4" s="979"/>
      <c r="L4" s="980" t="s">
        <v>54</v>
      </c>
      <c r="M4" s="981"/>
      <c r="N4" s="981"/>
      <c r="O4" s="981"/>
      <c r="P4" s="982" t="s">
        <v>54</v>
      </c>
      <c r="Q4" s="983"/>
      <c r="R4" s="983"/>
      <c r="S4" s="983"/>
      <c r="T4" s="983"/>
      <c r="U4" s="984"/>
      <c r="V4" s="949"/>
      <c r="W4" s="949"/>
      <c r="X4" s="949"/>
      <c r="Y4" s="949"/>
    </row>
    <row r="5" spans="1:28" s="985" customFormat="1" ht="15.6" x14ac:dyDescent="0.3">
      <c r="A5" s="986"/>
      <c r="B5" s="521" t="s">
        <v>53</v>
      </c>
      <c r="C5" s="987"/>
      <c r="D5" s="977"/>
      <c r="E5" s="978"/>
      <c r="F5" s="988"/>
      <c r="G5" s="1114" t="s">
        <v>399</v>
      </c>
      <c r="H5" s="988"/>
      <c r="I5" s="988"/>
      <c r="J5" s="979"/>
      <c r="K5" s="979"/>
      <c r="L5" s="989" t="s">
        <v>379</v>
      </c>
      <c r="M5" s="990"/>
      <c r="N5" s="981"/>
      <c r="O5" s="981"/>
      <c r="P5" s="991" t="s">
        <v>379</v>
      </c>
      <c r="Q5" s="983"/>
      <c r="R5" s="983"/>
      <c r="S5" s="983"/>
      <c r="T5" s="983"/>
      <c r="U5" s="984"/>
      <c r="V5" s="949"/>
      <c r="W5" s="949"/>
      <c r="X5" s="949"/>
      <c r="Y5" s="949"/>
    </row>
    <row r="6" spans="1:28" s="985" customFormat="1" ht="16.2" thickBot="1" x14ac:dyDescent="0.35">
      <c r="A6" s="986"/>
      <c r="B6" s="519" t="s">
        <v>57</v>
      </c>
      <c r="C6" s="992"/>
      <c r="D6" s="993"/>
      <c r="E6" s="994"/>
      <c r="F6" s="995"/>
      <c r="G6" s="1115" t="s">
        <v>400</v>
      </c>
      <c r="H6" s="996" t="s">
        <v>380</v>
      </c>
      <c r="I6" s="997"/>
      <c r="J6" s="998"/>
      <c r="K6" s="999"/>
      <c r="L6" s="1000">
        <v>0.18</v>
      </c>
      <c r="M6" s="1001"/>
      <c r="N6" s="1002"/>
      <c r="O6" s="1002"/>
      <c r="P6" s="1003">
        <v>0.05</v>
      </c>
      <c r="Q6" s="1004"/>
      <c r="R6" s="1005"/>
      <c r="S6" s="1005"/>
      <c r="T6" s="1005"/>
      <c r="U6" s="1006"/>
      <c r="V6" s="949"/>
      <c r="W6" s="949"/>
      <c r="X6" s="949"/>
      <c r="Y6" s="949"/>
    </row>
    <row r="7" spans="1:28" s="985" customFormat="1" ht="72" customHeight="1" thickBot="1" x14ac:dyDescent="0.35">
      <c r="A7" s="1007" t="s">
        <v>4</v>
      </c>
      <c r="B7" s="1008" t="s">
        <v>251</v>
      </c>
      <c r="C7" s="1009" t="s">
        <v>269</v>
      </c>
      <c r="D7" s="1010" t="s">
        <v>3</v>
      </c>
      <c r="E7" s="1011" t="s">
        <v>381</v>
      </c>
      <c r="F7" s="1012" t="s">
        <v>382</v>
      </c>
      <c r="G7" s="1013" t="s">
        <v>383</v>
      </c>
      <c r="H7" s="1014" t="s">
        <v>384</v>
      </c>
      <c r="I7" s="1015" t="s">
        <v>385</v>
      </c>
      <c r="J7" s="1016" t="s">
        <v>386</v>
      </c>
      <c r="K7" s="1017" t="s">
        <v>387</v>
      </c>
      <c r="L7" s="1018" t="s">
        <v>388</v>
      </c>
      <c r="M7" s="1019" t="s">
        <v>382</v>
      </c>
      <c r="N7" s="1020" t="s">
        <v>386</v>
      </c>
      <c r="O7" s="1020" t="s">
        <v>387</v>
      </c>
      <c r="P7" s="1021" t="s">
        <v>388</v>
      </c>
      <c r="Q7" s="1022" t="s">
        <v>389</v>
      </c>
      <c r="R7" s="1023" t="s">
        <v>390</v>
      </c>
      <c r="S7" s="1024" t="s">
        <v>391</v>
      </c>
      <c r="T7" s="1023" t="s">
        <v>392</v>
      </c>
      <c r="U7" s="1025" t="s">
        <v>393</v>
      </c>
      <c r="V7" s="1026"/>
      <c r="W7" s="1027" t="s">
        <v>279</v>
      </c>
      <c r="X7" s="949"/>
      <c r="Y7" s="949"/>
    </row>
    <row r="8" spans="1:28" s="985" customFormat="1" ht="17.399999999999999" x14ac:dyDescent="0.35">
      <c r="A8" s="1235" t="s">
        <v>10</v>
      </c>
      <c r="B8" s="523">
        <v>2017</v>
      </c>
      <c r="C8" s="1236" t="s">
        <v>261</v>
      </c>
      <c r="D8" s="1028">
        <v>51</v>
      </c>
      <c r="E8" s="978">
        <v>1.4361426224545168</v>
      </c>
      <c r="F8" s="1029">
        <v>-1</v>
      </c>
      <c r="G8" s="1030"/>
      <c r="H8" s="1031">
        <v>-3</v>
      </c>
      <c r="I8" s="1239">
        <v>0</v>
      </c>
      <c r="J8" s="1032">
        <f t="shared" ref="J8:J41" si="0">IF(G8="X",-2,I8)</f>
        <v>0</v>
      </c>
      <c r="K8" s="1033">
        <f t="shared" ref="K8:K41" si="1">J8-F8</f>
        <v>1</v>
      </c>
      <c r="L8" s="1034">
        <f t="shared" ref="L8:L41" si="2">K8*L$6</f>
        <v>0.18</v>
      </c>
      <c r="M8" s="1035">
        <v>0</v>
      </c>
      <c r="N8" s="1036">
        <f t="shared" ref="N8:N41" si="3">IF(G8="X",0,M8)</f>
        <v>0</v>
      </c>
      <c r="O8" s="1036">
        <f t="shared" ref="O8:O41" si="4">IF(G8="X",N8-M8,0)</f>
        <v>0</v>
      </c>
      <c r="P8" s="1037">
        <f t="shared" ref="P8:P41" si="5">O8*P$6</f>
        <v>0</v>
      </c>
      <c r="Q8" s="1038">
        <f t="shared" ref="Q8:Q41" si="6">E8+L8+P8</f>
        <v>1.6161426224545168</v>
      </c>
      <c r="R8" s="1039">
        <f t="shared" ref="R8:R41" si="7">Q8-E8</f>
        <v>0.17999999999999994</v>
      </c>
      <c r="S8" s="1040">
        <f t="shared" ref="S8:S41" si="8">RANK(Q8,Q$8:Q$72)</f>
        <v>52</v>
      </c>
      <c r="T8" s="1041">
        <f t="shared" ref="T8:T41" si="9">D8-S8</f>
        <v>-1</v>
      </c>
      <c r="U8" s="1042" t="str">
        <f t="shared" ref="U8:U41" si="10">IF(G8="X",AB$1," ")</f>
        <v xml:space="preserve"> </v>
      </c>
      <c r="V8" s="1043"/>
      <c r="W8" s="1044"/>
      <c r="X8" s="949"/>
      <c r="Y8" s="949"/>
    </row>
    <row r="9" spans="1:28" s="985" customFormat="1" ht="17.399999999999999" x14ac:dyDescent="0.35">
      <c r="A9" s="724" t="s">
        <v>174</v>
      </c>
      <c r="B9" s="522">
        <v>2013</v>
      </c>
      <c r="C9" s="1045" t="s">
        <v>260</v>
      </c>
      <c r="D9" s="1046">
        <v>55</v>
      </c>
      <c r="E9" s="1047">
        <v>1.1396169056690901</v>
      </c>
      <c r="F9" s="1029">
        <v>0</v>
      </c>
      <c r="G9" s="1048"/>
      <c r="H9" s="1049">
        <v>-2</v>
      </c>
      <c r="I9" s="1050">
        <v>1</v>
      </c>
      <c r="J9" s="1051">
        <f t="shared" si="0"/>
        <v>1</v>
      </c>
      <c r="K9" s="1052">
        <f t="shared" si="1"/>
        <v>1</v>
      </c>
      <c r="L9" s="1053">
        <f t="shared" si="2"/>
        <v>0.18</v>
      </c>
      <c r="M9" s="1054">
        <v>0</v>
      </c>
      <c r="N9" s="1055">
        <f t="shared" si="3"/>
        <v>0</v>
      </c>
      <c r="O9" s="1055">
        <f t="shared" si="4"/>
        <v>0</v>
      </c>
      <c r="P9" s="1056">
        <f t="shared" si="5"/>
        <v>0</v>
      </c>
      <c r="Q9" s="1057">
        <f t="shared" si="6"/>
        <v>1.3196169056690901</v>
      </c>
      <c r="R9" s="1058">
        <f t="shared" si="7"/>
        <v>0.17999999999999994</v>
      </c>
      <c r="S9" s="1040">
        <f t="shared" si="8"/>
        <v>54</v>
      </c>
      <c r="T9" s="1041">
        <f t="shared" si="9"/>
        <v>1</v>
      </c>
      <c r="U9" s="1059" t="str">
        <f t="shared" si="10"/>
        <v xml:space="preserve"> </v>
      </c>
      <c r="V9" s="1043"/>
      <c r="W9" s="1060"/>
      <c r="X9" s="949"/>
      <c r="Y9" s="949"/>
    </row>
    <row r="10" spans="1:28" s="985" customFormat="1" ht="17.399999999999999" x14ac:dyDescent="0.35">
      <c r="A10" s="724" t="s">
        <v>115</v>
      </c>
      <c r="B10" s="522"/>
      <c r="C10" s="1061" t="s">
        <v>271</v>
      </c>
      <c r="D10" s="1062">
        <v>23</v>
      </c>
      <c r="E10" s="1063">
        <v>2.4727208097256179</v>
      </c>
      <c r="F10" s="1064">
        <v>3</v>
      </c>
      <c r="G10" s="1048"/>
      <c r="H10" s="1049">
        <v>-3</v>
      </c>
      <c r="I10" s="1065">
        <v>3</v>
      </c>
      <c r="J10" s="1051">
        <f t="shared" si="0"/>
        <v>3</v>
      </c>
      <c r="K10" s="1066">
        <f t="shared" si="1"/>
        <v>0</v>
      </c>
      <c r="L10" s="1067">
        <f t="shared" si="2"/>
        <v>0</v>
      </c>
      <c r="M10" s="1068">
        <v>5</v>
      </c>
      <c r="N10" s="1069">
        <f t="shared" si="3"/>
        <v>5</v>
      </c>
      <c r="O10" s="1069">
        <f t="shared" si="4"/>
        <v>0</v>
      </c>
      <c r="P10" s="1070">
        <f t="shared" si="5"/>
        <v>0</v>
      </c>
      <c r="Q10" s="1071">
        <f t="shared" si="6"/>
        <v>2.4727208097256179</v>
      </c>
      <c r="R10" s="1072">
        <f t="shared" si="7"/>
        <v>0</v>
      </c>
      <c r="S10" s="1040">
        <f t="shared" si="8"/>
        <v>28</v>
      </c>
      <c r="T10" s="1073">
        <f t="shared" si="9"/>
        <v>-5</v>
      </c>
      <c r="U10" s="1074" t="str">
        <f t="shared" si="10"/>
        <v xml:space="preserve"> </v>
      </c>
      <c r="V10" s="1043"/>
      <c r="W10" s="1075" t="s">
        <v>274</v>
      </c>
      <c r="X10" s="949"/>
      <c r="Y10" s="949"/>
    </row>
    <row r="11" spans="1:28" s="985" customFormat="1" ht="17.399999999999999" x14ac:dyDescent="0.35">
      <c r="A11" s="724" t="s">
        <v>116</v>
      </c>
      <c r="B11" s="522">
        <v>2019</v>
      </c>
      <c r="C11" s="1045" t="s">
        <v>260</v>
      </c>
      <c r="D11" s="1062">
        <v>52</v>
      </c>
      <c r="E11" s="1063">
        <v>1.3903618982861801</v>
      </c>
      <c r="F11" s="1029">
        <v>-2</v>
      </c>
      <c r="G11" s="1076"/>
      <c r="H11" s="1049">
        <v>-2</v>
      </c>
      <c r="I11" s="1065">
        <v>1</v>
      </c>
      <c r="J11" s="1051">
        <f t="shared" si="0"/>
        <v>1</v>
      </c>
      <c r="K11" s="1066">
        <f t="shared" si="1"/>
        <v>3</v>
      </c>
      <c r="L11" s="1067">
        <f t="shared" si="2"/>
        <v>0.54</v>
      </c>
      <c r="M11" s="1068">
        <v>0</v>
      </c>
      <c r="N11" s="1069">
        <f t="shared" si="3"/>
        <v>0</v>
      </c>
      <c r="O11" s="1069">
        <f t="shared" si="4"/>
        <v>0</v>
      </c>
      <c r="P11" s="1070">
        <f t="shared" si="5"/>
        <v>0</v>
      </c>
      <c r="Q11" s="1071">
        <f t="shared" si="6"/>
        <v>1.9303618982861801</v>
      </c>
      <c r="R11" s="1072">
        <f t="shared" si="7"/>
        <v>0.54</v>
      </c>
      <c r="S11" s="1040">
        <f t="shared" si="8"/>
        <v>43</v>
      </c>
      <c r="T11" s="1073">
        <f t="shared" si="9"/>
        <v>9</v>
      </c>
      <c r="U11" s="1074" t="str">
        <f t="shared" si="10"/>
        <v xml:space="preserve"> </v>
      </c>
      <c r="V11" s="1043"/>
      <c r="W11" s="1060" t="s">
        <v>275</v>
      </c>
      <c r="X11" s="949"/>
      <c r="Y11" s="949"/>
    </row>
    <row r="12" spans="1:28" s="985" customFormat="1" thickBot="1" x14ac:dyDescent="0.4">
      <c r="A12" s="725" t="s">
        <v>5</v>
      </c>
      <c r="B12" s="522">
        <v>2015</v>
      </c>
      <c r="C12" s="1045" t="s">
        <v>260</v>
      </c>
      <c r="D12" s="1062">
        <v>2</v>
      </c>
      <c r="E12" s="1063">
        <v>4.343952233321362</v>
      </c>
      <c r="F12" s="1029">
        <v>5</v>
      </c>
      <c r="G12" s="1048"/>
      <c r="H12" s="1049">
        <v>-2</v>
      </c>
      <c r="I12" s="1077">
        <v>7</v>
      </c>
      <c r="J12" s="1051">
        <f t="shared" si="0"/>
        <v>7</v>
      </c>
      <c r="K12" s="1066">
        <f t="shared" si="1"/>
        <v>2</v>
      </c>
      <c r="L12" s="1067">
        <f t="shared" si="2"/>
        <v>0.36</v>
      </c>
      <c r="M12" s="1068">
        <v>0</v>
      </c>
      <c r="N12" s="1069">
        <f t="shared" si="3"/>
        <v>0</v>
      </c>
      <c r="O12" s="1069">
        <f t="shared" si="4"/>
        <v>0</v>
      </c>
      <c r="P12" s="1070">
        <f t="shared" si="5"/>
        <v>0</v>
      </c>
      <c r="Q12" s="1071">
        <f t="shared" si="6"/>
        <v>4.7039522333213624</v>
      </c>
      <c r="R12" s="1072">
        <f t="shared" si="7"/>
        <v>0.36000000000000032</v>
      </c>
      <c r="S12" s="1040">
        <f t="shared" si="8"/>
        <v>1</v>
      </c>
      <c r="T12" s="1073">
        <f t="shared" si="9"/>
        <v>1</v>
      </c>
      <c r="U12" s="1074" t="str">
        <f t="shared" si="10"/>
        <v xml:space="preserve"> </v>
      </c>
      <c r="V12" s="1043"/>
      <c r="W12" s="1078" t="s">
        <v>273</v>
      </c>
      <c r="X12" s="949"/>
      <c r="Y12" s="949"/>
    </row>
    <row r="13" spans="1:28" s="985" customFormat="1" ht="17.399999999999999" x14ac:dyDescent="0.35">
      <c r="A13" s="724" t="s">
        <v>175</v>
      </c>
      <c r="B13" s="522">
        <v>2017</v>
      </c>
      <c r="C13" s="1079" t="s">
        <v>261</v>
      </c>
      <c r="D13" s="1062">
        <v>53</v>
      </c>
      <c r="E13" s="1063">
        <v>1.3629893908613262</v>
      </c>
      <c r="F13" s="1029">
        <v>-1</v>
      </c>
      <c r="G13" s="1238"/>
      <c r="H13" s="1049">
        <v>-2</v>
      </c>
      <c r="I13" s="1077">
        <v>0</v>
      </c>
      <c r="J13" s="1051">
        <f t="shared" si="0"/>
        <v>0</v>
      </c>
      <c r="K13" s="1066">
        <f t="shared" si="1"/>
        <v>1</v>
      </c>
      <c r="L13" s="1067">
        <f t="shared" si="2"/>
        <v>0.18</v>
      </c>
      <c r="M13" s="1068">
        <v>0</v>
      </c>
      <c r="N13" s="1069">
        <f t="shared" si="3"/>
        <v>0</v>
      </c>
      <c r="O13" s="1069">
        <f t="shared" si="4"/>
        <v>0</v>
      </c>
      <c r="P13" s="1070">
        <f t="shared" si="5"/>
        <v>0</v>
      </c>
      <c r="Q13" s="1071">
        <f t="shared" si="6"/>
        <v>1.5429893908613261</v>
      </c>
      <c r="R13" s="1072">
        <f t="shared" si="7"/>
        <v>0.17999999999999994</v>
      </c>
      <c r="S13" s="1040">
        <f t="shared" si="8"/>
        <v>53</v>
      </c>
      <c r="T13" s="1073">
        <f t="shared" si="9"/>
        <v>0</v>
      </c>
      <c r="U13" s="1074" t="str">
        <f t="shared" si="10"/>
        <v xml:space="preserve"> </v>
      </c>
      <c r="V13" s="1043"/>
      <c r="W13" s="1075"/>
      <c r="X13" s="949"/>
      <c r="Y13" s="949"/>
    </row>
    <row r="14" spans="1:28" s="985" customFormat="1" ht="17.399999999999999" x14ac:dyDescent="0.35">
      <c r="A14" s="724" t="s">
        <v>292</v>
      </c>
      <c r="B14" s="522">
        <v>2017</v>
      </c>
      <c r="C14" s="1045" t="s">
        <v>260</v>
      </c>
      <c r="D14" s="1062">
        <v>35</v>
      </c>
      <c r="E14" s="1063">
        <v>2.0554547060872821</v>
      </c>
      <c r="F14" s="1029">
        <v>-1</v>
      </c>
      <c r="G14" s="1080"/>
      <c r="H14" s="1049">
        <v>-2</v>
      </c>
      <c r="I14" s="1077">
        <v>0</v>
      </c>
      <c r="J14" s="1051">
        <f t="shared" si="0"/>
        <v>0</v>
      </c>
      <c r="K14" s="1066">
        <f t="shared" si="1"/>
        <v>1</v>
      </c>
      <c r="L14" s="1067">
        <f t="shared" si="2"/>
        <v>0.18</v>
      </c>
      <c r="M14" s="1068">
        <v>0</v>
      </c>
      <c r="N14" s="1069">
        <f t="shared" si="3"/>
        <v>0</v>
      </c>
      <c r="O14" s="1069">
        <f t="shared" si="4"/>
        <v>0</v>
      </c>
      <c r="P14" s="1070">
        <f t="shared" si="5"/>
        <v>0</v>
      </c>
      <c r="Q14" s="1071">
        <f t="shared" si="6"/>
        <v>2.2354547060872823</v>
      </c>
      <c r="R14" s="1072">
        <f t="shared" si="7"/>
        <v>0.18000000000000016</v>
      </c>
      <c r="S14" s="1040">
        <f t="shared" si="8"/>
        <v>36</v>
      </c>
      <c r="T14" s="1073">
        <f t="shared" si="9"/>
        <v>-1</v>
      </c>
      <c r="U14" s="1074" t="str">
        <f t="shared" si="10"/>
        <v xml:space="preserve"> </v>
      </c>
      <c r="V14" s="1043"/>
      <c r="W14" s="1060"/>
      <c r="X14" s="949"/>
      <c r="Y14" s="949"/>
    </row>
    <row r="15" spans="1:28" s="985" customFormat="1" ht="17.399999999999999" x14ac:dyDescent="0.35">
      <c r="A15" s="725" t="s">
        <v>104</v>
      </c>
      <c r="B15" s="522">
        <v>2017</v>
      </c>
      <c r="C15" s="1079" t="s">
        <v>261</v>
      </c>
      <c r="D15" s="1062">
        <v>29</v>
      </c>
      <c r="E15" s="1063">
        <v>2.2945067539795923</v>
      </c>
      <c r="F15" s="1029">
        <v>0</v>
      </c>
      <c r="G15" s="1080"/>
      <c r="H15" s="1049">
        <v>-2</v>
      </c>
      <c r="I15" s="1077">
        <v>3</v>
      </c>
      <c r="J15" s="1051">
        <f t="shared" si="0"/>
        <v>3</v>
      </c>
      <c r="K15" s="1066">
        <f t="shared" si="1"/>
        <v>3</v>
      </c>
      <c r="L15" s="1067">
        <f t="shared" si="2"/>
        <v>0.54</v>
      </c>
      <c r="M15" s="1068">
        <v>0</v>
      </c>
      <c r="N15" s="1069">
        <f t="shared" si="3"/>
        <v>0</v>
      </c>
      <c r="O15" s="1069">
        <f t="shared" si="4"/>
        <v>0</v>
      </c>
      <c r="P15" s="1070">
        <f t="shared" si="5"/>
        <v>0</v>
      </c>
      <c r="Q15" s="1071">
        <f t="shared" si="6"/>
        <v>2.8345067539795923</v>
      </c>
      <c r="R15" s="1072">
        <f t="shared" si="7"/>
        <v>0.54</v>
      </c>
      <c r="S15" s="1040">
        <f t="shared" si="8"/>
        <v>19</v>
      </c>
      <c r="T15" s="1073">
        <f t="shared" si="9"/>
        <v>10</v>
      </c>
      <c r="U15" s="1074" t="str">
        <f t="shared" si="10"/>
        <v xml:space="preserve"> </v>
      </c>
      <c r="V15" s="1043"/>
      <c r="W15" s="1060"/>
      <c r="X15" s="949"/>
      <c r="Y15" s="949"/>
    </row>
    <row r="16" spans="1:28" s="985" customFormat="1" ht="17.399999999999999" x14ac:dyDescent="0.35">
      <c r="A16" s="724" t="s">
        <v>117</v>
      </c>
      <c r="B16" s="522">
        <v>2013</v>
      </c>
      <c r="C16" s="1081" t="s">
        <v>270</v>
      </c>
      <c r="D16" s="1062">
        <v>3</v>
      </c>
      <c r="E16" s="1063">
        <v>4.0216598472764939</v>
      </c>
      <c r="F16" s="1064">
        <v>6</v>
      </c>
      <c r="G16" s="1048" t="s">
        <v>268</v>
      </c>
      <c r="H16" s="1049">
        <v>-1</v>
      </c>
      <c r="I16" s="1065">
        <v>7</v>
      </c>
      <c r="J16" s="1051">
        <f t="shared" si="0"/>
        <v>-2</v>
      </c>
      <c r="K16" s="1066">
        <f t="shared" si="1"/>
        <v>-8</v>
      </c>
      <c r="L16" s="1067">
        <f t="shared" si="2"/>
        <v>-1.44</v>
      </c>
      <c r="M16" s="1068">
        <v>5</v>
      </c>
      <c r="N16" s="1069">
        <f t="shared" si="3"/>
        <v>0</v>
      </c>
      <c r="O16" s="1069">
        <f t="shared" si="4"/>
        <v>-5</v>
      </c>
      <c r="P16" s="1070">
        <f t="shared" si="5"/>
        <v>-0.25</v>
      </c>
      <c r="Q16" s="1071">
        <f t="shared" si="6"/>
        <v>2.331659847276494</v>
      </c>
      <c r="R16" s="1072">
        <f t="shared" si="7"/>
        <v>-1.69</v>
      </c>
      <c r="S16" s="1040">
        <f t="shared" si="8"/>
        <v>32</v>
      </c>
      <c r="T16" s="1073">
        <f t="shared" si="9"/>
        <v>-29</v>
      </c>
      <c r="U16" s="1074" t="str">
        <f t="shared" si="10"/>
        <v>√</v>
      </c>
      <c r="V16" s="1043"/>
      <c r="W16" s="1082" t="s">
        <v>272</v>
      </c>
      <c r="X16" s="949"/>
      <c r="Y16" s="949"/>
    </row>
    <row r="17" spans="1:25" s="985" customFormat="1" thickBot="1" x14ac:dyDescent="0.4">
      <c r="A17" s="724" t="s">
        <v>9</v>
      </c>
      <c r="B17" s="522">
        <v>2019</v>
      </c>
      <c r="C17" s="1045" t="s">
        <v>260</v>
      </c>
      <c r="D17" s="1062">
        <v>45</v>
      </c>
      <c r="E17" s="1063">
        <v>1.785112770159214</v>
      </c>
      <c r="F17" s="1029">
        <v>-2</v>
      </c>
      <c r="G17" s="1076"/>
      <c r="H17" s="1049">
        <v>-2</v>
      </c>
      <c r="I17" s="1077">
        <v>1</v>
      </c>
      <c r="J17" s="1051">
        <f t="shared" si="0"/>
        <v>1</v>
      </c>
      <c r="K17" s="1066">
        <f t="shared" si="1"/>
        <v>3</v>
      </c>
      <c r="L17" s="1067">
        <f t="shared" si="2"/>
        <v>0.54</v>
      </c>
      <c r="M17" s="1068">
        <v>0</v>
      </c>
      <c r="N17" s="1069">
        <f t="shared" si="3"/>
        <v>0</v>
      </c>
      <c r="O17" s="1069">
        <f t="shared" si="4"/>
        <v>0</v>
      </c>
      <c r="P17" s="1070">
        <f t="shared" si="5"/>
        <v>0</v>
      </c>
      <c r="Q17" s="1071">
        <f t="shared" si="6"/>
        <v>2.325112770159214</v>
      </c>
      <c r="R17" s="1072">
        <f t="shared" si="7"/>
        <v>0.54</v>
      </c>
      <c r="S17" s="1040">
        <f t="shared" si="8"/>
        <v>33</v>
      </c>
      <c r="T17" s="1073">
        <f t="shared" si="9"/>
        <v>12</v>
      </c>
      <c r="U17" s="1074" t="str">
        <f t="shared" si="10"/>
        <v xml:space="preserve"> </v>
      </c>
      <c r="V17" s="1043"/>
      <c r="W17" s="1078" t="s">
        <v>289</v>
      </c>
      <c r="X17" s="949"/>
      <c r="Y17" s="949"/>
    </row>
    <row r="18" spans="1:25" s="985" customFormat="1" ht="17.399999999999999" x14ac:dyDescent="0.35">
      <c r="A18" s="725" t="s">
        <v>99</v>
      </c>
      <c r="B18" s="522">
        <v>2017</v>
      </c>
      <c r="C18" s="1045" t="s">
        <v>260</v>
      </c>
      <c r="D18" s="1062">
        <v>50</v>
      </c>
      <c r="E18" s="1063">
        <v>1.604677339150351</v>
      </c>
      <c r="F18" s="1029">
        <v>-1</v>
      </c>
      <c r="G18" s="1080"/>
      <c r="H18" s="1049">
        <v>-2</v>
      </c>
      <c r="I18" s="1077">
        <v>1</v>
      </c>
      <c r="J18" s="1051">
        <f t="shared" si="0"/>
        <v>1</v>
      </c>
      <c r="K18" s="1066">
        <f t="shared" si="1"/>
        <v>2</v>
      </c>
      <c r="L18" s="1067">
        <f t="shared" si="2"/>
        <v>0.36</v>
      </c>
      <c r="M18" s="1068">
        <v>0</v>
      </c>
      <c r="N18" s="1069">
        <f t="shared" si="3"/>
        <v>0</v>
      </c>
      <c r="O18" s="1069">
        <f t="shared" si="4"/>
        <v>0</v>
      </c>
      <c r="P18" s="1070">
        <f t="shared" si="5"/>
        <v>0</v>
      </c>
      <c r="Q18" s="1071">
        <f t="shared" si="6"/>
        <v>1.9646773391503509</v>
      </c>
      <c r="R18" s="1072">
        <f t="shared" si="7"/>
        <v>0.35999999999999988</v>
      </c>
      <c r="S18" s="1040">
        <f t="shared" si="8"/>
        <v>42</v>
      </c>
      <c r="T18" s="1073">
        <f t="shared" si="9"/>
        <v>8</v>
      </c>
      <c r="U18" s="1074" t="str">
        <f t="shared" si="10"/>
        <v xml:space="preserve"> </v>
      </c>
      <c r="V18" s="1043"/>
      <c r="W18" s="1075"/>
      <c r="X18" s="949"/>
      <c r="Y18" s="949"/>
    </row>
    <row r="19" spans="1:25" s="985" customFormat="1" ht="17.399999999999999" x14ac:dyDescent="0.35">
      <c r="A19" s="725" t="s">
        <v>14</v>
      </c>
      <c r="B19" s="522">
        <v>2015</v>
      </c>
      <c r="C19" s="1045" t="s">
        <v>260</v>
      </c>
      <c r="D19" s="1062">
        <v>16</v>
      </c>
      <c r="E19" s="1063">
        <v>2.6530344046956782</v>
      </c>
      <c r="F19" s="1029">
        <v>1</v>
      </c>
      <c r="G19" s="1080"/>
      <c r="H19" s="1049">
        <v>-2</v>
      </c>
      <c r="I19" s="1077">
        <v>3</v>
      </c>
      <c r="J19" s="1051">
        <f t="shared" si="0"/>
        <v>3</v>
      </c>
      <c r="K19" s="1066">
        <f t="shared" si="1"/>
        <v>2</v>
      </c>
      <c r="L19" s="1067">
        <f t="shared" si="2"/>
        <v>0.36</v>
      </c>
      <c r="M19" s="1068">
        <v>0</v>
      </c>
      <c r="N19" s="1069">
        <f t="shared" si="3"/>
        <v>0</v>
      </c>
      <c r="O19" s="1069">
        <f t="shared" si="4"/>
        <v>0</v>
      </c>
      <c r="P19" s="1070">
        <f t="shared" si="5"/>
        <v>0</v>
      </c>
      <c r="Q19" s="1071">
        <f t="shared" si="6"/>
        <v>3.0130344046956781</v>
      </c>
      <c r="R19" s="1072">
        <f t="shared" si="7"/>
        <v>0.35999999999999988</v>
      </c>
      <c r="S19" s="1040">
        <f t="shared" si="8"/>
        <v>11</v>
      </c>
      <c r="T19" s="1073">
        <f t="shared" si="9"/>
        <v>5</v>
      </c>
      <c r="U19" s="1074" t="str">
        <f t="shared" si="10"/>
        <v xml:space="preserve"> </v>
      </c>
      <c r="V19" s="1043"/>
      <c r="W19" s="1060"/>
      <c r="X19" s="949"/>
      <c r="Y19" s="949"/>
    </row>
    <row r="20" spans="1:25" s="985" customFormat="1" ht="17.399999999999999" x14ac:dyDescent="0.35">
      <c r="A20" s="725" t="s">
        <v>109</v>
      </c>
      <c r="B20" s="522">
        <v>2015</v>
      </c>
      <c r="C20" s="1079" t="s">
        <v>261</v>
      </c>
      <c r="D20" s="1062">
        <v>48</v>
      </c>
      <c r="E20" s="1063">
        <v>1.6890204571888292</v>
      </c>
      <c r="F20" s="1029">
        <v>0</v>
      </c>
      <c r="G20" s="1048"/>
      <c r="H20" s="1049">
        <v>-3</v>
      </c>
      <c r="I20" s="1077">
        <v>2</v>
      </c>
      <c r="J20" s="1051">
        <f t="shared" si="0"/>
        <v>2</v>
      </c>
      <c r="K20" s="1066">
        <f t="shared" si="1"/>
        <v>2</v>
      </c>
      <c r="L20" s="1067">
        <f t="shared" si="2"/>
        <v>0.36</v>
      </c>
      <c r="M20" s="1068">
        <v>0</v>
      </c>
      <c r="N20" s="1069">
        <f t="shared" si="3"/>
        <v>0</v>
      </c>
      <c r="O20" s="1069">
        <f t="shared" si="4"/>
        <v>0</v>
      </c>
      <c r="P20" s="1070">
        <f t="shared" si="5"/>
        <v>0</v>
      </c>
      <c r="Q20" s="1071">
        <f t="shared" si="6"/>
        <v>2.0490204571888291</v>
      </c>
      <c r="R20" s="1072">
        <f t="shared" si="7"/>
        <v>0.35999999999999988</v>
      </c>
      <c r="S20" s="1040">
        <f t="shared" si="8"/>
        <v>40</v>
      </c>
      <c r="T20" s="1073">
        <f t="shared" si="9"/>
        <v>8</v>
      </c>
      <c r="U20" s="1074" t="str">
        <f t="shared" si="10"/>
        <v xml:space="preserve"> </v>
      </c>
      <c r="V20" s="1043"/>
      <c r="W20" s="1075"/>
      <c r="X20" s="949"/>
      <c r="Y20" s="949"/>
    </row>
    <row r="21" spans="1:25" s="985" customFormat="1" ht="17.399999999999999" x14ac:dyDescent="0.35">
      <c r="A21" s="724" t="s">
        <v>112</v>
      </c>
      <c r="B21" s="522">
        <v>2015</v>
      </c>
      <c r="C21" s="1045" t="s">
        <v>260</v>
      </c>
      <c r="D21" s="1062">
        <v>43</v>
      </c>
      <c r="E21" s="1063">
        <v>1.8538492306272301</v>
      </c>
      <c r="F21" s="1029">
        <v>0</v>
      </c>
      <c r="G21" s="1048"/>
      <c r="H21" s="1049">
        <v>-2</v>
      </c>
      <c r="I21" s="1077">
        <v>0</v>
      </c>
      <c r="J21" s="1051">
        <f t="shared" si="0"/>
        <v>0</v>
      </c>
      <c r="K21" s="1066">
        <f t="shared" si="1"/>
        <v>0</v>
      </c>
      <c r="L21" s="1067">
        <f t="shared" si="2"/>
        <v>0</v>
      </c>
      <c r="M21" s="1068">
        <v>0</v>
      </c>
      <c r="N21" s="1069">
        <f t="shared" si="3"/>
        <v>0</v>
      </c>
      <c r="O21" s="1069">
        <f t="shared" si="4"/>
        <v>0</v>
      </c>
      <c r="P21" s="1070">
        <f t="shared" si="5"/>
        <v>0</v>
      </c>
      <c r="Q21" s="1071">
        <f t="shared" si="6"/>
        <v>1.8538492306272301</v>
      </c>
      <c r="R21" s="1072">
        <f t="shared" si="7"/>
        <v>0</v>
      </c>
      <c r="S21" s="1040">
        <f t="shared" si="8"/>
        <v>47</v>
      </c>
      <c r="T21" s="1073">
        <f t="shared" si="9"/>
        <v>-4</v>
      </c>
      <c r="U21" s="1074" t="str">
        <f t="shared" si="10"/>
        <v xml:space="preserve"> </v>
      </c>
      <c r="V21" s="1043"/>
      <c r="W21" s="1075"/>
      <c r="X21" s="949"/>
      <c r="Y21" s="949"/>
    </row>
    <row r="22" spans="1:25" s="985" customFormat="1" thickBot="1" x14ac:dyDescent="0.4">
      <c r="A22" s="724" t="s">
        <v>118</v>
      </c>
      <c r="B22" s="522">
        <v>2013</v>
      </c>
      <c r="C22" s="1081" t="s">
        <v>270</v>
      </c>
      <c r="D22" s="1062">
        <v>4</v>
      </c>
      <c r="E22" s="1063">
        <v>3.9811253530839066</v>
      </c>
      <c r="F22" s="1064">
        <v>7</v>
      </c>
      <c r="G22" s="1076" t="s">
        <v>268</v>
      </c>
      <c r="H22" s="1049">
        <v>-1</v>
      </c>
      <c r="I22" s="1065">
        <v>7</v>
      </c>
      <c r="J22" s="1051">
        <f t="shared" si="0"/>
        <v>-2</v>
      </c>
      <c r="K22" s="1066">
        <f t="shared" si="1"/>
        <v>-9</v>
      </c>
      <c r="L22" s="1067">
        <f t="shared" si="2"/>
        <v>-1.6199999999999999</v>
      </c>
      <c r="M22" s="1068">
        <v>3</v>
      </c>
      <c r="N22" s="1069">
        <f t="shared" si="3"/>
        <v>0</v>
      </c>
      <c r="O22" s="1069">
        <f t="shared" si="4"/>
        <v>-3</v>
      </c>
      <c r="P22" s="1070">
        <f t="shared" si="5"/>
        <v>-0.15000000000000002</v>
      </c>
      <c r="Q22" s="1071">
        <f t="shared" si="6"/>
        <v>2.2111253530839066</v>
      </c>
      <c r="R22" s="1072">
        <f t="shared" si="7"/>
        <v>-1.77</v>
      </c>
      <c r="S22" s="1040">
        <f t="shared" si="8"/>
        <v>38</v>
      </c>
      <c r="T22" s="1073">
        <f t="shared" si="9"/>
        <v>-34</v>
      </c>
      <c r="U22" s="1074" t="str">
        <f t="shared" si="10"/>
        <v>√</v>
      </c>
      <c r="V22" s="1043"/>
      <c r="W22" s="1083" t="s">
        <v>394</v>
      </c>
      <c r="X22" s="949"/>
      <c r="Y22" s="949"/>
    </row>
    <row r="23" spans="1:25" s="985" customFormat="1" ht="17.399999999999999" x14ac:dyDescent="0.35">
      <c r="A23" s="725" t="s">
        <v>102</v>
      </c>
      <c r="B23" s="522">
        <v>2019</v>
      </c>
      <c r="C23" s="1045" t="s">
        <v>260</v>
      </c>
      <c r="D23" s="1062">
        <v>57</v>
      </c>
      <c r="E23" s="1063">
        <v>0.65803496310237053</v>
      </c>
      <c r="F23" s="1029">
        <v>-3</v>
      </c>
      <c r="G23" s="1076"/>
      <c r="H23" s="1049">
        <v>-3</v>
      </c>
      <c r="I23" s="1065">
        <v>-1</v>
      </c>
      <c r="J23" s="1051">
        <f t="shared" si="0"/>
        <v>-1</v>
      </c>
      <c r="K23" s="1066">
        <f t="shared" si="1"/>
        <v>2</v>
      </c>
      <c r="L23" s="1067">
        <f t="shared" si="2"/>
        <v>0.36</v>
      </c>
      <c r="M23" s="1068">
        <v>0</v>
      </c>
      <c r="N23" s="1069">
        <f t="shared" si="3"/>
        <v>0</v>
      </c>
      <c r="O23" s="1069">
        <f t="shared" si="4"/>
        <v>0</v>
      </c>
      <c r="P23" s="1070">
        <f t="shared" si="5"/>
        <v>0</v>
      </c>
      <c r="Q23" s="1071">
        <f t="shared" si="6"/>
        <v>1.0180349631023704</v>
      </c>
      <c r="R23" s="1072">
        <f t="shared" si="7"/>
        <v>0.35999999999999988</v>
      </c>
      <c r="S23" s="1040">
        <f t="shared" si="8"/>
        <v>57</v>
      </c>
      <c r="T23" s="1073">
        <f t="shared" si="9"/>
        <v>0</v>
      </c>
      <c r="U23" s="1074" t="str">
        <f t="shared" si="10"/>
        <v xml:space="preserve"> </v>
      </c>
      <c r="V23" s="1043"/>
      <c r="W23" s="1060" t="s">
        <v>395</v>
      </c>
      <c r="X23" s="949"/>
      <c r="Y23" s="949"/>
    </row>
    <row r="24" spans="1:25" s="985" customFormat="1" ht="17.399999999999999" x14ac:dyDescent="0.35">
      <c r="A24" s="725" t="s">
        <v>22</v>
      </c>
      <c r="B24" s="522"/>
      <c r="C24" s="1045"/>
      <c r="D24" s="1062"/>
      <c r="E24" s="1063"/>
      <c r="F24" s="1029"/>
      <c r="G24" s="1076"/>
      <c r="H24" s="1049"/>
      <c r="I24" s="1065"/>
      <c r="J24" s="1051"/>
      <c r="K24" s="1066"/>
      <c r="L24" s="1067"/>
      <c r="M24" s="1068"/>
      <c r="N24" s="1069"/>
      <c r="O24" s="1069"/>
      <c r="P24" s="1070"/>
      <c r="Q24" s="1071"/>
      <c r="R24" s="1072"/>
      <c r="S24" s="1040"/>
      <c r="T24" s="1073"/>
      <c r="U24" s="1074"/>
      <c r="V24" s="1043"/>
      <c r="W24" s="1060"/>
      <c r="X24" s="949"/>
      <c r="Y24" s="949"/>
    </row>
    <row r="25" spans="1:25" s="985" customFormat="1" ht="17.399999999999999" x14ac:dyDescent="0.35">
      <c r="A25" s="725" t="s">
        <v>13</v>
      </c>
      <c r="B25" s="522">
        <v>2017</v>
      </c>
      <c r="C25" s="1079" t="s">
        <v>261</v>
      </c>
      <c r="D25" s="1062">
        <v>49</v>
      </c>
      <c r="E25" s="1063">
        <v>1.6100235290316449</v>
      </c>
      <c r="F25" s="1029">
        <v>-1</v>
      </c>
      <c r="G25" s="1080"/>
      <c r="H25" s="1049">
        <v>-2</v>
      </c>
      <c r="I25" s="1077">
        <v>0</v>
      </c>
      <c r="J25" s="1051">
        <f t="shared" si="0"/>
        <v>0</v>
      </c>
      <c r="K25" s="1066">
        <f t="shared" si="1"/>
        <v>1</v>
      </c>
      <c r="L25" s="1067">
        <f t="shared" si="2"/>
        <v>0.18</v>
      </c>
      <c r="M25" s="1068">
        <v>0</v>
      </c>
      <c r="N25" s="1069">
        <f t="shared" si="3"/>
        <v>0</v>
      </c>
      <c r="O25" s="1069">
        <f t="shared" si="4"/>
        <v>0</v>
      </c>
      <c r="P25" s="1070">
        <f t="shared" si="5"/>
        <v>0</v>
      </c>
      <c r="Q25" s="1071">
        <f t="shared" si="6"/>
        <v>1.7900235290316449</v>
      </c>
      <c r="R25" s="1072">
        <f t="shared" si="7"/>
        <v>0.17999999999999994</v>
      </c>
      <c r="S25" s="1040">
        <f t="shared" si="8"/>
        <v>48</v>
      </c>
      <c r="T25" s="1073">
        <f t="shared" si="9"/>
        <v>1</v>
      </c>
      <c r="U25" s="1074" t="str">
        <f t="shared" si="10"/>
        <v xml:space="preserve"> </v>
      </c>
      <c r="V25" s="1043"/>
      <c r="W25" s="1060"/>
      <c r="X25" s="949"/>
      <c r="Y25" s="949"/>
    </row>
    <row r="26" spans="1:25" s="985" customFormat="1" ht="17.399999999999999" x14ac:dyDescent="0.35">
      <c r="A26" s="725" t="s">
        <v>6</v>
      </c>
      <c r="B26" s="522">
        <v>2011</v>
      </c>
      <c r="C26" s="1045" t="s">
        <v>260</v>
      </c>
      <c r="D26" s="1062">
        <v>8</v>
      </c>
      <c r="E26" s="1063">
        <v>3.3084915595875017</v>
      </c>
      <c r="F26" s="1029">
        <v>5</v>
      </c>
      <c r="G26" s="1076" t="s">
        <v>268</v>
      </c>
      <c r="H26" s="1049">
        <v>-3</v>
      </c>
      <c r="I26" s="1077">
        <v>7</v>
      </c>
      <c r="J26" s="1051">
        <f t="shared" si="0"/>
        <v>-2</v>
      </c>
      <c r="K26" s="1066">
        <f t="shared" si="1"/>
        <v>-7</v>
      </c>
      <c r="L26" s="1067">
        <f t="shared" si="2"/>
        <v>-1.26</v>
      </c>
      <c r="M26" s="1068">
        <v>3</v>
      </c>
      <c r="N26" s="1069">
        <f t="shared" si="3"/>
        <v>0</v>
      </c>
      <c r="O26" s="1069">
        <f t="shared" si="4"/>
        <v>-3</v>
      </c>
      <c r="P26" s="1070">
        <f t="shared" si="5"/>
        <v>-0.15000000000000002</v>
      </c>
      <c r="Q26" s="1071">
        <f t="shared" si="6"/>
        <v>1.898491559587502</v>
      </c>
      <c r="R26" s="1072">
        <f t="shared" si="7"/>
        <v>-1.4099999999999997</v>
      </c>
      <c r="S26" s="1040">
        <f t="shared" si="8"/>
        <v>45</v>
      </c>
      <c r="T26" s="1073">
        <f t="shared" si="9"/>
        <v>-37</v>
      </c>
      <c r="U26" s="1074" t="str">
        <f t="shared" si="10"/>
        <v>√</v>
      </c>
      <c r="V26" s="1043"/>
      <c r="W26" s="1060" t="s">
        <v>275</v>
      </c>
      <c r="X26" s="949"/>
      <c r="Y26" s="949"/>
    </row>
    <row r="27" spans="1:25" s="985" customFormat="1" ht="17.399999999999999" x14ac:dyDescent="0.35">
      <c r="A27" s="725" t="s">
        <v>16</v>
      </c>
      <c r="B27" s="522">
        <v>2013</v>
      </c>
      <c r="C27" s="1081" t="s">
        <v>270</v>
      </c>
      <c r="D27" s="1062">
        <v>33</v>
      </c>
      <c r="E27" s="1063">
        <v>2.0858408202488712</v>
      </c>
      <c r="F27" s="1029">
        <v>2</v>
      </c>
      <c r="G27" s="1076"/>
      <c r="H27" s="1049">
        <v>-3</v>
      </c>
      <c r="I27" s="1077">
        <v>5</v>
      </c>
      <c r="J27" s="1051">
        <f t="shared" si="0"/>
        <v>5</v>
      </c>
      <c r="K27" s="1066">
        <f t="shared" si="1"/>
        <v>3</v>
      </c>
      <c r="L27" s="1067">
        <f t="shared" si="2"/>
        <v>0.54</v>
      </c>
      <c r="M27" s="1068">
        <v>5</v>
      </c>
      <c r="N27" s="1069">
        <f t="shared" si="3"/>
        <v>5</v>
      </c>
      <c r="O27" s="1069">
        <f t="shared" si="4"/>
        <v>0</v>
      </c>
      <c r="P27" s="1070">
        <f t="shared" si="5"/>
        <v>0</v>
      </c>
      <c r="Q27" s="1071">
        <f t="shared" si="6"/>
        <v>2.6258408202488712</v>
      </c>
      <c r="R27" s="1072">
        <f t="shared" si="7"/>
        <v>0.54</v>
      </c>
      <c r="S27" s="1040">
        <f t="shared" si="8"/>
        <v>23</v>
      </c>
      <c r="T27" s="1073">
        <f t="shared" si="9"/>
        <v>10</v>
      </c>
      <c r="U27" s="1074" t="str">
        <f t="shared" si="10"/>
        <v xml:space="preserve"> </v>
      </c>
      <c r="V27" s="1043"/>
      <c r="W27" s="1060"/>
      <c r="X27" s="949"/>
      <c r="Y27" s="949"/>
    </row>
    <row r="28" spans="1:25" s="985" customFormat="1" ht="17.399999999999999" x14ac:dyDescent="0.35">
      <c r="A28" s="724" t="s">
        <v>119</v>
      </c>
      <c r="B28" s="522"/>
      <c r="C28" s="1061" t="s">
        <v>271</v>
      </c>
      <c r="D28" s="1062">
        <v>41</v>
      </c>
      <c r="E28" s="1063">
        <v>1.87199589842366</v>
      </c>
      <c r="F28" s="1064">
        <v>2</v>
      </c>
      <c r="G28" s="1076"/>
      <c r="H28" s="1049">
        <v>-4</v>
      </c>
      <c r="I28" s="1065">
        <v>2</v>
      </c>
      <c r="J28" s="1051">
        <f t="shared" si="0"/>
        <v>2</v>
      </c>
      <c r="K28" s="1066">
        <f t="shared" si="1"/>
        <v>0</v>
      </c>
      <c r="L28" s="1067">
        <f t="shared" si="2"/>
        <v>0</v>
      </c>
      <c r="M28" s="1068">
        <v>4</v>
      </c>
      <c r="N28" s="1069">
        <f t="shared" si="3"/>
        <v>4</v>
      </c>
      <c r="O28" s="1069">
        <f t="shared" si="4"/>
        <v>0</v>
      </c>
      <c r="P28" s="1070">
        <f t="shared" si="5"/>
        <v>0</v>
      </c>
      <c r="Q28" s="1071">
        <f t="shared" si="6"/>
        <v>1.87199589842366</v>
      </c>
      <c r="R28" s="1072">
        <f t="shared" si="7"/>
        <v>0</v>
      </c>
      <c r="S28" s="1040">
        <f t="shared" si="8"/>
        <v>46</v>
      </c>
      <c r="T28" s="1073">
        <f t="shared" si="9"/>
        <v>-5</v>
      </c>
      <c r="U28" s="1074" t="str">
        <f t="shared" si="10"/>
        <v xml:space="preserve"> </v>
      </c>
      <c r="V28" s="1043"/>
      <c r="W28" s="1060"/>
      <c r="X28" s="949"/>
      <c r="Y28" s="949"/>
    </row>
    <row r="29" spans="1:25" s="985" customFormat="1" ht="17.399999999999999" x14ac:dyDescent="0.35">
      <c r="A29" s="724" t="s">
        <v>463</v>
      </c>
      <c r="B29" s="522"/>
      <c r="C29" s="1061" t="s">
        <v>271</v>
      </c>
      <c r="D29" s="1062">
        <v>28</v>
      </c>
      <c r="E29" s="1063">
        <v>2.3074778525491668</v>
      </c>
      <c r="F29" s="1064">
        <v>3</v>
      </c>
      <c r="G29" s="1076"/>
      <c r="H29" s="1049">
        <v>-4</v>
      </c>
      <c r="I29" s="1065">
        <v>4</v>
      </c>
      <c r="J29" s="1051">
        <f t="shared" si="0"/>
        <v>4</v>
      </c>
      <c r="K29" s="1066">
        <f t="shared" si="1"/>
        <v>1</v>
      </c>
      <c r="L29" s="1067">
        <f t="shared" si="2"/>
        <v>0.18</v>
      </c>
      <c r="M29" s="1068">
        <v>2</v>
      </c>
      <c r="N29" s="1069">
        <f t="shared" si="3"/>
        <v>2</v>
      </c>
      <c r="O29" s="1069">
        <f t="shared" si="4"/>
        <v>0</v>
      </c>
      <c r="P29" s="1070">
        <f t="shared" si="5"/>
        <v>0</v>
      </c>
      <c r="Q29" s="1071">
        <f t="shared" si="6"/>
        <v>2.487477852549167</v>
      </c>
      <c r="R29" s="1072">
        <f t="shared" si="7"/>
        <v>0.18000000000000016</v>
      </c>
      <c r="S29" s="1040">
        <f t="shared" si="8"/>
        <v>27</v>
      </c>
      <c r="T29" s="1073">
        <f t="shared" si="9"/>
        <v>1</v>
      </c>
      <c r="U29" s="1084" t="str">
        <f t="shared" si="10"/>
        <v xml:space="preserve"> </v>
      </c>
      <c r="V29" s="949"/>
      <c r="W29" s="1060"/>
      <c r="X29" s="949"/>
      <c r="Y29" s="949"/>
    </row>
    <row r="30" spans="1:25" s="985" customFormat="1" ht="17.399999999999999" x14ac:dyDescent="0.35">
      <c r="A30" s="724" t="s">
        <v>425</v>
      </c>
      <c r="B30" s="522">
        <v>2019</v>
      </c>
      <c r="C30" s="1045" t="s">
        <v>260</v>
      </c>
      <c r="D30" s="1062">
        <v>30</v>
      </c>
      <c r="E30" s="1063">
        <v>2.2842786120612035</v>
      </c>
      <c r="F30" s="1029">
        <v>-2</v>
      </c>
      <c r="G30" s="1076"/>
      <c r="H30" s="1049">
        <v>-2</v>
      </c>
      <c r="I30" s="1077">
        <v>2</v>
      </c>
      <c r="J30" s="1051">
        <f t="shared" si="0"/>
        <v>2</v>
      </c>
      <c r="K30" s="1066">
        <f t="shared" si="1"/>
        <v>4</v>
      </c>
      <c r="L30" s="1067">
        <f t="shared" si="2"/>
        <v>0.72</v>
      </c>
      <c r="M30" s="1068">
        <v>0</v>
      </c>
      <c r="N30" s="1069">
        <f t="shared" si="3"/>
        <v>0</v>
      </c>
      <c r="O30" s="1069">
        <f t="shared" si="4"/>
        <v>0</v>
      </c>
      <c r="P30" s="1070">
        <f t="shared" si="5"/>
        <v>0</v>
      </c>
      <c r="Q30" s="1071">
        <f t="shared" si="6"/>
        <v>3.0042786120612037</v>
      </c>
      <c r="R30" s="1072">
        <f t="shared" si="7"/>
        <v>0.7200000000000002</v>
      </c>
      <c r="S30" s="1040">
        <f t="shared" si="8"/>
        <v>13</v>
      </c>
      <c r="T30" s="1073">
        <f t="shared" si="9"/>
        <v>17</v>
      </c>
      <c r="U30" s="1084" t="str">
        <f t="shared" si="10"/>
        <v xml:space="preserve"> </v>
      </c>
      <c r="V30" s="1085"/>
      <c r="W30" s="1086" t="s">
        <v>272</v>
      </c>
      <c r="X30" s="949"/>
      <c r="Y30" s="949"/>
    </row>
    <row r="31" spans="1:25" s="985" customFormat="1" ht="17.399999999999999" x14ac:dyDescent="0.35">
      <c r="A31" s="724" t="s">
        <v>120</v>
      </c>
      <c r="B31" s="522"/>
      <c r="C31" s="1061" t="s">
        <v>271</v>
      </c>
      <c r="D31" s="1062">
        <v>18</v>
      </c>
      <c r="E31" s="1063">
        <v>2.6495891611842488</v>
      </c>
      <c r="F31" s="1064">
        <v>3</v>
      </c>
      <c r="G31" s="1076"/>
      <c r="H31" s="1049">
        <v>-3</v>
      </c>
      <c r="I31" s="1065">
        <v>3</v>
      </c>
      <c r="J31" s="1051">
        <f t="shared" si="0"/>
        <v>3</v>
      </c>
      <c r="K31" s="1066">
        <f t="shared" si="1"/>
        <v>0</v>
      </c>
      <c r="L31" s="1067">
        <f t="shared" si="2"/>
        <v>0</v>
      </c>
      <c r="M31" s="1068">
        <v>4</v>
      </c>
      <c r="N31" s="1069">
        <f t="shared" si="3"/>
        <v>4</v>
      </c>
      <c r="O31" s="1069">
        <f t="shared" si="4"/>
        <v>0</v>
      </c>
      <c r="P31" s="1070">
        <f t="shared" si="5"/>
        <v>0</v>
      </c>
      <c r="Q31" s="1071">
        <f t="shared" si="6"/>
        <v>2.6495891611842488</v>
      </c>
      <c r="R31" s="1072">
        <f t="shared" si="7"/>
        <v>0</v>
      </c>
      <c r="S31" s="1040">
        <f t="shared" si="8"/>
        <v>22</v>
      </c>
      <c r="T31" s="1073">
        <f t="shared" si="9"/>
        <v>-4</v>
      </c>
      <c r="U31" s="1084" t="str">
        <f t="shared" si="10"/>
        <v xml:space="preserve"> </v>
      </c>
      <c r="V31" s="1085"/>
      <c r="W31" s="1086" t="s">
        <v>272</v>
      </c>
      <c r="X31" s="949"/>
      <c r="Y31" s="949"/>
    </row>
    <row r="32" spans="1:25" s="985" customFormat="1" ht="17.399999999999999" x14ac:dyDescent="0.35">
      <c r="A32" s="724" t="s">
        <v>113</v>
      </c>
      <c r="B32" s="522">
        <v>2011</v>
      </c>
      <c r="C32" s="1045" t="s">
        <v>260</v>
      </c>
      <c r="D32" s="1062">
        <v>42</v>
      </c>
      <c r="E32" s="1063">
        <v>1.8707395286462107</v>
      </c>
      <c r="F32" s="1029">
        <v>2</v>
      </c>
      <c r="G32" s="1076"/>
      <c r="H32" s="1049">
        <v>-2</v>
      </c>
      <c r="I32" s="1077">
        <v>4</v>
      </c>
      <c r="J32" s="1051">
        <f t="shared" si="0"/>
        <v>4</v>
      </c>
      <c r="K32" s="1066">
        <f t="shared" si="1"/>
        <v>2</v>
      </c>
      <c r="L32" s="1067">
        <f t="shared" si="2"/>
        <v>0.36</v>
      </c>
      <c r="M32" s="1068">
        <v>0</v>
      </c>
      <c r="N32" s="1069">
        <f t="shared" si="3"/>
        <v>0</v>
      </c>
      <c r="O32" s="1069">
        <f t="shared" si="4"/>
        <v>0</v>
      </c>
      <c r="P32" s="1070">
        <f t="shared" si="5"/>
        <v>0</v>
      </c>
      <c r="Q32" s="1071">
        <f t="shared" si="6"/>
        <v>2.2307395286462106</v>
      </c>
      <c r="R32" s="1072">
        <f t="shared" si="7"/>
        <v>0.35999999999999988</v>
      </c>
      <c r="S32" s="1040">
        <f t="shared" si="8"/>
        <v>37</v>
      </c>
      <c r="T32" s="1073">
        <f t="shared" si="9"/>
        <v>5</v>
      </c>
      <c r="U32" s="1084" t="str">
        <f t="shared" si="10"/>
        <v xml:space="preserve"> </v>
      </c>
      <c r="V32" s="949"/>
      <c r="W32" s="1060"/>
      <c r="X32" s="949"/>
      <c r="Y32" s="949"/>
    </row>
    <row r="33" spans="1:25" s="985" customFormat="1" ht="17.399999999999999" x14ac:dyDescent="0.35">
      <c r="A33" s="724" t="s">
        <v>114</v>
      </c>
      <c r="B33" s="522">
        <v>2009</v>
      </c>
      <c r="C33" s="1045" t="s">
        <v>260</v>
      </c>
      <c r="D33" s="1062">
        <v>37</v>
      </c>
      <c r="E33" s="1063">
        <v>1.9349923585414275</v>
      </c>
      <c r="F33" s="1029">
        <v>3</v>
      </c>
      <c r="G33" s="1076"/>
      <c r="H33" s="1049">
        <v>-3</v>
      </c>
      <c r="I33" s="1077">
        <v>5</v>
      </c>
      <c r="J33" s="1051">
        <f t="shared" si="0"/>
        <v>5</v>
      </c>
      <c r="K33" s="1066">
        <f t="shared" si="1"/>
        <v>2</v>
      </c>
      <c r="L33" s="1067">
        <f t="shared" si="2"/>
        <v>0.36</v>
      </c>
      <c r="M33" s="1068">
        <v>7</v>
      </c>
      <c r="N33" s="1069">
        <f t="shared" si="3"/>
        <v>7</v>
      </c>
      <c r="O33" s="1069">
        <f t="shared" si="4"/>
        <v>0</v>
      </c>
      <c r="P33" s="1070">
        <f t="shared" si="5"/>
        <v>0</v>
      </c>
      <c r="Q33" s="1071">
        <f t="shared" si="6"/>
        <v>2.2949923585414274</v>
      </c>
      <c r="R33" s="1072">
        <f t="shared" si="7"/>
        <v>0.35999999999999988</v>
      </c>
      <c r="S33" s="1040">
        <f t="shared" si="8"/>
        <v>34</v>
      </c>
      <c r="T33" s="1073">
        <f t="shared" si="9"/>
        <v>3</v>
      </c>
      <c r="U33" s="1084" t="str">
        <f t="shared" si="10"/>
        <v xml:space="preserve"> </v>
      </c>
      <c r="V33" s="949"/>
      <c r="W33" s="1075"/>
      <c r="X33" s="949"/>
      <c r="Y33" s="949"/>
    </row>
    <row r="34" spans="1:25" s="985" customFormat="1" ht="17.399999999999999" x14ac:dyDescent="0.35">
      <c r="A34" s="724" t="s">
        <v>121</v>
      </c>
      <c r="B34" s="522"/>
      <c r="C34" s="1061" t="s">
        <v>271</v>
      </c>
      <c r="D34" s="1062">
        <v>47</v>
      </c>
      <c r="E34" s="1063">
        <v>1.7056543316972328</v>
      </c>
      <c r="F34" s="1064">
        <v>2</v>
      </c>
      <c r="G34" s="1076"/>
      <c r="H34" s="1049">
        <v>-4</v>
      </c>
      <c r="I34" s="1065">
        <v>2</v>
      </c>
      <c r="J34" s="1051">
        <f t="shared" si="0"/>
        <v>2</v>
      </c>
      <c r="K34" s="1066">
        <f t="shared" si="1"/>
        <v>0</v>
      </c>
      <c r="L34" s="1067">
        <f t="shared" si="2"/>
        <v>0</v>
      </c>
      <c r="M34" s="1068">
        <v>4</v>
      </c>
      <c r="N34" s="1069">
        <f t="shared" si="3"/>
        <v>4</v>
      </c>
      <c r="O34" s="1069">
        <f t="shared" si="4"/>
        <v>0</v>
      </c>
      <c r="P34" s="1070">
        <f t="shared" si="5"/>
        <v>0</v>
      </c>
      <c r="Q34" s="1071">
        <f t="shared" si="6"/>
        <v>1.7056543316972328</v>
      </c>
      <c r="R34" s="1072">
        <f t="shared" si="7"/>
        <v>0</v>
      </c>
      <c r="S34" s="1040">
        <f t="shared" si="8"/>
        <v>51</v>
      </c>
      <c r="T34" s="1073">
        <f t="shared" si="9"/>
        <v>-4</v>
      </c>
      <c r="U34" s="1084" t="str">
        <f t="shared" si="10"/>
        <v xml:space="preserve"> </v>
      </c>
      <c r="V34" s="949"/>
      <c r="W34" s="1060"/>
      <c r="X34" s="949"/>
      <c r="Y34" s="949"/>
    </row>
    <row r="35" spans="1:25" s="985" customFormat="1" ht="17.399999999999999" x14ac:dyDescent="0.35">
      <c r="A35" s="724" t="s">
        <v>308</v>
      </c>
      <c r="B35" s="522">
        <v>2015</v>
      </c>
      <c r="C35" s="1045" t="s">
        <v>260</v>
      </c>
      <c r="D35" s="1062">
        <v>32</v>
      </c>
      <c r="E35" s="1063">
        <v>2.1858670411734251</v>
      </c>
      <c r="F35" s="1029">
        <v>2</v>
      </c>
      <c r="G35" s="1080"/>
      <c r="H35" s="1049">
        <v>-3</v>
      </c>
      <c r="I35" s="1077">
        <v>4</v>
      </c>
      <c r="J35" s="1051">
        <f t="shared" si="0"/>
        <v>4</v>
      </c>
      <c r="K35" s="1066">
        <f t="shared" si="1"/>
        <v>2</v>
      </c>
      <c r="L35" s="1067">
        <f t="shared" si="2"/>
        <v>0.36</v>
      </c>
      <c r="M35" s="1068">
        <v>0</v>
      </c>
      <c r="N35" s="1069">
        <f t="shared" si="3"/>
        <v>0</v>
      </c>
      <c r="O35" s="1069">
        <f t="shared" si="4"/>
        <v>0</v>
      </c>
      <c r="P35" s="1070">
        <f t="shared" si="5"/>
        <v>0</v>
      </c>
      <c r="Q35" s="1071">
        <f t="shared" si="6"/>
        <v>2.545867041173425</v>
      </c>
      <c r="R35" s="1072">
        <f t="shared" si="7"/>
        <v>0.35999999999999988</v>
      </c>
      <c r="S35" s="1040">
        <f t="shared" si="8"/>
        <v>26</v>
      </c>
      <c r="T35" s="1073">
        <f t="shared" si="9"/>
        <v>6</v>
      </c>
      <c r="U35" s="1084" t="str">
        <f t="shared" si="10"/>
        <v xml:space="preserve"> </v>
      </c>
      <c r="V35" s="949"/>
      <c r="W35" s="1060"/>
      <c r="X35" s="949"/>
      <c r="Y35" s="949"/>
    </row>
    <row r="36" spans="1:25" s="985" customFormat="1" ht="17.399999999999999" x14ac:dyDescent="0.35">
      <c r="A36" s="724" t="s">
        <v>290</v>
      </c>
      <c r="B36" s="522"/>
      <c r="C36" s="1061" t="s">
        <v>271</v>
      </c>
      <c r="D36" s="1062">
        <v>36</v>
      </c>
      <c r="E36" s="1063">
        <v>2.0338433919609273</v>
      </c>
      <c r="F36" s="1064">
        <v>2</v>
      </c>
      <c r="G36" s="1076"/>
      <c r="H36" s="1049">
        <v>-4</v>
      </c>
      <c r="I36" s="1065">
        <v>2</v>
      </c>
      <c r="J36" s="1051">
        <f t="shared" si="0"/>
        <v>2</v>
      </c>
      <c r="K36" s="1066">
        <f t="shared" si="1"/>
        <v>0</v>
      </c>
      <c r="L36" s="1067">
        <f t="shared" si="2"/>
        <v>0</v>
      </c>
      <c r="M36" s="1068">
        <v>4</v>
      </c>
      <c r="N36" s="1069">
        <f t="shared" si="3"/>
        <v>4</v>
      </c>
      <c r="O36" s="1069">
        <f t="shared" si="4"/>
        <v>0</v>
      </c>
      <c r="P36" s="1070">
        <f t="shared" si="5"/>
        <v>0</v>
      </c>
      <c r="Q36" s="1071">
        <f t="shared" si="6"/>
        <v>2.0338433919609273</v>
      </c>
      <c r="R36" s="1072">
        <f t="shared" si="7"/>
        <v>0</v>
      </c>
      <c r="S36" s="1040">
        <f t="shared" si="8"/>
        <v>41</v>
      </c>
      <c r="T36" s="1073">
        <f t="shared" si="9"/>
        <v>-5</v>
      </c>
      <c r="U36" s="1084" t="str">
        <f t="shared" si="10"/>
        <v xml:space="preserve"> </v>
      </c>
      <c r="V36" s="949"/>
      <c r="W36" s="1060"/>
      <c r="X36" s="949"/>
      <c r="Y36" s="949"/>
    </row>
    <row r="37" spans="1:25" s="985" customFormat="1" ht="17.399999999999999" x14ac:dyDescent="0.35">
      <c r="A37" s="724" t="s">
        <v>442</v>
      </c>
      <c r="B37" s="522"/>
      <c r="C37" s="1061"/>
      <c r="D37" s="1062"/>
      <c r="E37" s="1063"/>
      <c r="F37" s="1064"/>
      <c r="G37" s="1076"/>
      <c r="H37" s="1049"/>
      <c r="I37" s="1065"/>
      <c r="J37" s="1051"/>
      <c r="K37" s="1066"/>
      <c r="L37" s="1067"/>
      <c r="M37" s="1068"/>
      <c r="N37" s="1069"/>
      <c r="O37" s="1069"/>
      <c r="P37" s="1070"/>
      <c r="Q37" s="1071"/>
      <c r="R37" s="1072"/>
      <c r="S37" s="1040"/>
      <c r="T37" s="1073"/>
      <c r="U37" s="1084"/>
      <c r="V37" s="949"/>
      <c r="W37" s="1060"/>
      <c r="X37" s="949"/>
      <c r="Y37" s="949"/>
    </row>
    <row r="38" spans="1:25" s="985" customFormat="1" ht="17.399999999999999" x14ac:dyDescent="0.35">
      <c r="A38" s="725" t="s">
        <v>98</v>
      </c>
      <c r="B38" s="522">
        <v>2017</v>
      </c>
      <c r="C38" s="1045" t="s">
        <v>260</v>
      </c>
      <c r="D38" s="1062">
        <v>7</v>
      </c>
      <c r="E38" s="1063">
        <v>3.3623912080146132</v>
      </c>
      <c r="F38" s="1029">
        <v>0</v>
      </c>
      <c r="G38" s="1080"/>
      <c r="H38" s="1049">
        <v>-2</v>
      </c>
      <c r="I38" s="1077">
        <v>3</v>
      </c>
      <c r="J38" s="1051">
        <f t="shared" si="0"/>
        <v>3</v>
      </c>
      <c r="K38" s="1066">
        <f t="shared" si="1"/>
        <v>3</v>
      </c>
      <c r="L38" s="1067">
        <f t="shared" si="2"/>
        <v>0.54</v>
      </c>
      <c r="M38" s="1068">
        <v>4</v>
      </c>
      <c r="N38" s="1069">
        <f t="shared" si="3"/>
        <v>4</v>
      </c>
      <c r="O38" s="1069">
        <f t="shared" si="4"/>
        <v>0</v>
      </c>
      <c r="P38" s="1070">
        <f t="shared" si="5"/>
        <v>0</v>
      </c>
      <c r="Q38" s="1071">
        <f t="shared" si="6"/>
        <v>3.9023912080146133</v>
      </c>
      <c r="R38" s="1072">
        <f t="shared" si="7"/>
        <v>0.54</v>
      </c>
      <c r="S38" s="1040">
        <f t="shared" si="8"/>
        <v>3</v>
      </c>
      <c r="T38" s="1073">
        <f t="shared" si="9"/>
        <v>4</v>
      </c>
      <c r="U38" s="1084" t="str">
        <f t="shared" si="10"/>
        <v xml:space="preserve"> </v>
      </c>
      <c r="V38" s="1085"/>
      <c r="W38" s="1060"/>
      <c r="X38" s="949"/>
      <c r="Y38" s="949"/>
    </row>
    <row r="39" spans="1:25" s="985" customFormat="1" ht="17.399999999999999" x14ac:dyDescent="0.35">
      <c r="A39" s="726" t="s">
        <v>110</v>
      </c>
      <c r="B39" s="522">
        <v>2019</v>
      </c>
      <c r="C39" s="1045" t="s">
        <v>260</v>
      </c>
      <c r="D39" s="1062">
        <v>40</v>
      </c>
      <c r="E39" s="1063">
        <v>1.8884478153666087</v>
      </c>
      <c r="F39" s="1029">
        <v>-2</v>
      </c>
      <c r="G39" s="1076"/>
      <c r="H39" s="1049">
        <v>-2</v>
      </c>
      <c r="I39" s="1077">
        <v>0</v>
      </c>
      <c r="J39" s="1051">
        <f t="shared" si="0"/>
        <v>0</v>
      </c>
      <c r="K39" s="1066">
        <f t="shared" si="1"/>
        <v>2</v>
      </c>
      <c r="L39" s="1067">
        <f t="shared" si="2"/>
        <v>0.36</v>
      </c>
      <c r="M39" s="1068">
        <v>0</v>
      </c>
      <c r="N39" s="1069">
        <f t="shared" si="3"/>
        <v>0</v>
      </c>
      <c r="O39" s="1069">
        <f t="shared" si="4"/>
        <v>0</v>
      </c>
      <c r="P39" s="1070">
        <f t="shared" si="5"/>
        <v>0</v>
      </c>
      <c r="Q39" s="1071">
        <f t="shared" si="6"/>
        <v>2.2484478153666085</v>
      </c>
      <c r="R39" s="1072">
        <f t="shared" si="7"/>
        <v>0.35999999999999988</v>
      </c>
      <c r="S39" s="1040">
        <f t="shared" si="8"/>
        <v>35</v>
      </c>
      <c r="T39" s="1073">
        <f t="shared" si="9"/>
        <v>5</v>
      </c>
      <c r="U39" s="1084" t="str">
        <f t="shared" si="10"/>
        <v xml:space="preserve"> </v>
      </c>
      <c r="V39" s="1085"/>
      <c r="W39" s="1060" t="s">
        <v>275</v>
      </c>
      <c r="X39" s="949"/>
      <c r="Y39" s="949"/>
    </row>
    <row r="40" spans="1:25" s="985" customFormat="1" ht="17.399999999999999" x14ac:dyDescent="0.35">
      <c r="A40" s="725" t="s">
        <v>95</v>
      </c>
      <c r="B40" s="522">
        <v>2013</v>
      </c>
      <c r="C40" s="1045" t="s">
        <v>260</v>
      </c>
      <c r="D40" s="1062">
        <v>38</v>
      </c>
      <c r="E40" s="1063">
        <v>1.9326194897272897</v>
      </c>
      <c r="F40" s="1029">
        <v>1</v>
      </c>
      <c r="G40" s="1076"/>
      <c r="H40" s="1049">
        <v>-2</v>
      </c>
      <c r="I40" s="1077">
        <v>4</v>
      </c>
      <c r="J40" s="1051">
        <f t="shared" si="0"/>
        <v>4</v>
      </c>
      <c r="K40" s="1066">
        <f t="shared" si="1"/>
        <v>3</v>
      </c>
      <c r="L40" s="1067">
        <f t="shared" si="2"/>
        <v>0.54</v>
      </c>
      <c r="M40" s="1068">
        <v>2</v>
      </c>
      <c r="N40" s="1069">
        <f t="shared" si="3"/>
        <v>2</v>
      </c>
      <c r="O40" s="1069">
        <f t="shared" si="4"/>
        <v>0</v>
      </c>
      <c r="P40" s="1070">
        <f t="shared" si="5"/>
        <v>0</v>
      </c>
      <c r="Q40" s="1071">
        <f t="shared" si="6"/>
        <v>2.4726194897272897</v>
      </c>
      <c r="R40" s="1072">
        <f t="shared" si="7"/>
        <v>0.54</v>
      </c>
      <c r="S40" s="1040">
        <f t="shared" si="8"/>
        <v>29</v>
      </c>
      <c r="T40" s="1073">
        <f t="shared" si="9"/>
        <v>9</v>
      </c>
      <c r="U40" s="1084" t="str">
        <f t="shared" si="10"/>
        <v xml:space="preserve"> </v>
      </c>
      <c r="V40" s="949"/>
      <c r="W40" s="1060"/>
      <c r="X40" s="949"/>
      <c r="Y40" s="949"/>
    </row>
    <row r="41" spans="1:25" s="985" customFormat="1" ht="17.399999999999999" x14ac:dyDescent="0.35">
      <c r="A41" s="724" t="s">
        <v>122</v>
      </c>
      <c r="B41" s="522"/>
      <c r="C41" s="1061" t="s">
        <v>271</v>
      </c>
      <c r="D41" s="1062">
        <v>34</v>
      </c>
      <c r="E41" s="1063">
        <v>2.0776862878154225</v>
      </c>
      <c r="F41" s="1064">
        <v>3</v>
      </c>
      <c r="G41" s="1076"/>
      <c r="H41" s="1049">
        <v>-3</v>
      </c>
      <c r="I41" s="1065">
        <v>3</v>
      </c>
      <c r="J41" s="1051">
        <f t="shared" si="0"/>
        <v>3</v>
      </c>
      <c r="K41" s="1066">
        <f t="shared" si="1"/>
        <v>0</v>
      </c>
      <c r="L41" s="1067">
        <f t="shared" si="2"/>
        <v>0</v>
      </c>
      <c r="M41" s="1068">
        <v>3</v>
      </c>
      <c r="N41" s="1069">
        <f t="shared" si="3"/>
        <v>3</v>
      </c>
      <c r="O41" s="1069">
        <f t="shared" si="4"/>
        <v>0</v>
      </c>
      <c r="P41" s="1070">
        <f t="shared" si="5"/>
        <v>0</v>
      </c>
      <c r="Q41" s="1071">
        <f t="shared" si="6"/>
        <v>2.0776862878154225</v>
      </c>
      <c r="R41" s="1072">
        <f t="shared" si="7"/>
        <v>0</v>
      </c>
      <c r="S41" s="1040">
        <f t="shared" si="8"/>
        <v>39</v>
      </c>
      <c r="T41" s="1073">
        <f t="shared" si="9"/>
        <v>-5</v>
      </c>
      <c r="U41" s="1084" t="str">
        <f t="shared" si="10"/>
        <v xml:space="preserve"> </v>
      </c>
      <c r="V41" s="949"/>
      <c r="W41" s="1060"/>
      <c r="X41" s="949"/>
      <c r="Y41" s="949"/>
    </row>
    <row r="42" spans="1:25" s="985" customFormat="1" ht="17.399999999999999" x14ac:dyDescent="0.35">
      <c r="A42" s="725" t="s">
        <v>103</v>
      </c>
      <c r="B42" s="522"/>
      <c r="C42" s="1061"/>
      <c r="D42" s="1062">
        <v>9</v>
      </c>
      <c r="E42" s="1063">
        <v>3.2262055182366689</v>
      </c>
      <c r="F42" s="1064">
        <v>5</v>
      </c>
      <c r="G42" s="1076"/>
      <c r="H42" s="1049">
        <v>-1</v>
      </c>
      <c r="I42" s="1065">
        <v>5</v>
      </c>
      <c r="J42" s="1051">
        <f t="shared" ref="J42:J72" si="11">IF(G42="X",-2,I42)</f>
        <v>5</v>
      </c>
      <c r="K42" s="1066">
        <f t="shared" ref="K42:K72" si="12">J42-F42</f>
        <v>0</v>
      </c>
      <c r="L42" s="1067">
        <f t="shared" ref="L42:L72" si="13">K42*L$6</f>
        <v>0</v>
      </c>
      <c r="M42" s="1068">
        <v>3</v>
      </c>
      <c r="N42" s="1069">
        <f t="shared" ref="N42:N72" si="14">IF(G42="X",0,M42)</f>
        <v>3</v>
      </c>
      <c r="O42" s="1069">
        <f t="shared" ref="O42:O72" si="15">IF(G42="X",N42-M42,0)</f>
        <v>0</v>
      </c>
      <c r="P42" s="1070">
        <f t="shared" ref="P42:P72" si="16">O42*P$6</f>
        <v>0</v>
      </c>
      <c r="Q42" s="1071">
        <f t="shared" ref="Q42:Q72" si="17">E42+L42+P42</f>
        <v>3.2262055182366689</v>
      </c>
      <c r="R42" s="1072">
        <f t="shared" ref="R42:R72" si="18">Q42-E42</f>
        <v>0</v>
      </c>
      <c r="S42" s="1040">
        <f t="shared" ref="S42:S72" si="19">RANK(Q42,Q$8:Q$72)</f>
        <v>6</v>
      </c>
      <c r="T42" s="1073">
        <f t="shared" ref="T42:T72" si="20">D42-S42</f>
        <v>3</v>
      </c>
      <c r="U42" s="1084" t="str">
        <f t="shared" ref="U42:U72" si="21">IF(G42="X",AB$1," ")</f>
        <v xml:space="preserve"> </v>
      </c>
      <c r="V42" s="1085"/>
      <c r="W42" s="1060" t="s">
        <v>275</v>
      </c>
      <c r="X42" s="949"/>
      <c r="Y42" s="949"/>
    </row>
    <row r="43" spans="1:25" s="985" customFormat="1" ht="17.399999999999999" x14ac:dyDescent="0.35">
      <c r="A43" s="725" t="s">
        <v>309</v>
      </c>
      <c r="B43" s="522">
        <v>2017</v>
      </c>
      <c r="C43" s="1045" t="s">
        <v>260</v>
      </c>
      <c r="D43" s="1062">
        <v>54</v>
      </c>
      <c r="E43" s="1063">
        <v>1.2869806207495729</v>
      </c>
      <c r="F43" s="1029">
        <v>-1</v>
      </c>
      <c r="G43" s="1076"/>
      <c r="H43" s="1049">
        <v>-3</v>
      </c>
      <c r="I43" s="1077">
        <v>-1</v>
      </c>
      <c r="J43" s="1051">
        <f t="shared" si="11"/>
        <v>-1</v>
      </c>
      <c r="K43" s="1066">
        <f t="shared" si="12"/>
        <v>0</v>
      </c>
      <c r="L43" s="1067">
        <f t="shared" si="13"/>
        <v>0</v>
      </c>
      <c r="M43" s="1068">
        <v>0</v>
      </c>
      <c r="N43" s="1069">
        <f t="shared" si="14"/>
        <v>0</v>
      </c>
      <c r="O43" s="1069">
        <f t="shared" si="15"/>
        <v>0</v>
      </c>
      <c r="P43" s="1070">
        <f t="shared" si="16"/>
        <v>0</v>
      </c>
      <c r="Q43" s="1071">
        <f t="shared" si="17"/>
        <v>1.2869806207495729</v>
      </c>
      <c r="R43" s="1072">
        <f t="shared" si="18"/>
        <v>0</v>
      </c>
      <c r="S43" s="1040">
        <f t="shared" si="19"/>
        <v>55</v>
      </c>
      <c r="T43" s="1073">
        <f t="shared" si="20"/>
        <v>-1</v>
      </c>
      <c r="U43" s="1084" t="str">
        <f t="shared" si="21"/>
        <v xml:space="preserve"> </v>
      </c>
      <c r="V43" s="949"/>
      <c r="W43" s="1060"/>
      <c r="X43" s="949"/>
      <c r="Y43" s="949"/>
    </row>
    <row r="44" spans="1:25" s="985" customFormat="1" ht="17.399999999999999" x14ac:dyDescent="0.35">
      <c r="A44" s="724" t="s">
        <v>123</v>
      </c>
      <c r="B44" s="522"/>
      <c r="C44" s="1061" t="s">
        <v>271</v>
      </c>
      <c r="D44" s="1062">
        <v>20</v>
      </c>
      <c r="E44" s="1063">
        <v>2.5636362160197561</v>
      </c>
      <c r="F44" s="1064">
        <v>4</v>
      </c>
      <c r="G44" s="1076"/>
      <c r="H44" s="1049">
        <v>-2</v>
      </c>
      <c r="I44" s="1065">
        <v>4</v>
      </c>
      <c r="J44" s="1051">
        <f t="shared" si="11"/>
        <v>4</v>
      </c>
      <c r="K44" s="1066">
        <f t="shared" si="12"/>
        <v>0</v>
      </c>
      <c r="L44" s="1067">
        <f t="shared" si="13"/>
        <v>0</v>
      </c>
      <c r="M44" s="1068">
        <v>0</v>
      </c>
      <c r="N44" s="1069">
        <f t="shared" si="14"/>
        <v>0</v>
      </c>
      <c r="O44" s="1069">
        <f t="shared" si="15"/>
        <v>0</v>
      </c>
      <c r="P44" s="1070">
        <f t="shared" si="16"/>
        <v>0</v>
      </c>
      <c r="Q44" s="1071">
        <f t="shared" si="17"/>
        <v>2.5636362160197561</v>
      </c>
      <c r="R44" s="1072">
        <f t="shared" si="18"/>
        <v>0</v>
      </c>
      <c r="S44" s="1040">
        <f t="shared" si="19"/>
        <v>25</v>
      </c>
      <c r="T44" s="1073">
        <f t="shared" si="20"/>
        <v>-5</v>
      </c>
      <c r="U44" s="1084" t="str">
        <f t="shared" si="21"/>
        <v xml:space="preserve"> </v>
      </c>
      <c r="V44" s="1085"/>
      <c r="W44" s="1060" t="s">
        <v>276</v>
      </c>
      <c r="X44" s="949"/>
      <c r="Y44" s="949"/>
    </row>
    <row r="45" spans="1:25" s="985" customFormat="1" ht="17.399999999999999" x14ac:dyDescent="0.35">
      <c r="A45" s="724" t="s">
        <v>294</v>
      </c>
      <c r="B45" s="522">
        <v>2011</v>
      </c>
      <c r="C45" s="1061"/>
      <c r="D45" s="1062">
        <v>14</v>
      </c>
      <c r="E45" s="1063">
        <v>2.8374244237091757</v>
      </c>
      <c r="F45" s="1029">
        <v>4</v>
      </c>
      <c r="G45" s="1076"/>
      <c r="H45" s="1049">
        <v>-2</v>
      </c>
      <c r="I45" s="1077">
        <v>6</v>
      </c>
      <c r="J45" s="1051">
        <f t="shared" si="11"/>
        <v>6</v>
      </c>
      <c r="K45" s="1066">
        <f t="shared" si="12"/>
        <v>2</v>
      </c>
      <c r="L45" s="1067">
        <f t="shared" si="13"/>
        <v>0.36</v>
      </c>
      <c r="M45" s="1068">
        <v>2</v>
      </c>
      <c r="N45" s="1069">
        <f t="shared" si="14"/>
        <v>2</v>
      </c>
      <c r="O45" s="1069">
        <f t="shared" si="15"/>
        <v>0</v>
      </c>
      <c r="P45" s="1070">
        <f t="shared" si="16"/>
        <v>0</v>
      </c>
      <c r="Q45" s="1071">
        <f t="shared" si="17"/>
        <v>3.1974244237091756</v>
      </c>
      <c r="R45" s="1072">
        <f t="shared" si="18"/>
        <v>0.35999999999999988</v>
      </c>
      <c r="S45" s="1040">
        <f t="shared" si="19"/>
        <v>7</v>
      </c>
      <c r="T45" s="1073">
        <f t="shared" si="20"/>
        <v>7</v>
      </c>
      <c r="U45" s="1084" t="str">
        <f t="shared" si="21"/>
        <v xml:space="preserve"> </v>
      </c>
      <c r="V45" s="1085"/>
      <c r="W45" s="1060"/>
      <c r="X45" s="949"/>
      <c r="Y45" s="949"/>
    </row>
    <row r="46" spans="1:25" s="985" customFormat="1" ht="17.399999999999999" x14ac:dyDescent="0.35">
      <c r="A46" s="725" t="s">
        <v>7</v>
      </c>
      <c r="B46" s="522">
        <v>2019</v>
      </c>
      <c r="C46" s="1079" t="s">
        <v>261</v>
      </c>
      <c r="D46" s="1062">
        <v>12</v>
      </c>
      <c r="E46" s="1063">
        <v>2.9309772609754132</v>
      </c>
      <c r="F46" s="1029">
        <v>-3</v>
      </c>
      <c r="G46" s="1080"/>
      <c r="H46" s="1049">
        <v>-2</v>
      </c>
      <c r="I46" s="1077">
        <v>2</v>
      </c>
      <c r="J46" s="1051">
        <f t="shared" si="11"/>
        <v>2</v>
      </c>
      <c r="K46" s="1066">
        <f t="shared" si="12"/>
        <v>5</v>
      </c>
      <c r="L46" s="1067">
        <f t="shared" si="13"/>
        <v>0.89999999999999991</v>
      </c>
      <c r="M46" s="1068">
        <v>3</v>
      </c>
      <c r="N46" s="1069">
        <f t="shared" si="14"/>
        <v>3</v>
      </c>
      <c r="O46" s="1069">
        <f t="shared" si="15"/>
        <v>0</v>
      </c>
      <c r="P46" s="1070">
        <f t="shared" si="16"/>
        <v>0</v>
      </c>
      <c r="Q46" s="1071">
        <f t="shared" si="17"/>
        <v>3.8309772609754131</v>
      </c>
      <c r="R46" s="1072">
        <f t="shared" si="18"/>
        <v>0.89999999999999991</v>
      </c>
      <c r="S46" s="1040">
        <f t="shared" si="19"/>
        <v>4</v>
      </c>
      <c r="T46" s="1073">
        <f t="shared" si="20"/>
        <v>8</v>
      </c>
      <c r="U46" s="1084" t="str">
        <f t="shared" si="21"/>
        <v xml:space="preserve"> </v>
      </c>
      <c r="V46" s="1085"/>
      <c r="W46" s="1075" t="s">
        <v>275</v>
      </c>
      <c r="X46" s="949"/>
      <c r="Y46" s="949"/>
    </row>
    <row r="47" spans="1:25" s="985" customFormat="1" ht="17.399999999999999" x14ac:dyDescent="0.35">
      <c r="A47" s="724" t="s">
        <v>124</v>
      </c>
      <c r="B47" s="522"/>
      <c r="C47" s="1061" t="s">
        <v>271</v>
      </c>
      <c r="D47" s="1062">
        <v>6</v>
      </c>
      <c r="E47" s="1063">
        <v>3.6951036446579986</v>
      </c>
      <c r="F47" s="1064">
        <v>4</v>
      </c>
      <c r="G47" s="1076"/>
      <c r="H47" s="1049">
        <v>-3</v>
      </c>
      <c r="I47" s="1065">
        <v>4</v>
      </c>
      <c r="J47" s="1051">
        <f t="shared" si="11"/>
        <v>4</v>
      </c>
      <c r="K47" s="1066">
        <f t="shared" si="12"/>
        <v>0</v>
      </c>
      <c r="L47" s="1067">
        <f t="shared" si="13"/>
        <v>0</v>
      </c>
      <c r="M47" s="1068">
        <v>5</v>
      </c>
      <c r="N47" s="1069">
        <f t="shared" si="14"/>
        <v>5</v>
      </c>
      <c r="O47" s="1069">
        <f t="shared" si="15"/>
        <v>0</v>
      </c>
      <c r="P47" s="1070">
        <f t="shared" si="16"/>
        <v>0</v>
      </c>
      <c r="Q47" s="1071">
        <f t="shared" si="17"/>
        <v>3.6951036446579986</v>
      </c>
      <c r="R47" s="1072">
        <f t="shared" si="18"/>
        <v>0</v>
      </c>
      <c r="S47" s="1040">
        <f t="shared" si="19"/>
        <v>5</v>
      </c>
      <c r="T47" s="1073">
        <f t="shared" si="20"/>
        <v>1</v>
      </c>
      <c r="U47" s="1084" t="str">
        <f t="shared" si="21"/>
        <v xml:space="preserve"> </v>
      </c>
      <c r="V47" s="1085"/>
      <c r="W47" s="1082" t="s">
        <v>273</v>
      </c>
      <c r="X47" s="949"/>
      <c r="Y47" s="949"/>
    </row>
    <row r="48" spans="1:25" s="985" customFormat="1" ht="17.399999999999999" x14ac:dyDescent="0.35">
      <c r="A48" s="724" t="s">
        <v>125</v>
      </c>
      <c r="B48" s="522"/>
      <c r="C48" s="1061" t="s">
        <v>271</v>
      </c>
      <c r="D48" s="1062">
        <v>13</v>
      </c>
      <c r="E48" s="1063">
        <v>2.8605165343036627</v>
      </c>
      <c r="F48" s="1064">
        <v>3</v>
      </c>
      <c r="G48" s="1076"/>
      <c r="H48" s="1049">
        <v>-4</v>
      </c>
      <c r="I48" s="1065">
        <v>3</v>
      </c>
      <c r="J48" s="1051">
        <f t="shared" si="11"/>
        <v>3</v>
      </c>
      <c r="K48" s="1066">
        <f t="shared" si="12"/>
        <v>0</v>
      </c>
      <c r="L48" s="1067">
        <f t="shared" si="13"/>
        <v>0</v>
      </c>
      <c r="M48" s="1068">
        <v>5</v>
      </c>
      <c r="N48" s="1069">
        <f t="shared" si="14"/>
        <v>5</v>
      </c>
      <c r="O48" s="1069">
        <f t="shared" si="15"/>
        <v>0</v>
      </c>
      <c r="P48" s="1070">
        <f t="shared" si="16"/>
        <v>0</v>
      </c>
      <c r="Q48" s="1071">
        <f t="shared" si="17"/>
        <v>2.8605165343036627</v>
      </c>
      <c r="R48" s="1072">
        <f t="shared" si="18"/>
        <v>0</v>
      </c>
      <c r="S48" s="1040">
        <f t="shared" si="19"/>
        <v>17</v>
      </c>
      <c r="T48" s="1073">
        <f t="shared" si="20"/>
        <v>-4</v>
      </c>
      <c r="U48" s="1084" t="str">
        <f t="shared" si="21"/>
        <v xml:space="preserve"> </v>
      </c>
      <c r="V48" s="1085"/>
      <c r="W48" s="1060"/>
      <c r="X48" s="949"/>
      <c r="Y48" s="949"/>
    </row>
    <row r="49" spans="1:25" s="985" customFormat="1" ht="17.399999999999999" x14ac:dyDescent="0.35">
      <c r="A49" s="724" t="s">
        <v>447</v>
      </c>
      <c r="B49" s="522"/>
      <c r="C49" s="1061"/>
      <c r="D49" s="1062"/>
      <c r="E49" s="1063"/>
      <c r="F49" s="1064"/>
      <c r="G49" s="1076"/>
      <c r="H49" s="1049"/>
      <c r="I49" s="1065"/>
      <c r="J49" s="1051"/>
      <c r="K49" s="1066"/>
      <c r="L49" s="1067"/>
      <c r="M49" s="1068"/>
      <c r="N49" s="1069"/>
      <c r="O49" s="1069"/>
      <c r="P49" s="1070"/>
      <c r="Q49" s="1071"/>
      <c r="R49" s="1072"/>
      <c r="S49" s="1040"/>
      <c r="T49" s="1073"/>
      <c r="U49" s="1084"/>
      <c r="V49" s="1085"/>
      <c r="W49" s="1060"/>
      <c r="X49" s="949"/>
      <c r="Y49" s="949"/>
    </row>
    <row r="50" spans="1:25" s="985" customFormat="1" ht="17.399999999999999" x14ac:dyDescent="0.35">
      <c r="A50" s="724" t="s">
        <v>11</v>
      </c>
      <c r="B50" s="522">
        <v>2013</v>
      </c>
      <c r="C50" s="1081" t="s">
        <v>270</v>
      </c>
      <c r="D50" s="1062">
        <v>24</v>
      </c>
      <c r="E50" s="1063">
        <v>2.4680391383659335</v>
      </c>
      <c r="F50" s="1029">
        <v>3</v>
      </c>
      <c r="G50" s="1076"/>
      <c r="H50" s="1049">
        <v>-2</v>
      </c>
      <c r="I50" s="1077">
        <v>6</v>
      </c>
      <c r="J50" s="1051">
        <f t="shared" si="11"/>
        <v>6</v>
      </c>
      <c r="K50" s="1066">
        <f t="shared" si="12"/>
        <v>3</v>
      </c>
      <c r="L50" s="1067">
        <f t="shared" si="13"/>
        <v>0.54</v>
      </c>
      <c r="M50" s="1068">
        <v>3</v>
      </c>
      <c r="N50" s="1069">
        <f t="shared" si="14"/>
        <v>3</v>
      </c>
      <c r="O50" s="1069">
        <f t="shared" si="15"/>
        <v>0</v>
      </c>
      <c r="P50" s="1070">
        <f t="shared" si="16"/>
        <v>0</v>
      </c>
      <c r="Q50" s="1071">
        <f t="shared" si="17"/>
        <v>3.0080391383659335</v>
      </c>
      <c r="R50" s="1072">
        <f t="shared" si="18"/>
        <v>0.54</v>
      </c>
      <c r="S50" s="1040">
        <f t="shared" si="19"/>
        <v>12</v>
      </c>
      <c r="T50" s="1073">
        <f t="shared" si="20"/>
        <v>12</v>
      </c>
      <c r="U50" s="1084" t="str">
        <f t="shared" si="21"/>
        <v xml:space="preserve"> </v>
      </c>
      <c r="V50" s="949"/>
      <c r="W50" s="1060"/>
      <c r="X50" s="949"/>
      <c r="Y50" s="949"/>
    </row>
    <row r="51" spans="1:25" s="985" customFormat="1" ht="17.399999999999999" x14ac:dyDescent="0.35">
      <c r="A51" s="724" t="s">
        <v>20</v>
      </c>
      <c r="B51" s="522"/>
      <c r="C51" s="1061" t="s">
        <v>271</v>
      </c>
      <c r="D51" s="1062">
        <v>46</v>
      </c>
      <c r="E51" s="1063">
        <v>1.7161104807076528</v>
      </c>
      <c r="F51" s="1064">
        <v>2</v>
      </c>
      <c r="G51" s="1076"/>
      <c r="H51" s="1049">
        <v>-4</v>
      </c>
      <c r="I51" s="1065">
        <v>2</v>
      </c>
      <c r="J51" s="1051">
        <f t="shared" si="11"/>
        <v>2</v>
      </c>
      <c r="K51" s="1066">
        <f t="shared" si="12"/>
        <v>0</v>
      </c>
      <c r="L51" s="1067">
        <f t="shared" si="13"/>
        <v>0</v>
      </c>
      <c r="M51" s="1068">
        <v>0</v>
      </c>
      <c r="N51" s="1069">
        <f t="shared" si="14"/>
        <v>0</v>
      </c>
      <c r="O51" s="1069">
        <f t="shared" si="15"/>
        <v>0</v>
      </c>
      <c r="P51" s="1070">
        <f t="shared" si="16"/>
        <v>0</v>
      </c>
      <c r="Q51" s="1071">
        <f t="shared" si="17"/>
        <v>1.7161104807076528</v>
      </c>
      <c r="R51" s="1072">
        <f t="shared" si="18"/>
        <v>0</v>
      </c>
      <c r="S51" s="1040">
        <f t="shared" si="19"/>
        <v>50</v>
      </c>
      <c r="T51" s="1073">
        <f t="shared" si="20"/>
        <v>-4</v>
      </c>
      <c r="U51" s="1084" t="str">
        <f t="shared" si="21"/>
        <v xml:space="preserve"> </v>
      </c>
      <c r="V51" s="949"/>
      <c r="W51" s="1060"/>
      <c r="X51" s="949"/>
      <c r="Y51" s="949"/>
    </row>
    <row r="52" spans="1:25" s="985" customFormat="1" ht="17.399999999999999" x14ac:dyDescent="0.35">
      <c r="A52" s="724" t="s">
        <v>448</v>
      </c>
      <c r="B52" s="522"/>
      <c r="C52" s="1061"/>
      <c r="D52" s="1062"/>
      <c r="E52" s="1063"/>
      <c r="F52" s="1064"/>
      <c r="G52" s="1076"/>
      <c r="H52" s="1049"/>
      <c r="I52" s="1065"/>
      <c r="J52" s="1051"/>
      <c r="K52" s="1066"/>
      <c r="L52" s="1067"/>
      <c r="M52" s="1068"/>
      <c r="N52" s="1069"/>
      <c r="O52" s="1069"/>
      <c r="P52" s="1070"/>
      <c r="Q52" s="1071"/>
      <c r="R52" s="1072"/>
      <c r="S52" s="1040"/>
      <c r="T52" s="1073"/>
      <c r="U52" s="1084"/>
      <c r="V52" s="949"/>
      <c r="W52" s="1060"/>
      <c r="X52" s="949"/>
      <c r="Y52" s="949"/>
    </row>
    <row r="53" spans="1:25" s="985" customFormat="1" ht="17.399999999999999" x14ac:dyDescent="0.35">
      <c r="A53" s="724" t="s">
        <v>464</v>
      </c>
      <c r="B53" s="522"/>
      <c r="C53" s="1061"/>
      <c r="D53" s="1062"/>
      <c r="E53" s="1063"/>
      <c r="F53" s="1064"/>
      <c r="G53" s="1076"/>
      <c r="H53" s="1049"/>
      <c r="I53" s="1065"/>
      <c r="J53" s="1051"/>
      <c r="K53" s="1066"/>
      <c r="L53" s="1067"/>
      <c r="M53" s="1068"/>
      <c r="N53" s="1069"/>
      <c r="O53" s="1069"/>
      <c r="P53" s="1070"/>
      <c r="Q53" s="1071"/>
      <c r="R53" s="1072"/>
      <c r="S53" s="1040"/>
      <c r="T53" s="1073"/>
      <c r="U53" s="1084"/>
      <c r="V53" s="949"/>
      <c r="W53" s="1060"/>
      <c r="X53" s="949"/>
      <c r="Y53" s="949"/>
    </row>
    <row r="54" spans="1:25" s="985" customFormat="1" ht="17.399999999999999" x14ac:dyDescent="0.35">
      <c r="A54" s="724" t="s">
        <v>421</v>
      </c>
      <c r="B54" s="522">
        <v>2013</v>
      </c>
      <c r="C54" s="1045" t="s">
        <v>260</v>
      </c>
      <c r="D54" s="1062">
        <v>22</v>
      </c>
      <c r="E54" s="1063">
        <v>2.4900946439467013</v>
      </c>
      <c r="F54" s="1029">
        <v>2</v>
      </c>
      <c r="G54" s="1076"/>
      <c r="H54" s="1049">
        <v>-2</v>
      </c>
      <c r="I54" s="1077">
        <v>4</v>
      </c>
      <c r="J54" s="1051">
        <f t="shared" si="11"/>
        <v>4</v>
      </c>
      <c r="K54" s="1066">
        <f t="shared" si="12"/>
        <v>2</v>
      </c>
      <c r="L54" s="1067">
        <f t="shared" si="13"/>
        <v>0.36</v>
      </c>
      <c r="M54" s="1068">
        <v>0</v>
      </c>
      <c r="N54" s="1069">
        <f t="shared" si="14"/>
        <v>0</v>
      </c>
      <c r="O54" s="1069">
        <f t="shared" si="15"/>
        <v>0</v>
      </c>
      <c r="P54" s="1070">
        <f t="shared" si="16"/>
        <v>0</v>
      </c>
      <c r="Q54" s="1071">
        <f t="shared" si="17"/>
        <v>2.8500946439467012</v>
      </c>
      <c r="R54" s="1072">
        <f t="shared" si="18"/>
        <v>0.35999999999999988</v>
      </c>
      <c r="S54" s="1040">
        <f t="shared" si="19"/>
        <v>18</v>
      </c>
      <c r="T54" s="1073">
        <f t="shared" si="20"/>
        <v>4</v>
      </c>
      <c r="U54" s="1084" t="str">
        <f t="shared" si="21"/>
        <v xml:space="preserve"> </v>
      </c>
      <c r="V54" s="949"/>
      <c r="W54" s="1060"/>
      <c r="X54" s="949"/>
      <c r="Y54" s="949"/>
    </row>
    <row r="55" spans="1:25" s="985" customFormat="1" ht="17.399999999999999" x14ac:dyDescent="0.35">
      <c r="A55" s="726" t="s">
        <v>100</v>
      </c>
      <c r="B55" s="522">
        <v>2019</v>
      </c>
      <c r="C55" s="1045" t="s">
        <v>260</v>
      </c>
      <c r="D55" s="1062">
        <v>5</v>
      </c>
      <c r="E55" s="1063">
        <v>3.9034539373498558</v>
      </c>
      <c r="F55" s="1029">
        <v>-2</v>
      </c>
      <c r="G55" s="1076"/>
      <c r="H55" s="1049">
        <v>-2</v>
      </c>
      <c r="I55" s="1077">
        <v>1</v>
      </c>
      <c r="J55" s="1051">
        <f t="shared" si="11"/>
        <v>1</v>
      </c>
      <c r="K55" s="1066">
        <f t="shared" si="12"/>
        <v>3</v>
      </c>
      <c r="L55" s="1067">
        <f t="shared" si="13"/>
        <v>0.54</v>
      </c>
      <c r="M55" s="1068">
        <v>0</v>
      </c>
      <c r="N55" s="1069">
        <f t="shared" si="14"/>
        <v>0</v>
      </c>
      <c r="O55" s="1069">
        <f t="shared" si="15"/>
        <v>0</v>
      </c>
      <c r="P55" s="1070">
        <f t="shared" si="16"/>
        <v>0</v>
      </c>
      <c r="Q55" s="1071">
        <f t="shared" si="17"/>
        <v>4.4434539373498563</v>
      </c>
      <c r="R55" s="1072">
        <f t="shared" si="18"/>
        <v>0.54000000000000048</v>
      </c>
      <c r="S55" s="1040">
        <f t="shared" si="19"/>
        <v>2</v>
      </c>
      <c r="T55" s="1073">
        <f t="shared" si="20"/>
        <v>3</v>
      </c>
      <c r="U55" s="1084" t="str">
        <f t="shared" si="21"/>
        <v xml:space="preserve"> </v>
      </c>
      <c r="V55" s="1085"/>
      <c r="W55" s="1060" t="s">
        <v>275</v>
      </c>
      <c r="X55" s="949"/>
      <c r="Y55" s="949"/>
    </row>
    <row r="56" spans="1:25" s="985" customFormat="1" ht="17.399999999999999" x14ac:dyDescent="0.35">
      <c r="A56" s="724" t="s">
        <v>462</v>
      </c>
      <c r="B56" s="522"/>
      <c r="C56" s="1061" t="s">
        <v>271</v>
      </c>
      <c r="D56" s="1062">
        <v>39</v>
      </c>
      <c r="E56" s="1063">
        <v>1.9275600769567047</v>
      </c>
      <c r="F56" s="1064">
        <v>2</v>
      </c>
      <c r="G56" s="1076"/>
      <c r="H56" s="1049">
        <v>-4</v>
      </c>
      <c r="I56" s="1065">
        <v>2</v>
      </c>
      <c r="J56" s="1051">
        <f t="shared" si="11"/>
        <v>2</v>
      </c>
      <c r="K56" s="1066">
        <f t="shared" si="12"/>
        <v>0</v>
      </c>
      <c r="L56" s="1067">
        <f t="shared" si="13"/>
        <v>0</v>
      </c>
      <c r="M56" s="1068">
        <v>1</v>
      </c>
      <c r="N56" s="1069">
        <f t="shared" si="14"/>
        <v>1</v>
      </c>
      <c r="O56" s="1069">
        <f t="shared" si="15"/>
        <v>0</v>
      </c>
      <c r="P56" s="1070">
        <f t="shared" si="16"/>
        <v>0</v>
      </c>
      <c r="Q56" s="1071">
        <f t="shared" si="17"/>
        <v>1.9275600769567047</v>
      </c>
      <c r="R56" s="1072">
        <f t="shared" si="18"/>
        <v>0</v>
      </c>
      <c r="S56" s="1040">
        <f t="shared" si="19"/>
        <v>44</v>
      </c>
      <c r="T56" s="1073">
        <f t="shared" si="20"/>
        <v>-5</v>
      </c>
      <c r="U56" s="1084" t="str">
        <f t="shared" si="21"/>
        <v xml:space="preserve"> </v>
      </c>
      <c r="V56" s="949"/>
      <c r="W56" s="1060"/>
      <c r="X56" s="949"/>
      <c r="Y56" s="949"/>
    </row>
    <row r="57" spans="1:25" s="985" customFormat="1" ht="17.399999999999999" x14ac:dyDescent="0.35">
      <c r="A57" s="724" t="s">
        <v>176</v>
      </c>
      <c r="B57" s="522">
        <v>2013</v>
      </c>
      <c r="C57" s="1081" t="s">
        <v>270</v>
      </c>
      <c r="D57" s="1062">
        <v>56</v>
      </c>
      <c r="E57" s="1063">
        <v>0.8586797538598876</v>
      </c>
      <c r="F57" s="1029">
        <v>-1</v>
      </c>
      <c r="G57" s="1076"/>
      <c r="H57" s="1049">
        <v>-3</v>
      </c>
      <c r="I57" s="1077">
        <v>1</v>
      </c>
      <c r="J57" s="1051">
        <f t="shared" si="11"/>
        <v>1</v>
      </c>
      <c r="K57" s="1066">
        <f t="shared" si="12"/>
        <v>2</v>
      </c>
      <c r="L57" s="1067">
        <f t="shared" si="13"/>
        <v>0.36</v>
      </c>
      <c r="M57" s="1068">
        <v>2</v>
      </c>
      <c r="N57" s="1069">
        <f t="shared" si="14"/>
        <v>2</v>
      </c>
      <c r="O57" s="1069">
        <f t="shared" si="15"/>
        <v>0</v>
      </c>
      <c r="P57" s="1070">
        <f t="shared" si="16"/>
        <v>0</v>
      </c>
      <c r="Q57" s="1071">
        <f t="shared" si="17"/>
        <v>1.2186797538598877</v>
      </c>
      <c r="R57" s="1072">
        <f t="shared" si="18"/>
        <v>0.3600000000000001</v>
      </c>
      <c r="S57" s="1040">
        <f t="shared" si="19"/>
        <v>56</v>
      </c>
      <c r="T57" s="1073">
        <f t="shared" si="20"/>
        <v>0</v>
      </c>
      <c r="U57" s="1084" t="str">
        <f t="shared" si="21"/>
        <v xml:space="preserve"> </v>
      </c>
      <c r="V57" s="949"/>
      <c r="W57" s="1060"/>
      <c r="X57" s="949"/>
      <c r="Y57" s="949"/>
    </row>
    <row r="58" spans="1:25" s="985" customFormat="1" ht="17.399999999999999" x14ac:dyDescent="0.35">
      <c r="A58" s="724" t="s">
        <v>126</v>
      </c>
      <c r="B58" s="522"/>
      <c r="C58" s="1061" t="s">
        <v>271</v>
      </c>
      <c r="D58" s="1062">
        <v>27</v>
      </c>
      <c r="E58" s="1063">
        <v>2.3648183423170726</v>
      </c>
      <c r="F58" s="1064">
        <v>3</v>
      </c>
      <c r="G58" s="1076"/>
      <c r="H58" s="1049">
        <v>-4</v>
      </c>
      <c r="I58" s="1065">
        <v>3</v>
      </c>
      <c r="J58" s="1051">
        <f t="shared" si="11"/>
        <v>3</v>
      </c>
      <c r="K58" s="1066">
        <f t="shared" si="12"/>
        <v>0</v>
      </c>
      <c r="L58" s="1067">
        <f t="shared" si="13"/>
        <v>0</v>
      </c>
      <c r="M58" s="1068">
        <v>4</v>
      </c>
      <c r="N58" s="1069">
        <f t="shared" si="14"/>
        <v>4</v>
      </c>
      <c r="O58" s="1069">
        <f t="shared" si="15"/>
        <v>0</v>
      </c>
      <c r="P58" s="1070">
        <f t="shared" si="16"/>
        <v>0</v>
      </c>
      <c r="Q58" s="1071">
        <f t="shared" si="17"/>
        <v>2.3648183423170726</v>
      </c>
      <c r="R58" s="1072">
        <f t="shared" si="18"/>
        <v>0</v>
      </c>
      <c r="S58" s="1040">
        <f t="shared" si="19"/>
        <v>31</v>
      </c>
      <c r="T58" s="1073">
        <f t="shared" si="20"/>
        <v>-4</v>
      </c>
      <c r="U58" s="1084" t="str">
        <f t="shared" si="21"/>
        <v xml:space="preserve"> </v>
      </c>
      <c r="V58" s="1085"/>
      <c r="W58" s="1060" t="s">
        <v>278</v>
      </c>
      <c r="X58" s="949"/>
      <c r="Y58" s="949"/>
    </row>
    <row r="59" spans="1:25" s="985" customFormat="1" ht="17.399999999999999" x14ac:dyDescent="0.35">
      <c r="A59" s="725" t="s">
        <v>96</v>
      </c>
      <c r="B59" s="522">
        <v>2013</v>
      </c>
      <c r="C59" s="1045" t="s">
        <v>260</v>
      </c>
      <c r="D59" s="1062">
        <v>26</v>
      </c>
      <c r="E59" s="1063">
        <v>2.40288910599189</v>
      </c>
      <c r="F59" s="1029">
        <v>1</v>
      </c>
      <c r="G59" s="1076"/>
      <c r="H59" s="1049">
        <v>-2</v>
      </c>
      <c r="I59" s="1077">
        <v>4</v>
      </c>
      <c r="J59" s="1051">
        <f t="shared" si="11"/>
        <v>4</v>
      </c>
      <c r="K59" s="1066">
        <f t="shared" si="12"/>
        <v>3</v>
      </c>
      <c r="L59" s="1067">
        <f t="shared" si="13"/>
        <v>0.54</v>
      </c>
      <c r="M59" s="1068">
        <v>2</v>
      </c>
      <c r="N59" s="1069">
        <f t="shared" si="14"/>
        <v>2</v>
      </c>
      <c r="O59" s="1069">
        <f t="shared" si="15"/>
        <v>0</v>
      </c>
      <c r="P59" s="1070">
        <f t="shared" si="16"/>
        <v>0</v>
      </c>
      <c r="Q59" s="1071">
        <f t="shared" si="17"/>
        <v>2.94288910599189</v>
      </c>
      <c r="R59" s="1072">
        <f t="shared" si="18"/>
        <v>0.54</v>
      </c>
      <c r="S59" s="1040">
        <f t="shared" si="19"/>
        <v>14</v>
      </c>
      <c r="T59" s="1073">
        <f t="shared" si="20"/>
        <v>12</v>
      </c>
      <c r="U59" s="1084" t="str">
        <f t="shared" si="21"/>
        <v xml:space="preserve"> </v>
      </c>
      <c r="V59" s="949"/>
      <c r="W59" s="1060"/>
      <c r="X59" s="949"/>
      <c r="Y59" s="949"/>
    </row>
    <row r="60" spans="1:25" s="985" customFormat="1" ht="17.399999999999999" x14ac:dyDescent="0.35">
      <c r="A60" s="725" t="s">
        <v>450</v>
      </c>
      <c r="B60" s="522"/>
      <c r="C60" s="1045"/>
      <c r="D60" s="1062"/>
      <c r="E60" s="1063"/>
      <c r="F60" s="1029"/>
      <c r="G60" s="1076"/>
      <c r="H60" s="1049"/>
      <c r="I60" s="1077"/>
      <c r="J60" s="1051"/>
      <c r="K60" s="1066"/>
      <c r="L60" s="1067"/>
      <c r="M60" s="1068"/>
      <c r="N60" s="1069"/>
      <c r="O60" s="1069"/>
      <c r="P60" s="1070"/>
      <c r="Q60" s="1071"/>
      <c r="R60" s="1072"/>
      <c r="S60" s="1040"/>
      <c r="T60" s="1073"/>
      <c r="U60" s="1084"/>
      <c r="V60" s="949"/>
      <c r="W60" s="1060"/>
      <c r="X60" s="949"/>
      <c r="Y60" s="949"/>
    </row>
    <row r="61" spans="1:25" s="985" customFormat="1" ht="17.399999999999999" x14ac:dyDescent="0.35">
      <c r="A61" s="724" t="s">
        <v>127</v>
      </c>
      <c r="B61" s="522"/>
      <c r="C61" s="1061" t="s">
        <v>271</v>
      </c>
      <c r="D61" s="1062">
        <v>25</v>
      </c>
      <c r="E61" s="1063">
        <v>2.4461405568912342</v>
      </c>
      <c r="F61" s="1064">
        <v>3</v>
      </c>
      <c r="G61" s="1076"/>
      <c r="H61" s="1049">
        <v>-3</v>
      </c>
      <c r="I61" s="1065">
        <v>3</v>
      </c>
      <c r="J61" s="1051">
        <f t="shared" si="11"/>
        <v>3</v>
      </c>
      <c r="K61" s="1066">
        <f t="shared" si="12"/>
        <v>0</v>
      </c>
      <c r="L61" s="1067">
        <f t="shared" si="13"/>
        <v>0</v>
      </c>
      <c r="M61" s="1068">
        <v>3</v>
      </c>
      <c r="N61" s="1069">
        <f t="shared" si="14"/>
        <v>3</v>
      </c>
      <c r="O61" s="1069">
        <f t="shared" si="15"/>
        <v>0</v>
      </c>
      <c r="P61" s="1070">
        <f t="shared" si="16"/>
        <v>0</v>
      </c>
      <c r="Q61" s="1071">
        <f t="shared" si="17"/>
        <v>2.4461405568912342</v>
      </c>
      <c r="R61" s="1072">
        <f t="shared" si="18"/>
        <v>0</v>
      </c>
      <c r="S61" s="1040">
        <f t="shared" si="19"/>
        <v>30</v>
      </c>
      <c r="T61" s="1073">
        <f t="shared" si="20"/>
        <v>-5</v>
      </c>
      <c r="U61" s="1084" t="str">
        <f t="shared" si="21"/>
        <v xml:space="preserve"> </v>
      </c>
      <c r="V61" s="949"/>
      <c r="W61" s="1060"/>
      <c r="X61" s="949"/>
      <c r="Y61" s="949"/>
    </row>
    <row r="62" spans="1:25" s="985" customFormat="1" ht="17.399999999999999" x14ac:dyDescent="0.35">
      <c r="A62" s="724" t="s">
        <v>178</v>
      </c>
      <c r="B62" s="522">
        <v>2009</v>
      </c>
      <c r="C62" s="1045" t="s">
        <v>260</v>
      </c>
      <c r="D62" s="1062">
        <v>21</v>
      </c>
      <c r="E62" s="1063">
        <v>2.5342080113169168</v>
      </c>
      <c r="F62" s="1029">
        <v>6</v>
      </c>
      <c r="G62" s="1076"/>
      <c r="H62" s="1049">
        <v>-2</v>
      </c>
      <c r="I62" s="1077">
        <v>8</v>
      </c>
      <c r="J62" s="1051">
        <f t="shared" si="11"/>
        <v>8</v>
      </c>
      <c r="K62" s="1066">
        <f t="shared" si="12"/>
        <v>2</v>
      </c>
      <c r="L62" s="1067">
        <f t="shared" si="13"/>
        <v>0.36</v>
      </c>
      <c r="M62" s="1068">
        <v>8</v>
      </c>
      <c r="N62" s="1069">
        <f t="shared" si="14"/>
        <v>8</v>
      </c>
      <c r="O62" s="1069">
        <f t="shared" si="15"/>
        <v>0</v>
      </c>
      <c r="P62" s="1070">
        <f t="shared" si="16"/>
        <v>0</v>
      </c>
      <c r="Q62" s="1071">
        <f t="shared" si="17"/>
        <v>2.8942080113169166</v>
      </c>
      <c r="R62" s="1072">
        <f t="shared" si="18"/>
        <v>0.35999999999999988</v>
      </c>
      <c r="S62" s="1040">
        <f t="shared" si="19"/>
        <v>16</v>
      </c>
      <c r="T62" s="1073">
        <f t="shared" si="20"/>
        <v>5</v>
      </c>
      <c r="U62" s="1084" t="str">
        <f t="shared" si="21"/>
        <v xml:space="preserve"> </v>
      </c>
      <c r="V62" s="1085"/>
      <c r="W62" s="1060"/>
      <c r="X62" s="949"/>
      <c r="Y62" s="949"/>
    </row>
    <row r="63" spans="1:25" s="985" customFormat="1" ht="17.399999999999999" x14ac:dyDescent="0.35">
      <c r="A63" s="724" t="s">
        <v>128</v>
      </c>
      <c r="B63" s="522"/>
      <c r="C63" s="1061" t="s">
        <v>271</v>
      </c>
      <c r="D63" s="1062">
        <v>17</v>
      </c>
      <c r="E63" s="1063">
        <v>2.6512276969897735</v>
      </c>
      <c r="F63" s="1064">
        <v>3</v>
      </c>
      <c r="G63" s="1076"/>
      <c r="H63" s="1049">
        <v>-4</v>
      </c>
      <c r="I63" s="1065">
        <v>3</v>
      </c>
      <c r="J63" s="1051">
        <f t="shared" si="11"/>
        <v>3</v>
      </c>
      <c r="K63" s="1066">
        <f t="shared" si="12"/>
        <v>0</v>
      </c>
      <c r="L63" s="1067">
        <f t="shared" si="13"/>
        <v>0</v>
      </c>
      <c r="M63" s="1068">
        <v>3</v>
      </c>
      <c r="N63" s="1069">
        <f t="shared" si="14"/>
        <v>3</v>
      </c>
      <c r="O63" s="1069">
        <f t="shared" si="15"/>
        <v>0</v>
      </c>
      <c r="P63" s="1070">
        <f t="shared" si="16"/>
        <v>0</v>
      </c>
      <c r="Q63" s="1071">
        <f t="shared" si="17"/>
        <v>2.6512276969897735</v>
      </c>
      <c r="R63" s="1072">
        <f t="shared" si="18"/>
        <v>0</v>
      </c>
      <c r="S63" s="1040">
        <f t="shared" si="19"/>
        <v>21</v>
      </c>
      <c r="T63" s="1073">
        <f t="shared" si="20"/>
        <v>-4</v>
      </c>
      <c r="U63" s="1084" t="str">
        <f t="shared" si="21"/>
        <v xml:space="preserve"> </v>
      </c>
      <c r="V63" s="1085"/>
      <c r="W63" s="1060"/>
      <c r="X63" s="949"/>
      <c r="Y63" s="949"/>
    </row>
    <row r="64" spans="1:25" s="985" customFormat="1" ht="17.399999999999999" x14ac:dyDescent="0.35">
      <c r="A64" s="725" t="s">
        <v>18</v>
      </c>
      <c r="B64" s="522"/>
      <c r="C64" s="1061" t="s">
        <v>271</v>
      </c>
      <c r="D64" s="1062">
        <v>44</v>
      </c>
      <c r="E64" s="1063">
        <v>1.789372560346238</v>
      </c>
      <c r="F64" s="1064">
        <v>2</v>
      </c>
      <c r="G64" s="1076"/>
      <c r="H64" s="1049">
        <v>-4</v>
      </c>
      <c r="I64" s="1065">
        <v>2</v>
      </c>
      <c r="J64" s="1051">
        <f t="shared" si="11"/>
        <v>2</v>
      </c>
      <c r="K64" s="1066">
        <f t="shared" si="12"/>
        <v>0</v>
      </c>
      <c r="L64" s="1067">
        <f t="shared" si="13"/>
        <v>0</v>
      </c>
      <c r="M64" s="1068">
        <v>1</v>
      </c>
      <c r="N64" s="1069">
        <f t="shared" si="14"/>
        <v>1</v>
      </c>
      <c r="O64" s="1069">
        <f t="shared" si="15"/>
        <v>0</v>
      </c>
      <c r="P64" s="1070">
        <f t="shared" si="16"/>
        <v>0</v>
      </c>
      <c r="Q64" s="1071">
        <f t="shared" si="17"/>
        <v>1.789372560346238</v>
      </c>
      <c r="R64" s="1072">
        <f t="shared" si="18"/>
        <v>0</v>
      </c>
      <c r="S64" s="1040">
        <f t="shared" si="19"/>
        <v>49</v>
      </c>
      <c r="T64" s="1073">
        <f t="shared" si="20"/>
        <v>-5</v>
      </c>
      <c r="U64" s="1084" t="str">
        <f t="shared" si="21"/>
        <v xml:space="preserve"> </v>
      </c>
      <c r="V64" s="949"/>
      <c r="W64" s="1060"/>
      <c r="X64" s="949"/>
      <c r="Y64" s="949"/>
    </row>
    <row r="65" spans="1:25" s="985" customFormat="1" ht="17.399999999999999" x14ac:dyDescent="0.35">
      <c r="A65" s="724" t="s">
        <v>129</v>
      </c>
      <c r="B65" s="522"/>
      <c r="C65" s="1061" t="s">
        <v>271</v>
      </c>
      <c r="D65" s="1062">
        <v>19</v>
      </c>
      <c r="E65" s="1063">
        <v>2.5969961236794852</v>
      </c>
      <c r="F65" s="1064">
        <v>4</v>
      </c>
      <c r="G65" s="1076"/>
      <c r="H65" s="1049">
        <v>-3</v>
      </c>
      <c r="I65" s="1065">
        <v>4</v>
      </c>
      <c r="J65" s="1051">
        <f t="shared" si="11"/>
        <v>4</v>
      </c>
      <c r="K65" s="1066">
        <f t="shared" si="12"/>
        <v>0</v>
      </c>
      <c r="L65" s="1067">
        <f t="shared" si="13"/>
        <v>0</v>
      </c>
      <c r="M65" s="1068">
        <v>4</v>
      </c>
      <c r="N65" s="1069">
        <f t="shared" si="14"/>
        <v>4</v>
      </c>
      <c r="O65" s="1069">
        <f t="shared" si="15"/>
        <v>0</v>
      </c>
      <c r="P65" s="1070">
        <f t="shared" si="16"/>
        <v>0</v>
      </c>
      <c r="Q65" s="1071">
        <f t="shared" si="17"/>
        <v>2.5969961236794852</v>
      </c>
      <c r="R65" s="1072">
        <f t="shared" si="18"/>
        <v>0</v>
      </c>
      <c r="S65" s="1040">
        <f t="shared" si="19"/>
        <v>24</v>
      </c>
      <c r="T65" s="1073">
        <f t="shared" si="20"/>
        <v>-5</v>
      </c>
      <c r="U65" s="1084" t="str">
        <f t="shared" si="21"/>
        <v xml:space="preserve"> </v>
      </c>
      <c r="V65" s="1085"/>
      <c r="W65" s="1060"/>
      <c r="X65" s="949"/>
      <c r="Y65" s="949"/>
    </row>
    <row r="66" spans="1:25" s="985" customFormat="1" ht="17.399999999999999" x14ac:dyDescent="0.35">
      <c r="A66" s="724" t="s">
        <v>451</v>
      </c>
      <c r="B66" s="522"/>
      <c r="C66" s="1061"/>
      <c r="D66" s="1062"/>
      <c r="E66" s="1063"/>
      <c r="F66" s="1064"/>
      <c r="G66" s="1076"/>
      <c r="H66" s="1049"/>
      <c r="I66" s="1065"/>
      <c r="J66" s="1051"/>
      <c r="K66" s="1066"/>
      <c r="L66" s="1067"/>
      <c r="M66" s="1068"/>
      <c r="N66" s="1069"/>
      <c r="O66" s="1069"/>
      <c r="P66" s="1070"/>
      <c r="Q66" s="1071"/>
      <c r="R66" s="1072"/>
      <c r="S66" s="1040"/>
      <c r="T66" s="1073"/>
      <c r="U66" s="1084"/>
      <c r="V66" s="1085"/>
      <c r="W66" s="1060"/>
      <c r="X66" s="949"/>
      <c r="Y66" s="949"/>
    </row>
    <row r="67" spans="1:25" s="985" customFormat="1" ht="17.399999999999999" x14ac:dyDescent="0.35">
      <c r="A67" s="724" t="s">
        <v>291</v>
      </c>
      <c r="B67" s="522"/>
      <c r="C67" s="1061" t="s">
        <v>271</v>
      </c>
      <c r="D67" s="1062">
        <v>10</v>
      </c>
      <c r="E67" s="1063">
        <v>3.1094159737318972</v>
      </c>
      <c r="F67" s="1064">
        <v>4</v>
      </c>
      <c r="G67" s="1076"/>
      <c r="H67" s="1049">
        <v>-3</v>
      </c>
      <c r="I67" s="1065">
        <v>4</v>
      </c>
      <c r="J67" s="1051">
        <f t="shared" si="11"/>
        <v>4</v>
      </c>
      <c r="K67" s="1066">
        <f t="shared" si="12"/>
        <v>0</v>
      </c>
      <c r="L67" s="1067">
        <f t="shared" si="13"/>
        <v>0</v>
      </c>
      <c r="M67" s="1068">
        <v>4</v>
      </c>
      <c r="N67" s="1069">
        <f t="shared" si="14"/>
        <v>4</v>
      </c>
      <c r="O67" s="1069">
        <f t="shared" si="15"/>
        <v>0</v>
      </c>
      <c r="P67" s="1070">
        <f t="shared" si="16"/>
        <v>0</v>
      </c>
      <c r="Q67" s="1071">
        <f t="shared" si="17"/>
        <v>3.1094159737318972</v>
      </c>
      <c r="R67" s="1072">
        <f t="shared" si="18"/>
        <v>0</v>
      </c>
      <c r="S67" s="1040">
        <f t="shared" si="19"/>
        <v>9</v>
      </c>
      <c r="T67" s="1073">
        <f t="shared" si="20"/>
        <v>1</v>
      </c>
      <c r="U67" s="1084" t="str">
        <f t="shared" si="21"/>
        <v xml:space="preserve"> </v>
      </c>
      <c r="V67" s="1085"/>
      <c r="W67" s="1082" t="s">
        <v>272</v>
      </c>
      <c r="X67" s="949"/>
      <c r="Y67" s="949"/>
    </row>
    <row r="68" spans="1:25" s="985" customFormat="1" ht="17.399999999999999" x14ac:dyDescent="0.35">
      <c r="A68" s="724" t="s">
        <v>396</v>
      </c>
      <c r="B68" s="522"/>
      <c r="C68" s="1061" t="s">
        <v>271</v>
      </c>
      <c r="D68" s="1062">
        <v>1</v>
      </c>
      <c r="E68" s="1063">
        <v>4.6389674414240627</v>
      </c>
      <c r="F68" s="1064">
        <v>6</v>
      </c>
      <c r="G68" s="1076" t="s">
        <v>268</v>
      </c>
      <c r="H68" s="1049">
        <v>-2</v>
      </c>
      <c r="I68" s="1065">
        <v>6</v>
      </c>
      <c r="J68" s="1051">
        <f t="shared" si="11"/>
        <v>-2</v>
      </c>
      <c r="K68" s="1066">
        <f t="shared" si="12"/>
        <v>-8</v>
      </c>
      <c r="L68" s="1067">
        <f t="shared" si="13"/>
        <v>-1.44</v>
      </c>
      <c r="M68" s="1068">
        <v>6</v>
      </c>
      <c r="N68" s="1069">
        <f t="shared" si="14"/>
        <v>0</v>
      </c>
      <c r="O68" s="1069">
        <f t="shared" si="15"/>
        <v>-6</v>
      </c>
      <c r="P68" s="1070">
        <f t="shared" si="16"/>
        <v>-0.30000000000000004</v>
      </c>
      <c r="Q68" s="1071">
        <f t="shared" si="17"/>
        <v>2.8989674414240625</v>
      </c>
      <c r="R68" s="1072">
        <f t="shared" si="18"/>
        <v>-1.7400000000000002</v>
      </c>
      <c r="S68" s="1040">
        <f t="shared" si="19"/>
        <v>15</v>
      </c>
      <c r="T68" s="1073">
        <f t="shared" si="20"/>
        <v>-14</v>
      </c>
      <c r="U68" s="1084" t="str">
        <f t="shared" si="21"/>
        <v>√</v>
      </c>
      <c r="V68" s="1085"/>
      <c r="W68" s="1060" t="s">
        <v>277</v>
      </c>
      <c r="X68" s="949"/>
      <c r="Y68" s="949"/>
    </row>
    <row r="69" spans="1:25" s="985" customFormat="1" ht="17.399999999999999" x14ac:dyDescent="0.35">
      <c r="A69" s="725" t="s">
        <v>111</v>
      </c>
      <c r="B69" s="522">
        <v>2019</v>
      </c>
      <c r="C69" s="1079" t="s">
        <v>261</v>
      </c>
      <c r="D69" s="1062">
        <v>31</v>
      </c>
      <c r="E69" s="1063">
        <v>2.2606703808980813</v>
      </c>
      <c r="F69" s="1029">
        <v>-3</v>
      </c>
      <c r="G69" s="1080"/>
      <c r="H69" s="1049">
        <v>-2</v>
      </c>
      <c r="I69" s="1077">
        <v>0</v>
      </c>
      <c r="J69" s="1051">
        <f t="shared" si="11"/>
        <v>0</v>
      </c>
      <c r="K69" s="1066">
        <f t="shared" si="12"/>
        <v>3</v>
      </c>
      <c r="L69" s="1067">
        <f t="shared" si="13"/>
        <v>0.54</v>
      </c>
      <c r="M69" s="1068">
        <v>0</v>
      </c>
      <c r="N69" s="1069">
        <f t="shared" si="14"/>
        <v>0</v>
      </c>
      <c r="O69" s="1069">
        <f t="shared" si="15"/>
        <v>0</v>
      </c>
      <c r="P69" s="1070">
        <f t="shared" si="16"/>
        <v>0</v>
      </c>
      <c r="Q69" s="1071">
        <f t="shared" si="17"/>
        <v>2.8006703808980813</v>
      </c>
      <c r="R69" s="1072">
        <f t="shared" si="18"/>
        <v>0.54</v>
      </c>
      <c r="S69" s="1040">
        <f t="shared" si="19"/>
        <v>20</v>
      </c>
      <c r="T69" s="1073">
        <f t="shared" si="20"/>
        <v>11</v>
      </c>
      <c r="U69" s="1084" t="str">
        <f t="shared" si="21"/>
        <v xml:space="preserve"> </v>
      </c>
      <c r="V69" s="1085"/>
      <c r="W69" s="1060"/>
      <c r="X69" s="949"/>
      <c r="Y69" s="949"/>
    </row>
    <row r="70" spans="1:25" s="985" customFormat="1" ht="17.399999999999999" x14ac:dyDescent="0.35">
      <c r="A70" s="725" t="s">
        <v>179</v>
      </c>
      <c r="B70" s="522">
        <v>2017</v>
      </c>
      <c r="C70" s="1045" t="s">
        <v>260</v>
      </c>
      <c r="D70" s="1062">
        <v>11</v>
      </c>
      <c r="E70" s="1063">
        <v>2.9955356133816546</v>
      </c>
      <c r="F70" s="1029">
        <v>-1</v>
      </c>
      <c r="G70" s="1076"/>
      <c r="H70" s="1049">
        <v>-2</v>
      </c>
      <c r="I70" s="1077">
        <v>0</v>
      </c>
      <c r="J70" s="1051">
        <f t="shared" si="11"/>
        <v>0</v>
      </c>
      <c r="K70" s="1066">
        <f t="shared" si="12"/>
        <v>1</v>
      </c>
      <c r="L70" s="1067">
        <f t="shared" si="13"/>
        <v>0.18</v>
      </c>
      <c r="M70" s="1068">
        <v>0</v>
      </c>
      <c r="N70" s="1069">
        <f t="shared" si="14"/>
        <v>0</v>
      </c>
      <c r="O70" s="1069">
        <f t="shared" si="15"/>
        <v>0</v>
      </c>
      <c r="P70" s="1070">
        <f t="shared" si="16"/>
        <v>0</v>
      </c>
      <c r="Q70" s="1071">
        <f t="shared" si="17"/>
        <v>3.1755356133816548</v>
      </c>
      <c r="R70" s="1072">
        <f t="shared" si="18"/>
        <v>0.18000000000000016</v>
      </c>
      <c r="S70" s="1040">
        <f t="shared" si="19"/>
        <v>8</v>
      </c>
      <c r="T70" s="1073">
        <f t="shared" si="20"/>
        <v>3</v>
      </c>
      <c r="U70" s="1084" t="str">
        <f t="shared" si="21"/>
        <v xml:space="preserve"> </v>
      </c>
      <c r="V70" s="1085"/>
      <c r="W70" s="1060"/>
      <c r="X70" s="949"/>
      <c r="Y70" s="949"/>
    </row>
    <row r="71" spans="1:25" s="985" customFormat="1" ht="17.399999999999999" x14ac:dyDescent="0.35">
      <c r="A71" s="1333" t="s">
        <v>454</v>
      </c>
      <c r="B71" s="1334"/>
      <c r="C71" s="1335"/>
      <c r="D71" s="1336"/>
      <c r="E71" s="1337"/>
      <c r="F71" s="1338"/>
      <c r="G71" s="1339"/>
      <c r="H71" s="1031"/>
      <c r="I71" s="1340"/>
      <c r="J71" s="1032"/>
      <c r="K71" s="1341"/>
      <c r="L71" s="1342"/>
      <c r="M71" s="1343"/>
      <c r="N71" s="1344"/>
      <c r="O71" s="1344"/>
      <c r="P71" s="1345"/>
      <c r="Q71" s="1346"/>
      <c r="R71" s="1347"/>
      <c r="S71" s="1348"/>
      <c r="T71" s="1349"/>
      <c r="U71" s="1350"/>
      <c r="V71" s="1085"/>
      <c r="W71" s="1351"/>
      <c r="X71" s="949"/>
      <c r="Y71" s="949"/>
    </row>
    <row r="72" spans="1:25" s="985" customFormat="1" thickBot="1" x14ac:dyDescent="0.4">
      <c r="A72" s="727" t="s">
        <v>180</v>
      </c>
      <c r="B72" s="613">
        <v>2017</v>
      </c>
      <c r="C72" s="1087" t="s">
        <v>260</v>
      </c>
      <c r="D72" s="1088">
        <v>15</v>
      </c>
      <c r="E72" s="1089">
        <v>2.7468408080555275</v>
      </c>
      <c r="F72" s="1090">
        <v>-1</v>
      </c>
      <c r="G72" s="1237"/>
      <c r="H72" s="1091">
        <v>-2</v>
      </c>
      <c r="I72" s="1240">
        <v>1</v>
      </c>
      <c r="J72" s="1092">
        <f t="shared" si="11"/>
        <v>1</v>
      </c>
      <c r="K72" s="1093">
        <f t="shared" si="12"/>
        <v>2</v>
      </c>
      <c r="L72" s="1094">
        <f t="shared" si="13"/>
        <v>0.36</v>
      </c>
      <c r="M72" s="1095">
        <v>0</v>
      </c>
      <c r="N72" s="1096">
        <f t="shared" si="14"/>
        <v>0</v>
      </c>
      <c r="O72" s="1096">
        <f t="shared" si="15"/>
        <v>0</v>
      </c>
      <c r="P72" s="1097">
        <f t="shared" si="16"/>
        <v>0</v>
      </c>
      <c r="Q72" s="1098">
        <f t="shared" si="17"/>
        <v>3.1068408080555274</v>
      </c>
      <c r="R72" s="1099">
        <f t="shared" si="18"/>
        <v>0.35999999999999988</v>
      </c>
      <c r="S72" s="1100">
        <f t="shared" si="19"/>
        <v>10</v>
      </c>
      <c r="T72" s="1101">
        <f t="shared" si="20"/>
        <v>5</v>
      </c>
      <c r="U72" s="1102" t="str">
        <f t="shared" si="21"/>
        <v xml:space="preserve"> </v>
      </c>
      <c r="V72" s="1103"/>
      <c r="W72" s="1083"/>
      <c r="X72" s="949"/>
      <c r="Y72" s="949"/>
    </row>
    <row r="73" spans="1:25" x14ac:dyDescent="0.35">
      <c r="A73" s="1104"/>
      <c r="B73" s="149"/>
      <c r="C73" s="475"/>
      <c r="D73" s="427"/>
      <c r="F73" s="1105"/>
      <c r="G73" s="1105"/>
      <c r="H73" s="1105"/>
      <c r="I73" s="1105"/>
      <c r="J73" s="946"/>
      <c r="K73" s="946"/>
      <c r="L73" s="947"/>
      <c r="M73" s="948"/>
      <c r="N73" s="946"/>
      <c r="O73" s="946"/>
      <c r="P73" s="948"/>
      <c r="Q73" s="946"/>
      <c r="R73" s="946"/>
      <c r="S73" s="946"/>
      <c r="T73" s="946"/>
      <c r="U73" s="946"/>
      <c r="V73" s="946"/>
      <c r="W73" s="949"/>
      <c r="X73" s="946"/>
      <c r="Y73" s="946"/>
    </row>
    <row r="74" spans="1:25" x14ac:dyDescent="0.35">
      <c r="A74" s="1104"/>
      <c r="B74" s="149"/>
      <c r="C74" s="475"/>
      <c r="D74" s="427"/>
      <c r="F74" s="1106" t="s">
        <v>397</v>
      </c>
      <c r="G74" s="1106"/>
      <c r="H74" s="1106"/>
      <c r="I74" s="1106"/>
      <c r="J74" s="1107"/>
      <c r="K74" s="1107"/>
      <c r="L74" s="947"/>
      <c r="M74" s="948"/>
      <c r="N74" s="946"/>
      <c r="O74" s="946"/>
      <c r="P74" s="948"/>
      <c r="Q74" s="946"/>
      <c r="R74" s="946"/>
      <c r="S74" s="946"/>
      <c r="T74" s="946"/>
      <c r="U74" s="946"/>
      <c r="V74" s="946"/>
      <c r="W74" s="949"/>
      <c r="X74" s="946"/>
      <c r="Y74" s="946"/>
    </row>
    <row r="75" spans="1:25" x14ac:dyDescent="0.35">
      <c r="A75" s="1104"/>
      <c r="B75" s="149"/>
      <c r="C75" s="475"/>
      <c r="D75" s="427"/>
      <c r="F75" s="1105"/>
      <c r="G75" s="1105"/>
      <c r="H75" s="1105"/>
      <c r="I75" s="1105"/>
      <c r="J75" s="946"/>
      <c r="K75" s="946"/>
      <c r="L75" s="947"/>
      <c r="M75" s="948"/>
      <c r="N75" s="946"/>
      <c r="O75" s="946"/>
      <c r="P75" s="948"/>
      <c r="Q75" s="946"/>
      <c r="R75" s="946"/>
      <c r="S75" s="946"/>
      <c r="T75" s="946"/>
      <c r="U75" s="946"/>
      <c r="V75" s="946"/>
      <c r="W75" s="949"/>
      <c r="X75" s="946"/>
      <c r="Y75" s="946"/>
    </row>
    <row r="76" spans="1:25" x14ac:dyDescent="0.35">
      <c r="A76" s="1108"/>
      <c r="B76" s="149"/>
      <c r="C76" s="475"/>
      <c r="D76" s="427"/>
      <c r="F76" s="946"/>
      <c r="G76" s="946"/>
      <c r="H76" s="946"/>
      <c r="I76" s="946"/>
      <c r="J76" s="946"/>
      <c r="K76" s="946"/>
      <c r="L76" s="947"/>
      <c r="M76" s="948"/>
      <c r="N76" s="946"/>
      <c r="O76" s="946"/>
      <c r="P76" s="948"/>
      <c r="Q76" s="946"/>
      <c r="R76" s="946"/>
      <c r="S76" s="946"/>
      <c r="T76" s="946"/>
      <c r="U76" s="946"/>
      <c r="V76" s="946"/>
      <c r="W76" s="949"/>
      <c r="X76" s="946"/>
      <c r="Y76" s="946"/>
    </row>
    <row r="77" spans="1:25" x14ac:dyDescent="0.35">
      <c r="A77" s="1108"/>
      <c r="B77" s="218"/>
      <c r="C77" s="475"/>
      <c r="D77" s="427"/>
      <c r="F77" s="946"/>
      <c r="G77" s="946"/>
      <c r="H77" s="946"/>
      <c r="I77" s="946"/>
      <c r="J77" s="946"/>
      <c r="K77" s="946"/>
      <c r="L77" s="947"/>
      <c r="M77" s="948"/>
      <c r="N77" s="946"/>
      <c r="O77" s="946"/>
      <c r="P77" s="948"/>
      <c r="Q77" s="946"/>
      <c r="R77" s="946"/>
      <c r="S77" s="946"/>
      <c r="T77" s="946"/>
      <c r="U77" s="946"/>
      <c r="V77" s="946"/>
      <c r="W77" s="949"/>
      <c r="X77" s="946"/>
      <c r="Y77" s="946"/>
    </row>
    <row r="78" spans="1:25" x14ac:dyDescent="0.35">
      <c r="A78" s="1108"/>
      <c r="B78" s="149"/>
      <c r="C78" s="475"/>
      <c r="D78" s="427"/>
      <c r="F78" s="946"/>
      <c r="G78" s="946"/>
      <c r="H78" s="946"/>
      <c r="I78" s="946"/>
      <c r="J78" s="946"/>
      <c r="K78" s="946"/>
      <c r="L78" s="947"/>
      <c r="M78" s="948"/>
      <c r="N78" s="946"/>
      <c r="O78" s="946"/>
      <c r="P78" s="948"/>
      <c r="Q78" s="946"/>
      <c r="R78" s="946"/>
      <c r="S78" s="946"/>
      <c r="T78" s="946"/>
      <c r="U78" s="946"/>
      <c r="V78" s="946"/>
      <c r="W78" s="949"/>
      <c r="X78" s="946"/>
      <c r="Y78" s="946"/>
    </row>
    <row r="79" spans="1:25" x14ac:dyDescent="0.35">
      <c r="A79" s="1108"/>
      <c r="B79"/>
      <c r="C79" s="475"/>
      <c r="D79" s="227"/>
      <c r="E79" s="227"/>
      <c r="F79" s="946"/>
      <c r="G79" s="946"/>
      <c r="H79" s="946"/>
      <c r="I79" s="946"/>
      <c r="J79" s="946"/>
      <c r="K79" s="946"/>
      <c r="L79" s="947"/>
      <c r="M79" s="948"/>
      <c r="N79" s="946"/>
      <c r="O79" s="946"/>
      <c r="P79" s="948"/>
      <c r="Q79" s="946"/>
      <c r="R79" s="946"/>
      <c r="S79" s="946"/>
      <c r="T79" s="946"/>
      <c r="U79" s="946"/>
      <c r="V79" s="946"/>
      <c r="W79" s="949"/>
      <c r="X79" s="946"/>
      <c r="Y79" s="946"/>
    </row>
    <row r="80" spans="1:25" x14ac:dyDescent="0.35">
      <c r="A80" s="1108"/>
      <c r="B80"/>
      <c r="D80" s="227"/>
      <c r="E80" s="227"/>
      <c r="F80" s="946"/>
      <c r="G80" s="946"/>
      <c r="H80" s="946"/>
      <c r="I80" s="946"/>
      <c r="J80" s="946"/>
      <c r="K80" s="946"/>
      <c r="L80" s="947"/>
      <c r="M80" s="948"/>
      <c r="N80" s="946"/>
      <c r="O80" s="946"/>
      <c r="P80" s="948"/>
      <c r="Q80" s="946"/>
      <c r="R80" s="946"/>
      <c r="S80" s="946"/>
      <c r="T80" s="946"/>
      <c r="U80" s="946"/>
      <c r="V80" s="946"/>
      <c r="W80" s="949"/>
      <c r="X80" s="946"/>
      <c r="Y80" s="946"/>
    </row>
    <row r="81" spans="1:25" x14ac:dyDescent="0.35">
      <c r="A81" s="1108"/>
      <c r="B81"/>
      <c r="D81" s="227"/>
      <c r="E81" s="227"/>
      <c r="F81" s="946"/>
      <c r="G81" s="946"/>
      <c r="H81" s="946"/>
      <c r="I81" s="946"/>
      <c r="J81" s="946"/>
      <c r="K81" s="946"/>
      <c r="L81" s="947"/>
      <c r="M81" s="948"/>
      <c r="N81" s="946"/>
      <c r="O81" s="946"/>
      <c r="P81" s="948"/>
      <c r="Q81" s="946"/>
      <c r="R81" s="946"/>
      <c r="S81" s="946"/>
      <c r="T81" s="946"/>
      <c r="U81" s="946"/>
      <c r="V81" s="946"/>
      <c r="W81" s="949"/>
      <c r="X81" s="946"/>
      <c r="Y81" s="946"/>
    </row>
    <row r="82" spans="1:25" x14ac:dyDescent="0.35">
      <c r="A82" s="1108"/>
      <c r="B82"/>
      <c r="D82" s="227"/>
      <c r="E82" s="227"/>
      <c r="F82" s="946"/>
      <c r="G82" s="946"/>
      <c r="H82" s="946"/>
      <c r="I82" s="946"/>
      <c r="J82" s="946"/>
      <c r="K82" s="946"/>
      <c r="L82" s="947"/>
      <c r="M82" s="948"/>
      <c r="N82" s="946"/>
      <c r="O82" s="946"/>
      <c r="P82" s="948"/>
      <c r="Q82" s="946"/>
      <c r="R82" s="946"/>
      <c r="S82" s="946"/>
      <c r="T82" s="946"/>
      <c r="U82" s="946"/>
      <c r="V82" s="946"/>
      <c r="W82" s="949"/>
      <c r="X82" s="946"/>
      <c r="Y82" s="946"/>
    </row>
    <row r="83" spans="1:25" x14ac:dyDescent="0.35">
      <c r="B83"/>
      <c r="D83" s="185"/>
      <c r="E83" s="227"/>
    </row>
  </sheetData>
  <sortState ref="A8:AB64">
    <sortCondition ref="D8:D64"/>
  </sortState>
  <conditionalFormatting sqref="D9:D72 S8:S72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72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72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72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80"/>
  <sheetViews>
    <sheetView zoomScaleNormal="100" workbookViewId="0">
      <pane xSplit="3" ySplit="7" topLeftCell="N8" activePane="bottomRight" state="frozen"/>
      <selection activeCell="A22" sqref="A22"/>
      <selection pane="topRight" activeCell="A22" sqref="A22"/>
      <selection pane="bottomLeft" activeCell="A22" sqref="A22"/>
      <selection pane="bottomRight" activeCell="T78" sqref="T78"/>
    </sheetView>
  </sheetViews>
  <sheetFormatPr defaultRowHeight="15.6" x14ac:dyDescent="0.3"/>
  <cols>
    <col min="1" max="1" width="36.88671875" style="22" customWidth="1"/>
    <col min="2" max="2" width="11.6640625" style="12" customWidth="1"/>
    <col min="3" max="3" width="7.5546875" style="26" customWidth="1"/>
    <col min="4" max="4" width="8.44140625" style="474" bestFit="1" customWidth="1"/>
    <col min="5" max="5" width="7.5546875" style="12" customWidth="1"/>
    <col min="6" max="6" width="6.109375" style="12" customWidth="1"/>
    <col min="7" max="7" width="11" style="149" bestFit="1" customWidth="1"/>
    <col min="8" max="8" width="8.33203125" customWidth="1"/>
    <col min="9" max="9" width="8.33203125" style="23" customWidth="1"/>
    <col min="10" max="10" width="8.33203125" style="12" customWidth="1"/>
    <col min="11" max="11" width="11.44140625" style="12" customWidth="1"/>
    <col min="12" max="12" width="8.33203125" customWidth="1"/>
    <col min="13" max="13" width="8.33203125" style="25" customWidth="1"/>
    <col min="14" max="14" width="8.33203125" customWidth="1"/>
    <col min="15" max="15" width="8.33203125" style="24" customWidth="1"/>
    <col min="16" max="17" width="13.33203125" style="12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407" bestFit="1" customWidth="1"/>
    <col min="27" max="27" width="6.44140625" customWidth="1"/>
    <col min="28" max="28" width="7.44140625" bestFit="1" customWidth="1"/>
    <col min="29" max="29" width="6.33203125" style="12" customWidth="1"/>
    <col min="30" max="30" width="10.5546875" style="26" customWidth="1"/>
  </cols>
  <sheetData>
    <row r="1" spans="1:34" ht="18" x14ac:dyDescent="0.35">
      <c r="A1" s="397" t="s">
        <v>170</v>
      </c>
      <c r="B1" s="149"/>
      <c r="C1" s="474"/>
      <c r="E1" s="149"/>
      <c r="F1" s="149"/>
      <c r="H1" s="189"/>
      <c r="I1" s="477"/>
      <c r="J1" s="149"/>
      <c r="K1" s="149"/>
      <c r="L1" s="189"/>
      <c r="M1" s="478"/>
      <c r="N1" s="189"/>
      <c r="O1" s="479"/>
      <c r="P1" s="149"/>
      <c r="Q1" s="149"/>
      <c r="R1" s="189"/>
      <c r="S1" s="189"/>
      <c r="T1" s="189"/>
      <c r="U1" s="189"/>
      <c r="V1" s="189"/>
      <c r="W1" s="189"/>
      <c r="X1" s="189"/>
      <c r="Y1" s="189"/>
      <c r="AA1" s="189"/>
      <c r="AB1" s="189"/>
      <c r="AC1" s="149"/>
      <c r="AD1" s="474"/>
      <c r="AE1" s="189"/>
      <c r="AF1" s="189"/>
      <c r="AG1" s="189"/>
      <c r="AH1" s="189"/>
    </row>
    <row r="2" spans="1:34" ht="16.2" thickBot="1" x14ac:dyDescent="0.35">
      <c r="A2" s="475"/>
      <c r="B2" s="149"/>
      <c r="C2" s="474"/>
      <c r="E2" s="156"/>
      <c r="F2" s="156"/>
      <c r="G2" s="156"/>
      <c r="H2" s="1119" t="s">
        <v>348</v>
      </c>
      <c r="I2" s="1120"/>
      <c r="J2" s="1118"/>
      <c r="K2" s="1118"/>
      <c r="L2" s="1118"/>
      <c r="M2" s="1121"/>
      <c r="N2" s="1118"/>
      <c r="O2" s="1122"/>
      <c r="P2" s="1118"/>
      <c r="Q2" s="1118"/>
      <c r="R2" s="189"/>
      <c r="S2" s="189"/>
      <c r="T2" s="189"/>
      <c r="U2" s="189"/>
      <c r="V2" s="189"/>
      <c r="W2" s="189"/>
      <c r="X2" s="189"/>
      <c r="Y2" s="189"/>
      <c r="AA2" s="189"/>
      <c r="AB2" s="189"/>
      <c r="AC2" s="149"/>
      <c r="AD2" s="474"/>
      <c r="AE2" s="189"/>
      <c r="AF2" s="189"/>
      <c r="AG2" s="189"/>
      <c r="AH2" s="189"/>
    </row>
    <row r="3" spans="1:34" x14ac:dyDescent="0.3">
      <c r="A3" s="475"/>
      <c r="B3" s="149"/>
      <c r="C3" s="474"/>
      <c r="E3" s="156"/>
      <c r="F3" s="156"/>
      <c r="G3" s="524"/>
      <c r="H3" s="598" t="s">
        <v>151</v>
      </c>
      <c r="I3" s="599"/>
      <c r="J3" s="600"/>
      <c r="K3" s="601"/>
      <c r="L3" s="602" t="s">
        <v>55</v>
      </c>
      <c r="M3" s="603"/>
      <c r="N3" s="604"/>
      <c r="O3" s="314"/>
      <c r="P3" s="605" t="s">
        <v>152</v>
      </c>
      <c r="Q3" s="1188"/>
      <c r="R3" s="480"/>
      <c r="S3" s="219" t="s">
        <v>46</v>
      </c>
      <c r="T3" s="219"/>
      <c r="U3" s="219"/>
      <c r="V3" s="219"/>
      <c r="W3" s="219"/>
      <c r="X3" s="219"/>
      <c r="Y3" s="219"/>
      <c r="Z3" s="408"/>
      <c r="AA3" s="219"/>
      <c r="AB3" s="332"/>
      <c r="AC3" s="149"/>
      <c r="AD3" s="474"/>
      <c r="AE3" s="189"/>
      <c r="AF3" s="189"/>
      <c r="AG3" s="189"/>
      <c r="AH3" s="189"/>
    </row>
    <row r="4" spans="1:34" ht="14.4" x14ac:dyDescent="0.3">
      <c r="A4" s="475"/>
      <c r="B4" s="149"/>
      <c r="C4" s="474"/>
      <c r="E4" s="156"/>
      <c r="F4" s="156"/>
      <c r="G4" s="336"/>
      <c r="H4" s="324" t="s">
        <v>0</v>
      </c>
      <c r="I4" s="325" t="s">
        <v>132</v>
      </c>
      <c r="J4" s="326" t="s">
        <v>47</v>
      </c>
      <c r="K4" s="325" t="s">
        <v>172</v>
      </c>
      <c r="L4" s="319" t="s">
        <v>48</v>
      </c>
      <c r="M4" s="320" t="s">
        <v>80</v>
      </c>
      <c r="N4" s="319" t="s">
        <v>429</v>
      </c>
      <c r="O4" s="317" t="s">
        <v>192</v>
      </c>
      <c r="P4" s="315" t="s">
        <v>51</v>
      </c>
      <c r="Q4" s="315" t="s">
        <v>239</v>
      </c>
      <c r="R4" s="1187" t="s">
        <v>233</v>
      </c>
      <c r="S4" s="324" t="s">
        <v>0</v>
      </c>
      <c r="T4" s="325" t="s">
        <v>132</v>
      </c>
      <c r="U4" s="326" t="s">
        <v>47</v>
      </c>
      <c r="V4" s="325" t="s">
        <v>172</v>
      </c>
      <c r="W4" s="319" t="s">
        <v>48</v>
      </c>
      <c r="X4" s="320" t="s">
        <v>49</v>
      </c>
      <c r="Y4" s="319" t="s">
        <v>50</v>
      </c>
      <c r="Z4" s="409" t="s">
        <v>192</v>
      </c>
      <c r="AA4" s="330" t="s">
        <v>51</v>
      </c>
      <c r="AB4" s="333" t="s">
        <v>239</v>
      </c>
      <c r="AC4" s="149"/>
      <c r="AD4" s="474"/>
      <c r="AE4" s="189"/>
      <c r="AF4" s="189"/>
      <c r="AG4" s="189"/>
      <c r="AH4" s="189"/>
    </row>
    <row r="5" spans="1:34" x14ac:dyDescent="0.3">
      <c r="A5" s="1193"/>
      <c r="B5" s="595"/>
      <c r="C5" s="591" t="s">
        <v>362</v>
      </c>
      <c r="D5" s="908">
        <v>2023</v>
      </c>
      <c r="E5" s="521" t="s">
        <v>53</v>
      </c>
      <c r="F5" s="530"/>
      <c r="G5" s="336"/>
      <c r="H5" s="324" t="s">
        <v>1</v>
      </c>
      <c r="I5" s="325" t="s">
        <v>1</v>
      </c>
      <c r="J5" s="325" t="s">
        <v>54</v>
      </c>
      <c r="K5" s="326" t="s">
        <v>171</v>
      </c>
      <c r="L5" s="319" t="s">
        <v>54</v>
      </c>
      <c r="M5" s="320" t="s">
        <v>55</v>
      </c>
      <c r="N5" s="319" t="s">
        <v>430</v>
      </c>
      <c r="O5" s="317" t="s">
        <v>193</v>
      </c>
      <c r="P5" s="315" t="s">
        <v>56</v>
      </c>
      <c r="Q5" s="315" t="s">
        <v>240</v>
      </c>
      <c r="R5" s="1187" t="s">
        <v>241</v>
      </c>
      <c r="S5" s="324" t="s">
        <v>1</v>
      </c>
      <c r="T5" s="325" t="s">
        <v>1</v>
      </c>
      <c r="U5" s="325" t="s">
        <v>54</v>
      </c>
      <c r="V5" s="326" t="s">
        <v>171</v>
      </c>
      <c r="W5" s="319" t="s">
        <v>54</v>
      </c>
      <c r="X5" s="320" t="s">
        <v>55</v>
      </c>
      <c r="Y5" s="319" t="s">
        <v>55</v>
      </c>
      <c r="Z5" s="409" t="s">
        <v>193</v>
      </c>
      <c r="AA5" s="330" t="s">
        <v>56</v>
      </c>
      <c r="AB5" s="334" t="s">
        <v>240</v>
      </c>
      <c r="AC5" s="476"/>
      <c r="AD5" s="102" t="s">
        <v>52</v>
      </c>
      <c r="AE5" s="189"/>
      <c r="AF5" s="189"/>
      <c r="AG5" s="189"/>
      <c r="AH5" s="189"/>
    </row>
    <row r="6" spans="1:34" x14ac:dyDescent="0.3">
      <c r="A6" s="1193"/>
      <c r="B6" s="595"/>
      <c r="C6" s="591" t="s">
        <v>24</v>
      </c>
      <c r="D6" s="904" t="s">
        <v>363</v>
      </c>
      <c r="E6" s="519" t="s">
        <v>57</v>
      </c>
      <c r="F6" s="531"/>
      <c r="G6" s="525" t="s">
        <v>54</v>
      </c>
      <c r="H6" s="327" t="s">
        <v>2</v>
      </c>
      <c r="I6" s="328" t="s">
        <v>2</v>
      </c>
      <c r="J6" s="328" t="s">
        <v>2</v>
      </c>
      <c r="K6" s="328" t="s">
        <v>54</v>
      </c>
      <c r="L6" s="321" t="s">
        <v>2</v>
      </c>
      <c r="M6" s="322" t="s">
        <v>2</v>
      </c>
      <c r="N6" s="323" t="s">
        <v>2</v>
      </c>
      <c r="O6" s="318" t="s">
        <v>58</v>
      </c>
      <c r="P6" s="316" t="s">
        <v>2</v>
      </c>
      <c r="Q6" s="316" t="s">
        <v>2</v>
      </c>
      <c r="R6" s="1187" t="s">
        <v>232</v>
      </c>
      <c r="S6" s="327" t="s">
        <v>2</v>
      </c>
      <c r="T6" s="328" t="s">
        <v>2</v>
      </c>
      <c r="U6" s="328" t="s">
        <v>2</v>
      </c>
      <c r="V6" s="328" t="s">
        <v>54</v>
      </c>
      <c r="W6" s="321" t="s">
        <v>2</v>
      </c>
      <c r="X6" s="322" t="s">
        <v>2</v>
      </c>
      <c r="Y6" s="323" t="s">
        <v>2</v>
      </c>
      <c r="Z6" s="410" t="s">
        <v>58</v>
      </c>
      <c r="AA6" s="331" t="s">
        <v>2</v>
      </c>
      <c r="AB6" s="335" t="s">
        <v>2</v>
      </c>
      <c r="AC6" s="476"/>
      <c r="AD6" s="102" t="s">
        <v>24</v>
      </c>
      <c r="AE6" s="189"/>
      <c r="AF6" s="189"/>
      <c r="AG6" s="189"/>
      <c r="AH6" s="189"/>
    </row>
    <row r="7" spans="1:34" ht="16.2" thickBot="1" x14ac:dyDescent="0.35">
      <c r="A7" s="1194" t="s">
        <v>4</v>
      </c>
      <c r="B7" s="1192" t="s">
        <v>3</v>
      </c>
      <c r="C7" s="592" t="s">
        <v>2</v>
      </c>
      <c r="D7" s="905" t="s">
        <v>364</v>
      </c>
      <c r="E7" s="520" t="s">
        <v>251</v>
      </c>
      <c r="F7" s="532" t="s">
        <v>269</v>
      </c>
      <c r="G7" s="526" t="s">
        <v>234</v>
      </c>
      <c r="H7" s="782">
        <v>0.21</v>
      </c>
      <c r="I7" s="783">
        <v>0.09</v>
      </c>
      <c r="J7" s="783">
        <v>0.05</v>
      </c>
      <c r="K7" s="784">
        <v>0.11</v>
      </c>
      <c r="L7" s="784">
        <v>0.1</v>
      </c>
      <c r="M7" s="785">
        <v>0.08</v>
      </c>
      <c r="N7" s="785">
        <v>0.08</v>
      </c>
      <c r="O7" s="786">
        <v>0.05</v>
      </c>
      <c r="P7" s="786">
        <v>0.05</v>
      </c>
      <c r="Q7" s="786">
        <v>0.18</v>
      </c>
      <c r="R7" s="787">
        <f>SUM(H7:Q7)</f>
        <v>1</v>
      </c>
      <c r="S7" s="220" t="s">
        <v>231</v>
      </c>
      <c r="T7" s="221"/>
      <c r="U7" s="222"/>
      <c r="V7" s="222"/>
      <c r="W7" s="153"/>
      <c r="X7" s="153"/>
      <c r="Y7" s="153"/>
      <c r="Z7" s="411"/>
      <c r="AA7" s="153"/>
      <c r="AB7" s="154"/>
      <c r="AC7" s="296" t="s">
        <v>3</v>
      </c>
      <c r="AD7" s="297" t="s">
        <v>2</v>
      </c>
      <c r="AE7" s="189"/>
      <c r="AF7" s="189"/>
      <c r="AG7" s="189"/>
      <c r="AH7" s="189"/>
    </row>
    <row r="8" spans="1:34" ht="18" thickBot="1" x14ac:dyDescent="0.4">
      <c r="A8" s="1191" t="s">
        <v>10</v>
      </c>
      <c r="B8" s="1190">
        <f>RANK(C8,C$8:C$72)</f>
        <v>53</v>
      </c>
      <c r="C8" s="892">
        <f>SUM(S8:AB8)</f>
        <v>1.1993186193866772</v>
      </c>
      <c r="D8" s="1171"/>
      <c r="E8" s="1172">
        <v>2017</v>
      </c>
      <c r="F8" s="1173" t="s">
        <v>261</v>
      </c>
      <c r="G8" s="1174"/>
      <c r="H8" s="1175">
        <f>Commercial!C7</f>
        <v>4.0212272981087569</v>
      </c>
      <c r="I8" s="1177">
        <f>Recreational!C7</f>
        <v>1.5066921456690607</v>
      </c>
      <c r="J8" s="1177">
        <f>Tribal!C7</f>
        <v>1.1851718734724539</v>
      </c>
      <c r="K8" s="1177"/>
      <c r="L8" s="1177">
        <f>Rebuilding!B7</f>
        <v>0</v>
      </c>
      <c r="M8" s="1177">
        <f>'Stock Status'!C7</f>
        <v>1</v>
      </c>
      <c r="N8" s="1177">
        <f>'Fishing mortality'!C7</f>
        <v>1</v>
      </c>
      <c r="O8" s="1177"/>
      <c r="P8" s="1176"/>
      <c r="Q8" s="1178"/>
      <c r="R8" s="1180"/>
      <c r="S8" s="1181">
        <f t="shared" ref="S8:S41" si="0">H8*H$7</f>
        <v>0.84445773260283896</v>
      </c>
      <c r="T8" s="1181">
        <f t="shared" ref="T8:T41" si="1">I8*I$7</f>
        <v>0.13560229311021546</v>
      </c>
      <c r="U8" s="1181">
        <f t="shared" ref="U8:U41" si="2">J8*J$7</f>
        <v>5.9258593673622698E-2</v>
      </c>
      <c r="V8" s="1181">
        <f t="shared" ref="V8:V41" si="3">K8*K$7</f>
        <v>0</v>
      </c>
      <c r="W8" s="1181">
        <f t="shared" ref="W8:W41" si="4">L8*L$7</f>
        <v>0</v>
      </c>
      <c r="X8" s="1181">
        <f t="shared" ref="X8:X41" si="5">M8*M$7</f>
        <v>0.08</v>
      </c>
      <c r="Y8" s="1181">
        <f t="shared" ref="Y8:Y41" si="6">N8*N$7</f>
        <v>0.08</v>
      </c>
      <c r="Z8" s="1181">
        <f t="shared" ref="Z8:Z41" si="7">O8*O$7</f>
        <v>0</v>
      </c>
      <c r="AA8" s="1181">
        <f t="shared" ref="AA8:AA41" si="8">P8*P$7</f>
        <v>0</v>
      </c>
      <c r="AB8" s="1182">
        <f t="shared" ref="AB8:AB41" si="9">Q8*Q$7</f>
        <v>0</v>
      </c>
      <c r="AC8" s="103">
        <f>RANK(AD8,AD$8:AD$72)</f>
        <v>53</v>
      </c>
      <c r="AD8" s="1189">
        <f t="shared" ref="AD8:AD41" si="10">SUM(S8:AB8)</f>
        <v>1.1993186193866772</v>
      </c>
      <c r="AE8" s="189"/>
      <c r="AF8" s="189"/>
      <c r="AG8" s="189"/>
      <c r="AH8" s="189"/>
    </row>
    <row r="9" spans="1:34" ht="18" thickBot="1" x14ac:dyDescent="0.4">
      <c r="A9" s="903" t="s">
        <v>174</v>
      </c>
      <c r="B9" s="596">
        <f t="shared" ref="B9:B42" si="11">RANK(C9,C$9:C$72)</f>
        <v>58</v>
      </c>
      <c r="C9" s="593">
        <f t="shared" ref="C8:C41" si="12">SUM(S9:AB9)</f>
        <v>0.99463140561641905</v>
      </c>
      <c r="D9" s="906"/>
      <c r="E9" s="523">
        <v>2013</v>
      </c>
      <c r="F9" s="533" t="s">
        <v>260</v>
      </c>
      <c r="G9" s="527"/>
      <c r="H9" s="1175">
        <f>Commercial!C8</f>
        <v>2.8315781219829477</v>
      </c>
      <c r="I9" s="1177">
        <f>Recreational!C8</f>
        <v>0</v>
      </c>
      <c r="J9" s="1177">
        <f>Tribal!C8</f>
        <v>0</v>
      </c>
      <c r="K9" s="27"/>
      <c r="L9" s="1177">
        <f>Rebuilding!B8</f>
        <v>0</v>
      </c>
      <c r="M9" s="1177">
        <f>'Stock Status'!C8</f>
        <v>2</v>
      </c>
      <c r="N9" s="1177">
        <f>'Fishing mortality'!C8</f>
        <v>3</v>
      </c>
      <c r="O9" s="27"/>
      <c r="P9" s="871"/>
      <c r="Q9" s="1179"/>
      <c r="R9" s="157"/>
      <c r="S9" s="28">
        <f t="shared" si="0"/>
        <v>0.59463140561641903</v>
      </c>
      <c r="T9" s="28">
        <f t="shared" si="1"/>
        <v>0</v>
      </c>
      <c r="U9" s="28">
        <f>J9*J$7</f>
        <v>0</v>
      </c>
      <c r="V9" s="28">
        <f t="shared" si="3"/>
        <v>0</v>
      </c>
      <c r="W9" s="28">
        <f t="shared" si="4"/>
        <v>0</v>
      </c>
      <c r="X9" s="28">
        <f t="shared" si="5"/>
        <v>0.16</v>
      </c>
      <c r="Y9" s="28">
        <f t="shared" si="6"/>
        <v>0.24</v>
      </c>
      <c r="Z9" s="412">
        <f t="shared" si="7"/>
        <v>0</v>
      </c>
      <c r="AA9" s="28">
        <f t="shared" si="8"/>
        <v>0</v>
      </c>
      <c r="AB9" s="28">
        <f t="shared" si="9"/>
        <v>0</v>
      </c>
      <c r="AC9" s="1358">
        <f t="shared" ref="AC9:AC42" si="13">RANK(AD9,AD$9:AD$72)</f>
        <v>58</v>
      </c>
      <c r="AD9" s="104">
        <f t="shared" si="10"/>
        <v>0.99463140561641905</v>
      </c>
      <c r="AE9" s="189"/>
      <c r="AF9" s="189"/>
      <c r="AG9" s="189"/>
      <c r="AH9" s="189"/>
    </row>
    <row r="10" spans="1:34" ht="18" thickBot="1" x14ac:dyDescent="0.4">
      <c r="A10" s="724" t="s">
        <v>115</v>
      </c>
      <c r="B10" s="597">
        <f t="shared" si="11"/>
        <v>45</v>
      </c>
      <c r="C10" s="594">
        <f t="shared" si="12"/>
        <v>1.3529853158439422</v>
      </c>
      <c r="D10" s="907"/>
      <c r="E10" s="1186"/>
      <c r="F10" s="534" t="s">
        <v>271</v>
      </c>
      <c r="G10" s="528"/>
      <c r="H10" s="1175">
        <f>Commercial!C9</f>
        <v>3.3450200987511782</v>
      </c>
      <c r="I10" s="1177">
        <f>Recreational!C9</f>
        <v>2.4591344959510311</v>
      </c>
      <c r="J10" s="1177">
        <f>Tribal!C9</f>
        <v>0.58417980941204062</v>
      </c>
      <c r="K10" s="28"/>
      <c r="L10" s="1177">
        <f>Rebuilding!B9</f>
        <v>0</v>
      </c>
      <c r="M10" s="1177">
        <f>'Stock Status'!C9</f>
        <v>4</v>
      </c>
      <c r="N10" s="1177">
        <f>'Fishing mortality'!C9</f>
        <v>1</v>
      </c>
      <c r="O10" s="28"/>
      <c r="P10" s="28"/>
      <c r="Q10" s="781"/>
      <c r="R10" s="157"/>
      <c r="S10" s="28">
        <f t="shared" si="0"/>
        <v>0.70245422073774744</v>
      </c>
      <c r="T10" s="28">
        <f t="shared" si="1"/>
        <v>0.22132210463559279</v>
      </c>
      <c r="U10" s="28">
        <f t="shared" si="2"/>
        <v>2.9208990470602034E-2</v>
      </c>
      <c r="V10" s="28">
        <f t="shared" si="3"/>
        <v>0</v>
      </c>
      <c r="W10" s="28">
        <f t="shared" si="4"/>
        <v>0</v>
      </c>
      <c r="X10" s="28">
        <f t="shared" si="5"/>
        <v>0.32</v>
      </c>
      <c r="Y10" s="28">
        <f t="shared" si="6"/>
        <v>0.08</v>
      </c>
      <c r="Z10" s="412">
        <f t="shared" si="7"/>
        <v>0</v>
      </c>
      <c r="AA10" s="28">
        <f t="shared" si="8"/>
        <v>0</v>
      </c>
      <c r="AB10" s="329">
        <f t="shared" si="9"/>
        <v>0</v>
      </c>
      <c r="AC10" s="105">
        <f t="shared" si="13"/>
        <v>45</v>
      </c>
      <c r="AD10" s="104">
        <f t="shared" si="10"/>
        <v>1.3529853158439422</v>
      </c>
      <c r="AE10" s="189"/>
      <c r="AF10" s="189"/>
      <c r="AG10" s="189"/>
      <c r="AH10" s="189"/>
    </row>
    <row r="11" spans="1:34" ht="18" thickBot="1" x14ac:dyDescent="0.4">
      <c r="A11" s="724" t="s">
        <v>116</v>
      </c>
      <c r="B11" s="597">
        <f t="shared" si="11"/>
        <v>36</v>
      </c>
      <c r="C11" s="594">
        <f t="shared" si="12"/>
        <v>1.4961440811880304</v>
      </c>
      <c r="D11" s="907"/>
      <c r="E11" s="522">
        <v>2019</v>
      </c>
      <c r="F11" s="533" t="s">
        <v>260</v>
      </c>
      <c r="G11" s="528"/>
      <c r="H11" s="1175">
        <f>Commercial!C10</f>
        <v>4.1117278675998499</v>
      </c>
      <c r="I11" s="1177">
        <f>Recreational!C10</f>
        <v>0</v>
      </c>
      <c r="J11" s="1177">
        <f>Tribal!C10</f>
        <v>4.6536245798412406</v>
      </c>
      <c r="K11" s="28"/>
      <c r="L11" s="1177">
        <f>Rebuilding!B10</f>
        <v>0</v>
      </c>
      <c r="M11" s="1177">
        <f>'Stock Status'!C10</f>
        <v>2</v>
      </c>
      <c r="N11" s="1177">
        <f>'Fishing mortality'!C10</f>
        <v>3</v>
      </c>
      <c r="O11" s="28"/>
      <c r="P11" s="870"/>
      <c r="Q11" s="780"/>
      <c r="R11" s="157"/>
      <c r="S11" s="28">
        <f t="shared" si="0"/>
        <v>0.86346285219596841</v>
      </c>
      <c r="T11" s="28">
        <f t="shared" si="1"/>
        <v>0</v>
      </c>
      <c r="U11" s="28">
        <f t="shared" si="2"/>
        <v>0.23268122899206203</v>
      </c>
      <c r="V11" s="28">
        <f t="shared" si="3"/>
        <v>0</v>
      </c>
      <c r="W11" s="28">
        <f t="shared" si="4"/>
        <v>0</v>
      </c>
      <c r="X11" s="28">
        <f t="shared" si="5"/>
        <v>0.16</v>
      </c>
      <c r="Y11" s="28">
        <f t="shared" si="6"/>
        <v>0.24</v>
      </c>
      <c r="Z11" s="412">
        <f t="shared" si="7"/>
        <v>0</v>
      </c>
      <c r="AA11" s="28">
        <f t="shared" si="8"/>
        <v>0</v>
      </c>
      <c r="AB11" s="329">
        <f t="shared" si="9"/>
        <v>0</v>
      </c>
      <c r="AC11" s="105">
        <f t="shared" si="13"/>
        <v>36</v>
      </c>
      <c r="AD11" s="104">
        <f t="shared" si="10"/>
        <v>1.4961440811880304</v>
      </c>
      <c r="AE11" s="189"/>
      <c r="AF11" s="189"/>
      <c r="AG11" s="189"/>
      <c r="AH11" s="189"/>
    </row>
    <row r="12" spans="1:34" ht="18" thickBot="1" x14ac:dyDescent="0.4">
      <c r="A12" s="725" t="s">
        <v>5</v>
      </c>
      <c r="B12" s="597">
        <f t="shared" si="11"/>
        <v>5</v>
      </c>
      <c r="C12" s="594">
        <f t="shared" si="12"/>
        <v>2.7978288713459438</v>
      </c>
      <c r="D12" s="907" t="s">
        <v>404</v>
      </c>
      <c r="E12" s="522">
        <v>2015</v>
      </c>
      <c r="F12" s="533" t="s">
        <v>260</v>
      </c>
      <c r="G12" s="528"/>
      <c r="H12" s="1175">
        <f>Commercial!C11</f>
        <v>5.4587317502185577</v>
      </c>
      <c r="I12" s="1177">
        <f>Recreational!C11</f>
        <v>9.7465731314616111</v>
      </c>
      <c r="J12" s="1177">
        <f>Tribal!C11</f>
        <v>4.2860724393700362</v>
      </c>
      <c r="K12" s="28"/>
      <c r="L12" s="1177">
        <f>Rebuilding!B11</f>
        <v>0</v>
      </c>
      <c r="M12" s="1177">
        <f>'Stock Status'!C11</f>
        <v>4</v>
      </c>
      <c r="N12" s="1177">
        <f>'Fishing mortality'!C11</f>
        <v>3</v>
      </c>
      <c r="O12" s="28"/>
      <c r="P12" s="870"/>
      <c r="Q12" s="780"/>
      <c r="R12" s="157"/>
      <c r="S12" s="28">
        <f t="shared" si="0"/>
        <v>1.1463336675458971</v>
      </c>
      <c r="T12" s="28">
        <f t="shared" si="1"/>
        <v>0.877191581831545</v>
      </c>
      <c r="U12" s="28">
        <f t="shared" si="2"/>
        <v>0.21430362196850183</v>
      </c>
      <c r="V12" s="28">
        <f t="shared" si="3"/>
        <v>0</v>
      </c>
      <c r="W12" s="28">
        <f t="shared" si="4"/>
        <v>0</v>
      </c>
      <c r="X12" s="28">
        <f t="shared" si="5"/>
        <v>0.32</v>
      </c>
      <c r="Y12" s="28">
        <f t="shared" si="6"/>
        <v>0.24</v>
      </c>
      <c r="Z12" s="412">
        <f t="shared" si="7"/>
        <v>0</v>
      </c>
      <c r="AA12" s="28">
        <f t="shared" si="8"/>
        <v>0</v>
      </c>
      <c r="AB12" s="329">
        <f t="shared" si="9"/>
        <v>0</v>
      </c>
      <c r="AC12" s="105">
        <f t="shared" si="13"/>
        <v>5</v>
      </c>
      <c r="AD12" s="104">
        <f t="shared" si="10"/>
        <v>2.7978288713459438</v>
      </c>
      <c r="AE12" s="189"/>
      <c r="AF12" s="189"/>
      <c r="AG12" s="189"/>
      <c r="AH12" s="189"/>
    </row>
    <row r="13" spans="1:34" ht="18" thickBot="1" x14ac:dyDescent="0.4">
      <c r="A13" s="724" t="s">
        <v>175</v>
      </c>
      <c r="B13" s="597">
        <f t="shared" si="11"/>
        <v>41</v>
      </c>
      <c r="C13" s="594">
        <f t="shared" si="12"/>
        <v>1.4426272952991348</v>
      </c>
      <c r="D13" s="907" t="s">
        <v>259</v>
      </c>
      <c r="E13" s="522">
        <v>2017</v>
      </c>
      <c r="F13" s="535" t="s">
        <v>261</v>
      </c>
      <c r="G13" s="528"/>
      <c r="H13" s="1175">
        <f>Commercial!C12</f>
        <v>3.946432950400161</v>
      </c>
      <c r="I13" s="1177">
        <f>Recreational!C12</f>
        <v>0</v>
      </c>
      <c r="J13" s="1177">
        <f>Tribal!C12</f>
        <v>1.0775275143020195</v>
      </c>
      <c r="K13" s="28"/>
      <c r="L13" s="1177">
        <f>Rebuilding!B12</f>
        <v>0</v>
      </c>
      <c r="M13" s="1177">
        <f>'Stock Status'!C12</f>
        <v>4</v>
      </c>
      <c r="N13" s="1177">
        <f>'Fishing mortality'!C12</f>
        <v>3</v>
      </c>
      <c r="O13" s="28"/>
      <c r="P13" s="870"/>
      <c r="Q13" s="780"/>
      <c r="R13" s="157"/>
      <c r="S13" s="28">
        <f t="shared" si="0"/>
        <v>0.8287509195840338</v>
      </c>
      <c r="T13" s="28">
        <f t="shared" si="1"/>
        <v>0</v>
      </c>
      <c r="U13" s="28">
        <f t="shared" si="2"/>
        <v>5.3876375715100983E-2</v>
      </c>
      <c r="V13" s="28">
        <f t="shared" si="3"/>
        <v>0</v>
      </c>
      <c r="W13" s="28">
        <f t="shared" si="4"/>
        <v>0</v>
      </c>
      <c r="X13" s="28">
        <f t="shared" si="5"/>
        <v>0.32</v>
      </c>
      <c r="Y13" s="28">
        <f t="shared" si="6"/>
        <v>0.24</v>
      </c>
      <c r="Z13" s="412">
        <f t="shared" si="7"/>
        <v>0</v>
      </c>
      <c r="AA13" s="28">
        <f t="shared" si="8"/>
        <v>0</v>
      </c>
      <c r="AB13" s="329">
        <f t="shared" si="9"/>
        <v>0</v>
      </c>
      <c r="AC13" s="105">
        <f t="shared" si="13"/>
        <v>41</v>
      </c>
      <c r="AD13" s="104">
        <f t="shared" si="10"/>
        <v>1.4426272952991348</v>
      </c>
      <c r="AE13" s="189"/>
      <c r="AF13" s="189"/>
      <c r="AG13" s="189"/>
      <c r="AH13" s="189"/>
    </row>
    <row r="14" spans="1:34" ht="18" thickBot="1" x14ac:dyDescent="0.4">
      <c r="A14" s="724" t="s">
        <v>292</v>
      </c>
      <c r="B14" s="597">
        <f t="shared" si="11"/>
        <v>9</v>
      </c>
      <c r="C14" s="594">
        <f t="shared" si="12"/>
        <v>2.5545653646778255</v>
      </c>
      <c r="D14" s="907" t="s">
        <v>365</v>
      </c>
      <c r="E14" s="522">
        <v>2017</v>
      </c>
      <c r="F14" s="533" t="s">
        <v>260</v>
      </c>
      <c r="G14" s="528"/>
      <c r="H14" s="1175">
        <f>Commercial!C13</f>
        <v>3.751329954629671</v>
      </c>
      <c r="I14" s="1177">
        <f>Recreational!C13</f>
        <v>7.5754008245066089</v>
      </c>
      <c r="J14" s="1177">
        <f>Tribal!C13</f>
        <v>2.5</v>
      </c>
      <c r="K14" s="869"/>
      <c r="L14" s="1177">
        <f>Rebuilding!B13</f>
        <v>0</v>
      </c>
      <c r="M14" s="1177">
        <f>'Stock Status'!C13</f>
        <v>4</v>
      </c>
      <c r="N14" s="1177">
        <f>'Fishing mortality'!C13</f>
        <v>8</v>
      </c>
      <c r="O14" s="28"/>
      <c r="P14" s="870"/>
      <c r="Q14" s="780"/>
      <c r="R14" s="157"/>
      <c r="S14" s="28">
        <f t="shared" si="0"/>
        <v>0.78777929047223083</v>
      </c>
      <c r="T14" s="28">
        <f t="shared" si="1"/>
        <v>0.68178607420559478</v>
      </c>
      <c r="U14" s="28">
        <f t="shared" si="2"/>
        <v>0.125</v>
      </c>
      <c r="V14" s="28">
        <f t="shared" si="3"/>
        <v>0</v>
      </c>
      <c r="W14" s="28">
        <f t="shared" si="4"/>
        <v>0</v>
      </c>
      <c r="X14" s="28">
        <f t="shared" si="5"/>
        <v>0.32</v>
      </c>
      <c r="Y14" s="28">
        <f t="shared" si="6"/>
        <v>0.64</v>
      </c>
      <c r="Z14" s="412">
        <f t="shared" si="7"/>
        <v>0</v>
      </c>
      <c r="AA14" s="28">
        <f t="shared" si="8"/>
        <v>0</v>
      </c>
      <c r="AB14" s="329">
        <f t="shared" si="9"/>
        <v>0</v>
      </c>
      <c r="AC14" s="105">
        <f t="shared" si="13"/>
        <v>9</v>
      </c>
      <c r="AD14" s="104">
        <f t="shared" si="10"/>
        <v>2.5545653646778255</v>
      </c>
      <c r="AE14" s="189"/>
      <c r="AF14" s="189"/>
      <c r="AG14" s="189"/>
      <c r="AH14" s="189"/>
    </row>
    <row r="15" spans="1:34" ht="18" thickBot="1" x14ac:dyDescent="0.4">
      <c r="A15" s="725" t="s">
        <v>104</v>
      </c>
      <c r="B15" s="597">
        <f t="shared" si="11"/>
        <v>16</v>
      </c>
      <c r="C15" s="594">
        <f t="shared" si="12"/>
        <v>2.0844736634202046</v>
      </c>
      <c r="D15" s="907" t="s">
        <v>259</v>
      </c>
      <c r="E15" s="522">
        <v>2017</v>
      </c>
      <c r="F15" s="535" t="s">
        <v>261</v>
      </c>
      <c r="G15" s="528"/>
      <c r="H15" s="1175">
        <f>Commercial!C14</f>
        <v>4.5868021627512965</v>
      </c>
      <c r="I15" s="1177">
        <f>Recreational!C14</f>
        <v>6.910398455791162</v>
      </c>
      <c r="J15" s="1177">
        <f>Tribal!C14</f>
        <v>1.9861869644245502</v>
      </c>
      <c r="K15" s="28"/>
      <c r="L15" s="1177">
        <f>Rebuilding!B14</f>
        <v>0</v>
      </c>
      <c r="M15" s="1177">
        <f>'Stock Status'!C14</f>
        <v>3</v>
      </c>
      <c r="N15" s="1177">
        <f>'Fishing mortality'!C14</f>
        <v>2</v>
      </c>
      <c r="O15" s="28"/>
      <c r="P15" s="870"/>
      <c r="Q15" s="780"/>
      <c r="R15" s="157"/>
      <c r="S15" s="28">
        <f t="shared" si="0"/>
        <v>0.96322845417777225</v>
      </c>
      <c r="T15" s="28">
        <f t="shared" si="1"/>
        <v>0.62193586102120457</v>
      </c>
      <c r="U15" s="28">
        <f t="shared" si="2"/>
        <v>9.9309348221227514E-2</v>
      </c>
      <c r="V15" s="28">
        <f t="shared" si="3"/>
        <v>0</v>
      </c>
      <c r="W15" s="28">
        <f t="shared" si="4"/>
        <v>0</v>
      </c>
      <c r="X15" s="28">
        <f t="shared" si="5"/>
        <v>0.24</v>
      </c>
      <c r="Y15" s="28">
        <f t="shared" si="6"/>
        <v>0.16</v>
      </c>
      <c r="Z15" s="412">
        <f t="shared" si="7"/>
        <v>0</v>
      </c>
      <c r="AA15" s="28">
        <f t="shared" si="8"/>
        <v>0</v>
      </c>
      <c r="AB15" s="329">
        <f t="shared" si="9"/>
        <v>0</v>
      </c>
      <c r="AC15" s="105">
        <f t="shared" si="13"/>
        <v>16</v>
      </c>
      <c r="AD15" s="104">
        <f t="shared" si="10"/>
        <v>2.0844736634202046</v>
      </c>
      <c r="AE15" s="189"/>
      <c r="AF15" s="189"/>
      <c r="AG15" s="189"/>
      <c r="AH15" s="189"/>
    </row>
    <row r="16" spans="1:34" ht="18" thickBot="1" x14ac:dyDescent="0.4">
      <c r="A16" s="724" t="s">
        <v>117</v>
      </c>
      <c r="B16" s="597">
        <f t="shared" si="11"/>
        <v>11</v>
      </c>
      <c r="C16" s="594">
        <f t="shared" si="12"/>
        <v>2.3443442569409245</v>
      </c>
      <c r="D16" s="907" t="s">
        <v>366</v>
      </c>
      <c r="E16" s="522">
        <v>2013</v>
      </c>
      <c r="F16" s="536" t="s">
        <v>270</v>
      </c>
      <c r="G16" s="529"/>
      <c r="H16" s="1175">
        <f>Commercial!C15</f>
        <v>4.4870772599962532</v>
      </c>
      <c r="I16" s="1177">
        <f>Recreational!C15</f>
        <v>6.1895336926856821</v>
      </c>
      <c r="J16" s="1177">
        <f>Tribal!C15</f>
        <v>2.5</v>
      </c>
      <c r="K16" s="28"/>
      <c r="L16" s="1177">
        <f>Rebuilding!B15</f>
        <v>0</v>
      </c>
      <c r="M16" s="1177">
        <f>'Stock Status'!C15</f>
        <v>4</v>
      </c>
      <c r="N16" s="1177">
        <f>'Fishing mortality'!C15</f>
        <v>5</v>
      </c>
      <c r="O16" s="28"/>
      <c r="P16" s="28"/>
      <c r="Q16" s="1359"/>
      <c r="R16" s="157"/>
      <c r="S16" s="28">
        <f t="shared" si="0"/>
        <v>0.94228622459921318</v>
      </c>
      <c r="T16" s="28">
        <f t="shared" si="1"/>
        <v>0.55705803234171136</v>
      </c>
      <c r="U16" s="28">
        <f t="shared" si="2"/>
        <v>0.125</v>
      </c>
      <c r="V16" s="28">
        <f t="shared" si="3"/>
        <v>0</v>
      </c>
      <c r="W16" s="28">
        <f t="shared" si="4"/>
        <v>0</v>
      </c>
      <c r="X16" s="28">
        <f t="shared" si="5"/>
        <v>0.32</v>
      </c>
      <c r="Y16" s="28">
        <f t="shared" si="6"/>
        <v>0.4</v>
      </c>
      <c r="Z16" s="412">
        <f t="shared" si="7"/>
        <v>0</v>
      </c>
      <c r="AA16" s="28">
        <f t="shared" si="8"/>
        <v>0</v>
      </c>
      <c r="AB16" s="329">
        <f t="shared" si="9"/>
        <v>0</v>
      </c>
      <c r="AC16" s="105">
        <f t="shared" si="13"/>
        <v>11</v>
      </c>
      <c r="AD16" s="104">
        <f t="shared" si="10"/>
        <v>2.3443442569409245</v>
      </c>
      <c r="AE16" s="189"/>
      <c r="AF16" s="189"/>
      <c r="AG16" s="189"/>
      <c r="AH16" s="189"/>
    </row>
    <row r="17" spans="1:34" ht="18" thickBot="1" x14ac:dyDescent="0.4">
      <c r="A17" s="724" t="s">
        <v>9</v>
      </c>
      <c r="B17" s="597">
        <f t="shared" si="11"/>
        <v>15</v>
      </c>
      <c r="C17" s="594">
        <f t="shared" si="12"/>
        <v>2.1489672323060982</v>
      </c>
      <c r="D17" s="907"/>
      <c r="E17" s="522">
        <v>2019</v>
      </c>
      <c r="F17" s="533" t="s">
        <v>260</v>
      </c>
      <c r="G17" s="528"/>
      <c r="H17" s="1175">
        <f>Commercial!C16</f>
        <v>5.0860353657661559</v>
      </c>
      <c r="I17" s="1177">
        <f>Recreational!C16</f>
        <v>5.5655533943911708</v>
      </c>
      <c r="J17" s="1177">
        <f>Tribal!C16</f>
        <v>2</v>
      </c>
      <c r="K17" s="870"/>
      <c r="L17" s="1177">
        <f>Rebuilding!B16</f>
        <v>0</v>
      </c>
      <c r="M17" s="1177">
        <f>'Stock Status'!C16</f>
        <v>3</v>
      </c>
      <c r="N17" s="1177">
        <f>'Fishing mortality'!C16</f>
        <v>3</v>
      </c>
      <c r="O17" s="28"/>
      <c r="P17" s="870"/>
      <c r="Q17" s="780"/>
      <c r="R17" s="157"/>
      <c r="S17" s="28">
        <f t="shared" si="0"/>
        <v>1.0680674268108927</v>
      </c>
      <c r="T17" s="28">
        <f t="shared" si="1"/>
        <v>0.50089980549520541</v>
      </c>
      <c r="U17" s="28">
        <f t="shared" si="2"/>
        <v>0.1</v>
      </c>
      <c r="V17" s="28">
        <f t="shared" si="3"/>
        <v>0</v>
      </c>
      <c r="W17" s="28">
        <f t="shared" si="4"/>
        <v>0</v>
      </c>
      <c r="X17" s="28">
        <f t="shared" si="5"/>
        <v>0.24</v>
      </c>
      <c r="Y17" s="28">
        <f t="shared" si="6"/>
        <v>0.24</v>
      </c>
      <c r="Z17" s="412">
        <f t="shared" si="7"/>
        <v>0</v>
      </c>
      <c r="AA17" s="28">
        <f t="shared" si="8"/>
        <v>0</v>
      </c>
      <c r="AB17" s="329">
        <f t="shared" si="9"/>
        <v>0</v>
      </c>
      <c r="AC17" s="105">
        <f t="shared" si="13"/>
        <v>15</v>
      </c>
      <c r="AD17" s="104">
        <f t="shared" si="10"/>
        <v>2.1489672323060982</v>
      </c>
      <c r="AE17" s="189"/>
      <c r="AF17" s="189"/>
      <c r="AG17" s="189"/>
      <c r="AH17" s="189"/>
    </row>
    <row r="18" spans="1:34" ht="18" thickBot="1" x14ac:dyDescent="0.4">
      <c r="A18" s="725" t="s">
        <v>99</v>
      </c>
      <c r="B18" s="597">
        <f t="shared" si="11"/>
        <v>25</v>
      </c>
      <c r="C18" s="594">
        <f t="shared" si="12"/>
        <v>1.6881884507018126</v>
      </c>
      <c r="D18" s="907" t="s">
        <v>259</v>
      </c>
      <c r="E18" s="522">
        <v>2017</v>
      </c>
      <c r="F18" s="533" t="s">
        <v>260</v>
      </c>
      <c r="G18" s="528"/>
      <c r="H18" s="1175">
        <f>Commercial!C17</f>
        <v>2.8553881813797837</v>
      </c>
      <c r="I18" s="1177">
        <f>Recreational!C17</f>
        <v>6.7617436956895336</v>
      </c>
      <c r="J18" s="1177">
        <f>Tribal!C17</f>
        <v>0</v>
      </c>
      <c r="K18" s="28"/>
      <c r="L18" s="1177">
        <f>Rebuilding!B17</f>
        <v>0</v>
      </c>
      <c r="M18" s="1177">
        <f>'Stock Status'!C17</f>
        <v>3</v>
      </c>
      <c r="N18" s="1177">
        <f>'Fishing mortality'!C17</f>
        <v>3</v>
      </c>
      <c r="O18" s="28"/>
      <c r="P18" s="870"/>
      <c r="Q18" s="780"/>
      <c r="R18" s="157"/>
      <c r="S18" s="28">
        <f t="shared" si="0"/>
        <v>0.59963151808975457</v>
      </c>
      <c r="T18" s="28">
        <f t="shared" si="1"/>
        <v>0.60855693261205801</v>
      </c>
      <c r="U18" s="28">
        <f t="shared" si="2"/>
        <v>0</v>
      </c>
      <c r="V18" s="28">
        <f t="shared" si="3"/>
        <v>0</v>
      </c>
      <c r="W18" s="28">
        <f t="shared" si="4"/>
        <v>0</v>
      </c>
      <c r="X18" s="28">
        <f t="shared" si="5"/>
        <v>0.24</v>
      </c>
      <c r="Y18" s="28">
        <f t="shared" si="6"/>
        <v>0.24</v>
      </c>
      <c r="Z18" s="412">
        <f t="shared" si="7"/>
        <v>0</v>
      </c>
      <c r="AA18" s="28">
        <f t="shared" si="8"/>
        <v>0</v>
      </c>
      <c r="AB18" s="329">
        <f t="shared" si="9"/>
        <v>0</v>
      </c>
      <c r="AC18" s="105">
        <f t="shared" si="13"/>
        <v>25</v>
      </c>
      <c r="AD18" s="104">
        <f t="shared" si="10"/>
        <v>1.6881884507018126</v>
      </c>
      <c r="AE18" s="189"/>
      <c r="AF18" s="189"/>
      <c r="AG18" s="189"/>
      <c r="AH18" s="189"/>
    </row>
    <row r="19" spans="1:34" ht="18" thickBot="1" x14ac:dyDescent="0.4">
      <c r="A19" s="725" t="s">
        <v>14</v>
      </c>
      <c r="B19" s="597">
        <f t="shared" si="11"/>
        <v>12</v>
      </c>
      <c r="C19" s="594">
        <f t="shared" si="12"/>
        <v>2.3245634555903774</v>
      </c>
      <c r="D19" s="907"/>
      <c r="E19" s="522">
        <v>2015</v>
      </c>
      <c r="F19" s="533" t="s">
        <v>260</v>
      </c>
      <c r="G19" s="528"/>
      <c r="H19" s="1175">
        <f>Commercial!C18</f>
        <v>4.5835613234585573</v>
      </c>
      <c r="I19" s="1177">
        <f>Recreational!C18</f>
        <v>6.6650644551654752</v>
      </c>
      <c r="J19" s="1177">
        <f>Tribal!C18</f>
        <v>5.6431955339837554</v>
      </c>
      <c r="K19" s="28"/>
      <c r="L19" s="1177">
        <f>Rebuilding!B18</f>
        <v>0</v>
      </c>
      <c r="M19" s="1177">
        <f>'Stock Status'!C18</f>
        <v>3</v>
      </c>
      <c r="N19" s="1177">
        <f>'Fishing mortality'!C18</f>
        <v>3</v>
      </c>
      <c r="O19" s="28"/>
      <c r="P19" s="870"/>
      <c r="Q19" s="780"/>
      <c r="R19" s="157"/>
      <c r="S19" s="28">
        <f t="shared" si="0"/>
        <v>0.96254787792629704</v>
      </c>
      <c r="T19" s="28">
        <f t="shared" si="1"/>
        <v>0.59985580096489277</v>
      </c>
      <c r="U19" s="28">
        <f t="shared" si="2"/>
        <v>0.28215977669918779</v>
      </c>
      <c r="V19" s="28">
        <f t="shared" si="3"/>
        <v>0</v>
      </c>
      <c r="W19" s="28">
        <f t="shared" si="4"/>
        <v>0</v>
      </c>
      <c r="X19" s="28">
        <f t="shared" si="5"/>
        <v>0.24</v>
      </c>
      <c r="Y19" s="28">
        <f t="shared" si="6"/>
        <v>0.24</v>
      </c>
      <c r="Z19" s="412">
        <f t="shared" si="7"/>
        <v>0</v>
      </c>
      <c r="AA19" s="28">
        <f t="shared" si="8"/>
        <v>0</v>
      </c>
      <c r="AB19" s="329">
        <f t="shared" si="9"/>
        <v>0</v>
      </c>
      <c r="AC19" s="105">
        <f t="shared" si="13"/>
        <v>12</v>
      </c>
      <c r="AD19" s="104">
        <f t="shared" si="10"/>
        <v>2.3245634555903774</v>
      </c>
      <c r="AE19" s="189"/>
      <c r="AF19" s="189"/>
      <c r="AG19" s="189"/>
      <c r="AH19" s="189"/>
    </row>
    <row r="20" spans="1:34" ht="18" thickBot="1" x14ac:dyDescent="0.4">
      <c r="A20" s="725" t="s">
        <v>109</v>
      </c>
      <c r="B20" s="597">
        <f t="shared" si="11"/>
        <v>28</v>
      </c>
      <c r="C20" s="594">
        <f t="shared" si="12"/>
        <v>1.6737481669853631</v>
      </c>
      <c r="D20" s="907" t="s">
        <v>259</v>
      </c>
      <c r="E20" s="522">
        <v>2015</v>
      </c>
      <c r="F20" s="535" t="s">
        <v>261</v>
      </c>
      <c r="G20" s="528"/>
      <c r="H20" s="1175">
        <f>Commercial!C19</f>
        <v>4.7807186184641459</v>
      </c>
      <c r="I20" s="1177">
        <f>Recreational!C19</f>
        <v>3.6094088780762541</v>
      </c>
      <c r="J20" s="1177">
        <f>Tribal!C19</f>
        <v>0.49900916162059628</v>
      </c>
      <c r="K20" s="28"/>
      <c r="L20" s="1177">
        <f>Rebuilding!B19</f>
        <v>0</v>
      </c>
      <c r="M20" s="1177">
        <f>'Stock Status'!C19</f>
        <v>2</v>
      </c>
      <c r="N20" s="1177">
        <f>'Fishing mortality'!C19</f>
        <v>2</v>
      </c>
      <c r="O20" s="28"/>
      <c r="P20" s="870"/>
      <c r="Q20" s="780"/>
      <c r="R20" s="157"/>
      <c r="S20" s="28">
        <f t="shared" si="0"/>
        <v>1.0039509098774706</v>
      </c>
      <c r="T20" s="28">
        <f t="shared" si="1"/>
        <v>0.32484679902686286</v>
      </c>
      <c r="U20" s="28">
        <f t="shared" si="2"/>
        <v>2.4950458081029817E-2</v>
      </c>
      <c r="V20" s="28">
        <f t="shared" si="3"/>
        <v>0</v>
      </c>
      <c r="W20" s="28">
        <f t="shared" si="4"/>
        <v>0</v>
      </c>
      <c r="X20" s="28">
        <f t="shared" si="5"/>
        <v>0.16</v>
      </c>
      <c r="Y20" s="28">
        <f t="shared" si="6"/>
        <v>0.16</v>
      </c>
      <c r="Z20" s="412">
        <f t="shared" si="7"/>
        <v>0</v>
      </c>
      <c r="AA20" s="28">
        <f t="shared" si="8"/>
        <v>0</v>
      </c>
      <c r="AB20" s="329">
        <f t="shared" si="9"/>
        <v>0</v>
      </c>
      <c r="AC20" s="105">
        <f t="shared" si="13"/>
        <v>28</v>
      </c>
      <c r="AD20" s="104">
        <f t="shared" si="10"/>
        <v>1.6737481669853631</v>
      </c>
      <c r="AE20" s="189"/>
      <c r="AF20" s="189"/>
      <c r="AG20" s="189"/>
      <c r="AH20" s="189"/>
    </row>
    <row r="21" spans="1:34" ht="18" thickBot="1" x14ac:dyDescent="0.4">
      <c r="A21" s="724" t="s">
        <v>112</v>
      </c>
      <c r="B21" s="597">
        <f t="shared" si="11"/>
        <v>19</v>
      </c>
      <c r="C21" s="594">
        <f t="shared" si="12"/>
        <v>1.9422813114465902</v>
      </c>
      <c r="D21" s="907"/>
      <c r="E21" s="522">
        <v>2015</v>
      </c>
      <c r="F21" s="533" t="s">
        <v>260</v>
      </c>
      <c r="G21" s="528"/>
      <c r="H21" s="1175">
        <f>Commercial!C20</f>
        <v>3.702746152095171</v>
      </c>
      <c r="I21" s="1177">
        <f>Recreational!C20</f>
        <v>4.4411624389622686</v>
      </c>
      <c r="J21" s="1177">
        <f>Tribal!C20</f>
        <v>2.5</v>
      </c>
      <c r="K21" s="28"/>
      <c r="L21" s="1177">
        <f>Rebuilding!B20</f>
        <v>0</v>
      </c>
      <c r="M21" s="1177">
        <f>'Stock Status'!C20</f>
        <v>3</v>
      </c>
      <c r="N21" s="1177">
        <f>'Fishing mortality'!C20</f>
        <v>5</v>
      </c>
      <c r="O21" s="28"/>
      <c r="P21" s="870"/>
      <c r="Q21" s="780"/>
      <c r="R21" s="157"/>
      <c r="S21" s="28">
        <f t="shared" si="0"/>
        <v>0.77757669193998591</v>
      </c>
      <c r="T21" s="28">
        <f t="shared" si="1"/>
        <v>0.39970461950660413</v>
      </c>
      <c r="U21" s="28">
        <f t="shared" si="2"/>
        <v>0.125</v>
      </c>
      <c r="V21" s="28">
        <f t="shared" si="3"/>
        <v>0</v>
      </c>
      <c r="W21" s="28">
        <f t="shared" si="4"/>
        <v>0</v>
      </c>
      <c r="X21" s="28">
        <f t="shared" si="5"/>
        <v>0.24</v>
      </c>
      <c r="Y21" s="28">
        <f t="shared" si="6"/>
        <v>0.4</v>
      </c>
      <c r="Z21" s="412">
        <f t="shared" si="7"/>
        <v>0</v>
      </c>
      <c r="AA21" s="28">
        <f t="shared" si="8"/>
        <v>0</v>
      </c>
      <c r="AB21" s="329">
        <f t="shared" si="9"/>
        <v>0</v>
      </c>
      <c r="AC21" s="105">
        <f t="shared" si="13"/>
        <v>19</v>
      </c>
      <c r="AD21" s="104">
        <f t="shared" si="10"/>
        <v>1.9422813114465902</v>
      </c>
      <c r="AE21" s="189"/>
      <c r="AF21" s="189"/>
      <c r="AG21" s="189"/>
      <c r="AH21" s="189"/>
    </row>
    <row r="22" spans="1:34" ht="18" thickBot="1" x14ac:dyDescent="0.4">
      <c r="A22" s="724" t="s">
        <v>118</v>
      </c>
      <c r="B22" s="597">
        <f t="shared" si="11"/>
        <v>10</v>
      </c>
      <c r="C22" s="594">
        <f t="shared" si="12"/>
        <v>2.4741359680014261</v>
      </c>
      <c r="D22" s="907" t="s">
        <v>404</v>
      </c>
      <c r="E22" s="522">
        <v>2021</v>
      </c>
      <c r="F22" s="536" t="s">
        <v>270</v>
      </c>
      <c r="G22" s="528"/>
      <c r="H22" s="1175">
        <f>Commercial!C21</f>
        <v>4.0910824110525459</v>
      </c>
      <c r="I22" s="1177">
        <f>Recreational!C21</f>
        <v>7.3585966636466793</v>
      </c>
      <c r="J22" s="1177">
        <f>Tribal!C21</f>
        <v>3.054699239043805</v>
      </c>
      <c r="K22" s="28"/>
      <c r="L22" s="1177">
        <f>Rebuilding!B21</f>
        <v>0</v>
      </c>
      <c r="M22" s="1177">
        <f>'Stock Status'!C21</f>
        <v>5</v>
      </c>
      <c r="N22" s="1177">
        <f>'Fishing mortality'!C21</f>
        <v>5</v>
      </c>
      <c r="O22" s="28"/>
      <c r="P22" s="28"/>
      <c r="Q22" s="1359"/>
      <c r="R22" s="157"/>
      <c r="S22" s="28">
        <f t="shared" si="0"/>
        <v>0.85912730632103462</v>
      </c>
      <c r="T22" s="28">
        <f t="shared" si="1"/>
        <v>0.66227369972820116</v>
      </c>
      <c r="U22" s="28">
        <f t="shared" si="2"/>
        <v>0.15273496195219027</v>
      </c>
      <c r="V22" s="28">
        <f t="shared" si="3"/>
        <v>0</v>
      </c>
      <c r="W22" s="28">
        <f t="shared" si="4"/>
        <v>0</v>
      </c>
      <c r="X22" s="28">
        <f t="shared" si="5"/>
        <v>0.4</v>
      </c>
      <c r="Y22" s="28">
        <f t="shared" si="6"/>
        <v>0.4</v>
      </c>
      <c r="Z22" s="412">
        <f t="shared" si="7"/>
        <v>0</v>
      </c>
      <c r="AA22" s="28">
        <f t="shared" si="8"/>
        <v>0</v>
      </c>
      <c r="AB22" s="329">
        <f t="shared" si="9"/>
        <v>0</v>
      </c>
      <c r="AC22" s="105">
        <f t="shared" si="13"/>
        <v>10</v>
      </c>
      <c r="AD22" s="104">
        <f t="shared" si="10"/>
        <v>2.4741359680014261</v>
      </c>
      <c r="AE22" s="189"/>
      <c r="AF22" s="189"/>
      <c r="AG22" s="189"/>
      <c r="AH22" s="189"/>
    </row>
    <row r="23" spans="1:34" ht="18" thickBot="1" x14ac:dyDescent="0.4">
      <c r="A23" s="725" t="s">
        <v>102</v>
      </c>
      <c r="B23" s="597">
        <f t="shared" si="11"/>
        <v>63</v>
      </c>
      <c r="C23" s="594">
        <f t="shared" si="12"/>
        <v>0.8024296938540858</v>
      </c>
      <c r="D23" s="907" t="s">
        <v>404</v>
      </c>
      <c r="E23" s="522">
        <v>2019</v>
      </c>
      <c r="F23" s="533" t="s">
        <v>260</v>
      </c>
      <c r="G23" s="528"/>
      <c r="H23" s="1175">
        <f>Commercial!C22</f>
        <v>1.4931254574072874</v>
      </c>
      <c r="I23" s="1177">
        <f>Recreational!C22</f>
        <v>1.8763705310950614</v>
      </c>
      <c r="J23" s="1177">
        <f>Tribal!C22</f>
        <v>0</v>
      </c>
      <c r="K23" s="28"/>
      <c r="L23" s="1177">
        <f>Rebuilding!B22</f>
        <v>0</v>
      </c>
      <c r="M23" s="1177">
        <f>'Stock Status'!C22</f>
        <v>3</v>
      </c>
      <c r="N23" s="1177">
        <f>'Fishing mortality'!C22</f>
        <v>1</v>
      </c>
      <c r="O23" s="28"/>
      <c r="P23" s="870"/>
      <c r="Q23" s="780"/>
      <c r="R23" s="157"/>
      <c r="S23" s="28">
        <f t="shared" si="0"/>
        <v>0.31355634605553034</v>
      </c>
      <c r="T23" s="28">
        <f t="shared" si="1"/>
        <v>0.16887334779855551</v>
      </c>
      <c r="U23" s="28">
        <f t="shared" si="2"/>
        <v>0</v>
      </c>
      <c r="V23" s="28">
        <f t="shared" si="3"/>
        <v>0</v>
      </c>
      <c r="W23" s="28">
        <f t="shared" si="4"/>
        <v>0</v>
      </c>
      <c r="X23" s="28">
        <f t="shared" si="5"/>
        <v>0.24</v>
      </c>
      <c r="Y23" s="28">
        <f t="shared" si="6"/>
        <v>0.08</v>
      </c>
      <c r="Z23" s="412">
        <f t="shared" si="7"/>
        <v>0</v>
      </c>
      <c r="AA23" s="28">
        <f t="shared" si="8"/>
        <v>0</v>
      </c>
      <c r="AB23" s="329">
        <f t="shared" si="9"/>
        <v>0</v>
      </c>
      <c r="AC23" s="105">
        <f t="shared" si="13"/>
        <v>63</v>
      </c>
      <c r="AD23" s="104">
        <f t="shared" si="10"/>
        <v>0.8024296938540858</v>
      </c>
      <c r="AE23" s="189"/>
      <c r="AF23" s="189"/>
      <c r="AG23" s="189"/>
      <c r="AH23" s="189"/>
    </row>
    <row r="24" spans="1:34" ht="18" thickBot="1" x14ac:dyDescent="0.4">
      <c r="A24" s="725" t="s">
        <v>22</v>
      </c>
      <c r="B24" s="597">
        <f t="shared" ref="B24" si="14">RANK(C24,C$9:C$72)</f>
        <v>62</v>
      </c>
      <c r="C24" s="594">
        <f t="shared" ref="C24" si="15">SUM(S24:AB24)</f>
        <v>0.91211793377425132</v>
      </c>
      <c r="D24" s="907"/>
      <c r="E24" s="1185"/>
      <c r="F24" s="1278" t="s">
        <v>271</v>
      </c>
      <c r="G24" s="528"/>
      <c r="H24" s="1175">
        <f>Commercial!C23</f>
        <v>1.8196092084488162</v>
      </c>
      <c r="I24" s="1177">
        <f>Recreational!C23</f>
        <v>0</v>
      </c>
      <c r="J24" s="1177">
        <f>Tribal!C23</f>
        <v>1</v>
      </c>
      <c r="K24" s="28"/>
      <c r="L24" s="1177">
        <f>Rebuilding!B23</f>
        <v>0</v>
      </c>
      <c r="M24" s="1177">
        <f>'Stock Status'!C23</f>
        <v>3</v>
      </c>
      <c r="N24" s="1177">
        <f>'Fishing mortality'!C23</f>
        <v>3</v>
      </c>
      <c r="O24" s="28"/>
      <c r="P24" s="870"/>
      <c r="Q24" s="781"/>
      <c r="R24" s="157"/>
      <c r="S24" s="28">
        <f t="shared" ref="S24" si="16">H24*H$7</f>
        <v>0.38211793377425141</v>
      </c>
      <c r="T24" s="28">
        <f t="shared" ref="T24" si="17">I24*I$7</f>
        <v>0</v>
      </c>
      <c r="U24" s="28">
        <f t="shared" ref="U24" si="18">J24*J$7</f>
        <v>0.05</v>
      </c>
      <c r="V24" s="28">
        <f t="shared" ref="V24" si="19">K24*K$7</f>
        <v>0</v>
      </c>
      <c r="W24" s="28">
        <f t="shared" ref="W24" si="20">L24*L$7</f>
        <v>0</v>
      </c>
      <c r="X24" s="28">
        <f t="shared" ref="X24" si="21">M24*M$7</f>
        <v>0.24</v>
      </c>
      <c r="Y24" s="28">
        <f t="shared" ref="Y24" si="22">N24*N$7</f>
        <v>0.24</v>
      </c>
      <c r="Z24" s="412">
        <f t="shared" ref="Z24" si="23">O24*O$7</f>
        <v>0</v>
      </c>
      <c r="AA24" s="28">
        <f t="shared" ref="AA24" si="24">P24*P$7</f>
        <v>0</v>
      </c>
      <c r="AB24" s="329">
        <f t="shared" ref="AB24" si="25">Q24*Q$7</f>
        <v>0</v>
      </c>
      <c r="AC24" s="105">
        <f t="shared" si="13"/>
        <v>62</v>
      </c>
      <c r="AD24" s="104">
        <f t="shared" si="10"/>
        <v>0.91211793377425132</v>
      </c>
      <c r="AE24" s="189"/>
      <c r="AF24" s="189"/>
      <c r="AG24" s="189"/>
      <c r="AH24" s="189"/>
    </row>
    <row r="25" spans="1:34" ht="18" thickBot="1" x14ac:dyDescent="0.4">
      <c r="A25" s="725" t="s">
        <v>13</v>
      </c>
      <c r="B25" s="597">
        <f t="shared" si="11"/>
        <v>34</v>
      </c>
      <c r="C25" s="594">
        <f t="shared" si="12"/>
        <v>1.5146564499993873</v>
      </c>
      <c r="D25" s="907" t="s">
        <v>259</v>
      </c>
      <c r="E25" s="522">
        <v>2017</v>
      </c>
      <c r="F25" s="535" t="s">
        <v>261</v>
      </c>
      <c r="G25" s="528"/>
      <c r="H25" s="1175">
        <f>Commercial!C24</f>
        <v>4.1923477804301443</v>
      </c>
      <c r="I25" s="1177">
        <f>Recreational!C24</f>
        <v>0</v>
      </c>
      <c r="J25" s="1177">
        <f>Tribal!C24</f>
        <v>1.4852683221811402</v>
      </c>
      <c r="K25" s="28"/>
      <c r="L25" s="1177">
        <f>Rebuilding!B24</f>
        <v>0</v>
      </c>
      <c r="M25" s="1177">
        <f>'Stock Status'!C24</f>
        <v>4</v>
      </c>
      <c r="N25" s="1177">
        <f>'Fishing mortality'!C24</f>
        <v>3</v>
      </c>
      <c r="O25" s="28"/>
      <c r="P25" s="870"/>
      <c r="Q25" s="780"/>
      <c r="R25" s="157"/>
      <c r="S25" s="28">
        <f t="shared" si="0"/>
        <v>0.8803930338903303</v>
      </c>
      <c r="T25" s="28">
        <f t="shared" si="1"/>
        <v>0</v>
      </c>
      <c r="U25" s="28">
        <f t="shared" si="2"/>
        <v>7.4263416109057012E-2</v>
      </c>
      <c r="V25" s="28">
        <f t="shared" si="3"/>
        <v>0</v>
      </c>
      <c r="W25" s="28">
        <f t="shared" si="4"/>
        <v>0</v>
      </c>
      <c r="X25" s="28">
        <f t="shared" si="5"/>
        <v>0.32</v>
      </c>
      <c r="Y25" s="28">
        <f t="shared" si="6"/>
        <v>0.24</v>
      </c>
      <c r="Z25" s="412">
        <f t="shared" si="7"/>
        <v>0</v>
      </c>
      <c r="AA25" s="28">
        <f t="shared" si="8"/>
        <v>0</v>
      </c>
      <c r="AB25" s="329">
        <f t="shared" si="9"/>
        <v>0</v>
      </c>
      <c r="AC25" s="105">
        <f t="shared" si="13"/>
        <v>34</v>
      </c>
      <c r="AD25" s="104">
        <f t="shared" si="10"/>
        <v>1.5146564499993873</v>
      </c>
      <c r="AE25" s="189"/>
      <c r="AF25" s="189"/>
      <c r="AG25" s="189"/>
      <c r="AH25" s="189"/>
    </row>
    <row r="26" spans="1:34" ht="18" thickBot="1" x14ac:dyDescent="0.4">
      <c r="A26" s="725" t="s">
        <v>6</v>
      </c>
      <c r="B26" s="597">
        <f t="shared" si="11"/>
        <v>14</v>
      </c>
      <c r="C26" s="594">
        <f t="shared" si="12"/>
        <v>2.1913420784638444</v>
      </c>
      <c r="D26" s="907" t="s">
        <v>259</v>
      </c>
      <c r="E26" s="522">
        <v>2021</v>
      </c>
      <c r="F26" s="533" t="s">
        <v>260</v>
      </c>
      <c r="G26" s="528"/>
      <c r="H26" s="1175">
        <f>Commercial!C25</f>
        <v>7.8708016664396272</v>
      </c>
      <c r="I26" s="1177">
        <f>Recreational!C25</f>
        <v>1.3637010661504583</v>
      </c>
      <c r="J26" s="1177">
        <f>Tribal!C25</f>
        <v>5.1148126511596264</v>
      </c>
      <c r="K26" s="28"/>
      <c r="L26" s="1177">
        <f>Rebuilding!B25</f>
        <v>0</v>
      </c>
      <c r="M26" s="1177">
        <f>'Stock Status'!C25</f>
        <v>1</v>
      </c>
      <c r="N26" s="1177">
        <f>'Fishing mortality'!C25</f>
        <v>1</v>
      </c>
      <c r="O26" s="28"/>
      <c r="P26" s="28"/>
      <c r="Q26" s="780"/>
      <c r="R26" s="157"/>
      <c r="S26" s="28">
        <f t="shared" si="0"/>
        <v>1.6528683499523216</v>
      </c>
      <c r="T26" s="28">
        <f t="shared" si="1"/>
        <v>0.12273309595354125</v>
      </c>
      <c r="U26" s="28">
        <f t="shared" si="2"/>
        <v>0.25574063255798135</v>
      </c>
      <c r="V26" s="28">
        <f t="shared" si="3"/>
        <v>0</v>
      </c>
      <c r="W26" s="28">
        <f t="shared" si="4"/>
        <v>0</v>
      </c>
      <c r="X26" s="28">
        <f t="shared" si="5"/>
        <v>0.08</v>
      </c>
      <c r="Y26" s="28">
        <f t="shared" si="6"/>
        <v>0.08</v>
      </c>
      <c r="Z26" s="412">
        <f t="shared" si="7"/>
        <v>0</v>
      </c>
      <c r="AA26" s="28">
        <f t="shared" si="8"/>
        <v>0</v>
      </c>
      <c r="AB26" s="329">
        <f t="shared" si="9"/>
        <v>0</v>
      </c>
      <c r="AC26" s="105">
        <f t="shared" si="13"/>
        <v>14</v>
      </c>
      <c r="AD26" s="104">
        <f t="shared" si="10"/>
        <v>2.1913420784638444</v>
      </c>
      <c r="AE26" s="189"/>
      <c r="AF26" s="189"/>
      <c r="AG26" s="189"/>
      <c r="AH26" s="189"/>
    </row>
    <row r="27" spans="1:34" ht="18" thickBot="1" x14ac:dyDescent="0.4">
      <c r="A27" s="725" t="s">
        <v>16</v>
      </c>
      <c r="B27" s="597">
        <f t="shared" si="11"/>
        <v>49</v>
      </c>
      <c r="C27" s="594">
        <f t="shared" si="12"/>
        <v>1.2998881652536423</v>
      </c>
      <c r="D27" s="907"/>
      <c r="E27" s="522">
        <v>2013</v>
      </c>
      <c r="F27" s="536" t="s">
        <v>270</v>
      </c>
      <c r="G27" s="528"/>
      <c r="H27" s="1175">
        <f>Commercial!C26</f>
        <v>3.9367506537991726</v>
      </c>
      <c r="I27" s="1177">
        <f>Recreational!C26</f>
        <v>0.83351239774091856</v>
      </c>
      <c r="J27" s="1177">
        <f>Tribal!C26</f>
        <v>4.7630882431826631</v>
      </c>
      <c r="K27" s="28"/>
      <c r="L27" s="1177">
        <f>Rebuilding!B26</f>
        <v>0</v>
      </c>
      <c r="M27" s="1177">
        <f>'Stock Status'!C26</f>
        <v>1</v>
      </c>
      <c r="N27" s="1177">
        <f>'Fishing mortality'!C26</f>
        <v>1</v>
      </c>
      <c r="O27" s="28"/>
      <c r="P27" s="28"/>
      <c r="Q27" s="780"/>
      <c r="R27" s="157"/>
      <c r="S27" s="28">
        <f t="shared" si="0"/>
        <v>0.82671763729782621</v>
      </c>
      <c r="T27" s="28">
        <f t="shared" si="1"/>
        <v>7.5016115796682672E-2</v>
      </c>
      <c r="U27" s="28">
        <f t="shared" si="2"/>
        <v>0.23815441215913316</v>
      </c>
      <c r="V27" s="28">
        <f t="shared" si="3"/>
        <v>0</v>
      </c>
      <c r="W27" s="28">
        <f t="shared" si="4"/>
        <v>0</v>
      </c>
      <c r="X27" s="28">
        <f t="shared" si="5"/>
        <v>0.08</v>
      </c>
      <c r="Y27" s="28">
        <f t="shared" si="6"/>
        <v>0.08</v>
      </c>
      <c r="Z27" s="412">
        <f t="shared" si="7"/>
        <v>0</v>
      </c>
      <c r="AA27" s="28">
        <f t="shared" si="8"/>
        <v>0</v>
      </c>
      <c r="AB27" s="329">
        <f t="shared" si="9"/>
        <v>0</v>
      </c>
      <c r="AC27" s="105">
        <f t="shared" si="13"/>
        <v>49</v>
      </c>
      <c r="AD27" s="104">
        <f t="shared" si="10"/>
        <v>1.2998881652536423</v>
      </c>
      <c r="AE27" s="189"/>
      <c r="AF27" s="189"/>
      <c r="AG27" s="189"/>
      <c r="AH27" s="189"/>
    </row>
    <row r="28" spans="1:34" ht="18" thickBot="1" x14ac:dyDescent="0.4">
      <c r="A28" s="724" t="s">
        <v>119</v>
      </c>
      <c r="B28" s="597">
        <f t="shared" si="11"/>
        <v>48</v>
      </c>
      <c r="C28" s="594">
        <f t="shared" si="12"/>
        <v>1.3002687508405586</v>
      </c>
      <c r="D28" s="907"/>
      <c r="E28" s="1185"/>
      <c r="F28" s="534" t="s">
        <v>271</v>
      </c>
      <c r="G28" s="528"/>
      <c r="H28" s="1175">
        <f>Commercial!C27</f>
        <v>1.691537769421634</v>
      </c>
      <c r="I28" s="1177">
        <f>Recreational!C27</f>
        <v>4.2782868806890608</v>
      </c>
      <c r="J28" s="1177">
        <f>Tribal!C27</f>
        <v>0</v>
      </c>
      <c r="K28" s="870"/>
      <c r="L28" s="1177">
        <f>Rebuilding!B27</f>
        <v>0</v>
      </c>
      <c r="M28" s="1177">
        <f>'Stock Status'!C27</f>
        <v>4</v>
      </c>
      <c r="N28" s="1177">
        <f>'Fishing mortality'!C27</f>
        <v>3</v>
      </c>
      <c r="O28" s="28"/>
      <c r="P28" s="28"/>
      <c r="Q28" s="781"/>
      <c r="R28" s="157"/>
      <c r="S28" s="28">
        <f t="shared" si="0"/>
        <v>0.35522293157854312</v>
      </c>
      <c r="T28" s="28">
        <f t="shared" si="1"/>
        <v>0.38504581926201548</v>
      </c>
      <c r="U28" s="28">
        <f t="shared" si="2"/>
        <v>0</v>
      </c>
      <c r="V28" s="28">
        <f t="shared" si="3"/>
        <v>0</v>
      </c>
      <c r="W28" s="28">
        <f t="shared" si="4"/>
        <v>0</v>
      </c>
      <c r="X28" s="28">
        <f t="shared" si="5"/>
        <v>0.32</v>
      </c>
      <c r="Y28" s="28">
        <f t="shared" si="6"/>
        <v>0.24</v>
      </c>
      <c r="Z28" s="412">
        <f t="shared" si="7"/>
        <v>0</v>
      </c>
      <c r="AA28" s="28">
        <f t="shared" si="8"/>
        <v>0</v>
      </c>
      <c r="AB28" s="329">
        <f t="shared" si="9"/>
        <v>0</v>
      </c>
      <c r="AC28" s="105">
        <f t="shared" si="13"/>
        <v>48</v>
      </c>
      <c r="AD28" s="104">
        <f t="shared" si="10"/>
        <v>1.3002687508405586</v>
      </c>
      <c r="AE28" s="189"/>
      <c r="AF28" s="189"/>
      <c r="AG28" s="189"/>
      <c r="AH28" s="189"/>
    </row>
    <row r="29" spans="1:34" ht="18" thickBot="1" x14ac:dyDescent="0.4">
      <c r="A29" s="724" t="s">
        <v>23</v>
      </c>
      <c r="B29" s="597">
        <f t="shared" si="11"/>
        <v>55</v>
      </c>
      <c r="C29" s="594">
        <f t="shared" si="12"/>
        <v>1.1375370173183683</v>
      </c>
      <c r="D29" s="907"/>
      <c r="E29" s="1185"/>
      <c r="F29" s="534" t="s">
        <v>271</v>
      </c>
      <c r="G29" s="528"/>
      <c r="H29" s="1175">
        <f>Commercial!C28</f>
        <v>2.3692238919922302</v>
      </c>
      <c r="I29" s="1177">
        <f>Recreational!C28</f>
        <v>0</v>
      </c>
      <c r="J29" s="1177">
        <f>Tribal!C28</f>
        <v>0</v>
      </c>
      <c r="K29" s="28"/>
      <c r="L29" s="1177">
        <f>Rebuilding!B28</f>
        <v>0</v>
      </c>
      <c r="M29" s="1177">
        <f>'Stock Status'!C28</f>
        <v>3</v>
      </c>
      <c r="N29" s="1177">
        <f>'Fishing mortality'!C28</f>
        <v>5</v>
      </c>
      <c r="O29" s="28"/>
      <c r="P29" s="28"/>
      <c r="Q29" s="781"/>
      <c r="R29" s="157"/>
      <c r="S29" s="28">
        <f t="shared" si="0"/>
        <v>0.4975370173183683</v>
      </c>
      <c r="T29" s="28">
        <f t="shared" si="1"/>
        <v>0</v>
      </c>
      <c r="U29" s="28">
        <f t="shared" si="2"/>
        <v>0</v>
      </c>
      <c r="V29" s="28">
        <f t="shared" si="3"/>
        <v>0</v>
      </c>
      <c r="W29" s="28">
        <f t="shared" si="4"/>
        <v>0</v>
      </c>
      <c r="X29" s="28">
        <f t="shared" si="5"/>
        <v>0.24</v>
      </c>
      <c r="Y29" s="28">
        <f t="shared" si="6"/>
        <v>0.4</v>
      </c>
      <c r="Z29" s="412">
        <f t="shared" si="7"/>
        <v>0</v>
      </c>
      <c r="AA29" s="28">
        <f t="shared" si="8"/>
        <v>0</v>
      </c>
      <c r="AB29" s="329">
        <f t="shared" si="9"/>
        <v>0</v>
      </c>
      <c r="AC29" s="105">
        <f t="shared" si="13"/>
        <v>55</v>
      </c>
      <c r="AD29" s="104">
        <f t="shared" si="10"/>
        <v>1.1375370173183683</v>
      </c>
      <c r="AE29" s="189"/>
      <c r="AF29" s="189"/>
      <c r="AG29" s="189"/>
      <c r="AH29" s="189"/>
    </row>
    <row r="30" spans="1:34" ht="18" thickBot="1" x14ac:dyDescent="0.4">
      <c r="A30" s="724" t="s">
        <v>425</v>
      </c>
      <c r="B30" s="597">
        <f t="shared" si="11"/>
        <v>13</v>
      </c>
      <c r="C30" s="594">
        <f t="shared" si="12"/>
        <v>2.312570482582629</v>
      </c>
      <c r="D30" s="907"/>
      <c r="E30" s="522">
        <v>2019</v>
      </c>
      <c r="F30" s="533" t="s">
        <v>260</v>
      </c>
      <c r="G30" s="528"/>
      <c r="H30" s="1175">
        <f>Commercial!C29</f>
        <v>5.2090722667887102</v>
      </c>
      <c r="I30" s="1177">
        <f>Recreational!C29</f>
        <v>5.5407256284111082</v>
      </c>
      <c r="J30" s="1177">
        <f>Tribal!C29</f>
        <v>0</v>
      </c>
      <c r="K30" s="28"/>
      <c r="L30" s="1177">
        <f>Rebuilding!B29</f>
        <v>0</v>
      </c>
      <c r="M30" s="1177">
        <f>'Stock Status'!C29</f>
        <v>4</v>
      </c>
      <c r="N30" s="1177">
        <f>'Fishing mortality'!C29</f>
        <v>5</v>
      </c>
      <c r="O30" s="28"/>
      <c r="P30" s="870"/>
      <c r="Q30" s="780"/>
      <c r="R30" s="157"/>
      <c r="S30" s="28">
        <f t="shared" si="0"/>
        <v>1.0939051760256291</v>
      </c>
      <c r="T30" s="28">
        <f t="shared" si="1"/>
        <v>0.4986653065569997</v>
      </c>
      <c r="U30" s="28">
        <f t="shared" si="2"/>
        <v>0</v>
      </c>
      <c r="V30" s="28">
        <f t="shared" si="3"/>
        <v>0</v>
      </c>
      <c r="W30" s="28">
        <f t="shared" si="4"/>
        <v>0</v>
      </c>
      <c r="X30" s="28">
        <f t="shared" si="5"/>
        <v>0.32</v>
      </c>
      <c r="Y30" s="28">
        <f t="shared" si="6"/>
        <v>0.4</v>
      </c>
      <c r="Z30" s="412">
        <f t="shared" si="7"/>
        <v>0</v>
      </c>
      <c r="AA30" s="28">
        <f t="shared" si="8"/>
        <v>0</v>
      </c>
      <c r="AB30" s="329">
        <f t="shared" si="9"/>
        <v>0</v>
      </c>
      <c r="AC30" s="105">
        <f t="shared" si="13"/>
        <v>13</v>
      </c>
      <c r="AD30" s="104">
        <f t="shared" si="10"/>
        <v>2.312570482582629</v>
      </c>
      <c r="AE30" s="189"/>
      <c r="AF30" s="189"/>
      <c r="AG30" s="189"/>
      <c r="AH30" s="189"/>
    </row>
    <row r="31" spans="1:34" ht="18" thickBot="1" x14ac:dyDescent="0.4">
      <c r="A31" s="724" t="s">
        <v>120</v>
      </c>
      <c r="B31" s="597">
        <f t="shared" si="11"/>
        <v>26</v>
      </c>
      <c r="C31" s="594">
        <f t="shared" si="12"/>
        <v>1.686418245811393</v>
      </c>
      <c r="D31" s="907"/>
      <c r="E31" s="1185"/>
      <c r="F31" s="534" t="s">
        <v>271</v>
      </c>
      <c r="G31" s="528"/>
      <c r="H31" s="1175">
        <f>Commercial!C30</f>
        <v>4.3309543275807032</v>
      </c>
      <c r="I31" s="1177">
        <f>Recreational!C30</f>
        <v>3.2990870779938382</v>
      </c>
      <c r="J31" s="1177">
        <f>Tribal!C30</f>
        <v>0</v>
      </c>
      <c r="K31" s="28"/>
      <c r="L31" s="1177">
        <f>Rebuilding!B30</f>
        <v>0</v>
      </c>
      <c r="M31" s="1177">
        <f>'Stock Status'!C30</f>
        <v>4</v>
      </c>
      <c r="N31" s="1177">
        <f>'Fishing mortality'!C30</f>
        <v>2</v>
      </c>
      <c r="O31" s="28"/>
      <c r="P31" s="28"/>
      <c r="Q31" s="781"/>
      <c r="R31" s="157"/>
      <c r="S31" s="28">
        <f t="shared" si="0"/>
        <v>0.9095004087919476</v>
      </c>
      <c r="T31" s="28">
        <f t="shared" si="1"/>
        <v>0.29691783701944541</v>
      </c>
      <c r="U31" s="28">
        <f t="shared" si="2"/>
        <v>0</v>
      </c>
      <c r="V31" s="28">
        <f t="shared" si="3"/>
        <v>0</v>
      </c>
      <c r="W31" s="28">
        <f t="shared" si="4"/>
        <v>0</v>
      </c>
      <c r="X31" s="28">
        <f t="shared" si="5"/>
        <v>0.32</v>
      </c>
      <c r="Y31" s="28">
        <f t="shared" si="6"/>
        <v>0.16</v>
      </c>
      <c r="Z31" s="412">
        <f t="shared" si="7"/>
        <v>0</v>
      </c>
      <c r="AA31" s="28">
        <f t="shared" si="8"/>
        <v>0</v>
      </c>
      <c r="AB31" s="329">
        <f t="shared" si="9"/>
        <v>0</v>
      </c>
      <c r="AC31" s="105">
        <f t="shared" si="13"/>
        <v>26</v>
      </c>
      <c r="AD31" s="104">
        <f t="shared" si="10"/>
        <v>1.686418245811393</v>
      </c>
      <c r="AE31" s="189"/>
      <c r="AF31" s="189"/>
      <c r="AG31" s="189"/>
      <c r="AH31" s="189"/>
    </row>
    <row r="32" spans="1:34" ht="18" thickBot="1" x14ac:dyDescent="0.4">
      <c r="A32" s="724" t="s">
        <v>113</v>
      </c>
      <c r="B32" s="597">
        <f t="shared" si="11"/>
        <v>33</v>
      </c>
      <c r="C32" s="594">
        <f t="shared" si="12"/>
        <v>1.5474374464269096</v>
      </c>
      <c r="D32" s="907"/>
      <c r="E32" s="522">
        <v>2011</v>
      </c>
      <c r="F32" s="533" t="s">
        <v>260</v>
      </c>
      <c r="G32" s="528"/>
      <c r="H32" s="1175">
        <f>Commercial!C31</f>
        <v>2.6390096424648002</v>
      </c>
      <c r="I32" s="1177">
        <f>Recreational!C31</f>
        <v>4.4892936782077753</v>
      </c>
      <c r="J32" s="1177">
        <f>Tribal!C31</f>
        <v>0.58417980941204062</v>
      </c>
      <c r="K32" s="870"/>
      <c r="L32" s="1177">
        <f>Rebuilding!B31</f>
        <v>0</v>
      </c>
      <c r="M32" s="1177">
        <f>'Stock Status'!C31</f>
        <v>5</v>
      </c>
      <c r="N32" s="1177">
        <f>'Fishing mortality'!C31</f>
        <v>2</v>
      </c>
      <c r="O32" s="28"/>
      <c r="P32" s="870"/>
      <c r="Q32" s="780"/>
      <c r="R32" s="157"/>
      <c r="S32" s="28">
        <f t="shared" si="0"/>
        <v>0.55419202491760799</v>
      </c>
      <c r="T32" s="28">
        <f t="shared" si="1"/>
        <v>0.40403643103869974</v>
      </c>
      <c r="U32" s="28">
        <f t="shared" si="2"/>
        <v>2.9208990470602034E-2</v>
      </c>
      <c r="V32" s="28">
        <f t="shared" si="3"/>
        <v>0</v>
      </c>
      <c r="W32" s="28">
        <f t="shared" si="4"/>
        <v>0</v>
      </c>
      <c r="X32" s="28">
        <f t="shared" si="5"/>
        <v>0.4</v>
      </c>
      <c r="Y32" s="28">
        <f t="shared" si="6"/>
        <v>0.16</v>
      </c>
      <c r="Z32" s="412">
        <f t="shared" si="7"/>
        <v>0</v>
      </c>
      <c r="AA32" s="28">
        <f t="shared" si="8"/>
        <v>0</v>
      </c>
      <c r="AB32" s="329">
        <f t="shared" si="9"/>
        <v>0</v>
      </c>
      <c r="AC32" s="105">
        <f t="shared" si="13"/>
        <v>33</v>
      </c>
      <c r="AD32" s="104">
        <f t="shared" si="10"/>
        <v>1.5474374464269096</v>
      </c>
      <c r="AE32" s="189"/>
      <c r="AF32" s="189"/>
      <c r="AG32" s="189"/>
      <c r="AH32" s="189"/>
    </row>
    <row r="33" spans="1:34" ht="18" thickBot="1" x14ac:dyDescent="0.4">
      <c r="A33" s="724" t="s">
        <v>114</v>
      </c>
      <c r="B33" s="597">
        <f t="shared" si="11"/>
        <v>60</v>
      </c>
      <c r="C33" s="594">
        <f t="shared" si="12"/>
        <v>0.96245058228040126</v>
      </c>
      <c r="D33" s="907"/>
      <c r="E33" s="522">
        <v>2009</v>
      </c>
      <c r="F33" s="533" t="s">
        <v>260</v>
      </c>
      <c r="G33" s="528"/>
      <c r="H33" s="1175">
        <f>Commercial!C32</f>
        <v>2.3906476332391247</v>
      </c>
      <c r="I33" s="1177">
        <f>Recreational!C32</f>
        <v>2.6169088225099846</v>
      </c>
      <c r="J33" s="1177">
        <f>Tribal!C32</f>
        <v>1.2978557054857338</v>
      </c>
      <c r="K33" s="28"/>
      <c r="L33" s="1177">
        <f>Rebuilding!B32</f>
        <v>0</v>
      </c>
      <c r="M33" s="1177">
        <f>'Stock Status'!C32</f>
        <v>1</v>
      </c>
      <c r="N33" s="1177">
        <f>'Fishing mortality'!C32</f>
        <v>1</v>
      </c>
      <c r="O33" s="28"/>
      <c r="P33" s="28"/>
      <c r="Q33" s="780"/>
      <c r="R33" s="157"/>
      <c r="S33" s="28">
        <f t="shared" si="0"/>
        <v>0.50203600298021611</v>
      </c>
      <c r="T33" s="28">
        <f t="shared" si="1"/>
        <v>0.2355217940258986</v>
      </c>
      <c r="U33" s="28">
        <f t="shared" si="2"/>
        <v>6.4892785274286699E-2</v>
      </c>
      <c r="V33" s="28">
        <f t="shared" si="3"/>
        <v>0</v>
      </c>
      <c r="W33" s="28">
        <f t="shared" si="4"/>
        <v>0</v>
      </c>
      <c r="X33" s="28">
        <f t="shared" si="5"/>
        <v>0.08</v>
      </c>
      <c r="Y33" s="28">
        <f t="shared" si="6"/>
        <v>0.08</v>
      </c>
      <c r="Z33" s="412">
        <f t="shared" si="7"/>
        <v>0</v>
      </c>
      <c r="AA33" s="28">
        <f t="shared" si="8"/>
        <v>0</v>
      </c>
      <c r="AB33" s="329">
        <f t="shared" si="9"/>
        <v>0</v>
      </c>
      <c r="AC33" s="105">
        <f t="shared" si="13"/>
        <v>60</v>
      </c>
      <c r="AD33" s="104">
        <f t="shared" si="10"/>
        <v>0.96245058228040126</v>
      </c>
      <c r="AE33" s="189"/>
      <c r="AF33" s="189"/>
      <c r="AG33" s="189"/>
      <c r="AH33" s="189"/>
    </row>
    <row r="34" spans="1:34" ht="18" thickBot="1" x14ac:dyDescent="0.4">
      <c r="A34" s="724" t="s">
        <v>121</v>
      </c>
      <c r="B34" s="597">
        <f t="shared" si="11"/>
        <v>53</v>
      </c>
      <c r="C34" s="594">
        <f t="shared" si="12"/>
        <v>1.1537487461921405</v>
      </c>
      <c r="D34" s="907"/>
      <c r="E34" s="1185"/>
      <c r="F34" s="534" t="s">
        <v>271</v>
      </c>
      <c r="G34" s="528"/>
      <c r="H34" s="1175">
        <f>Commercial!C33</f>
        <v>1.2252211195711986</v>
      </c>
      <c r="I34" s="1177">
        <f>Recreational!C33</f>
        <v>3.7383590120243206</v>
      </c>
      <c r="J34" s="1177">
        <f>Tribal!C33</f>
        <v>0</v>
      </c>
      <c r="K34" s="870"/>
      <c r="L34" s="1177">
        <f>Rebuilding!B33</f>
        <v>0</v>
      </c>
      <c r="M34" s="1177">
        <f>'Stock Status'!C33</f>
        <v>4</v>
      </c>
      <c r="N34" s="1177">
        <f>'Fishing mortality'!C33</f>
        <v>3</v>
      </c>
      <c r="O34" s="28"/>
      <c r="P34" s="28"/>
      <c r="Q34" s="781"/>
      <c r="R34" s="157"/>
      <c r="S34" s="28">
        <f t="shared" si="0"/>
        <v>0.2572964351099517</v>
      </c>
      <c r="T34" s="28">
        <f t="shared" si="1"/>
        <v>0.33645231108218887</v>
      </c>
      <c r="U34" s="28">
        <f t="shared" si="2"/>
        <v>0</v>
      </c>
      <c r="V34" s="28">
        <f t="shared" si="3"/>
        <v>0</v>
      </c>
      <c r="W34" s="28">
        <f t="shared" si="4"/>
        <v>0</v>
      </c>
      <c r="X34" s="28">
        <f t="shared" si="5"/>
        <v>0.32</v>
      </c>
      <c r="Y34" s="28">
        <f t="shared" si="6"/>
        <v>0.24</v>
      </c>
      <c r="Z34" s="412">
        <f t="shared" si="7"/>
        <v>0</v>
      </c>
      <c r="AA34" s="28">
        <f t="shared" si="8"/>
        <v>0</v>
      </c>
      <c r="AB34" s="329">
        <f t="shared" si="9"/>
        <v>0</v>
      </c>
      <c r="AC34" s="105">
        <f t="shared" si="13"/>
        <v>53</v>
      </c>
      <c r="AD34" s="104">
        <f t="shared" si="10"/>
        <v>1.1537487461921405</v>
      </c>
      <c r="AE34" s="189"/>
      <c r="AF34" s="189"/>
      <c r="AG34" s="189"/>
      <c r="AH34" s="189"/>
    </row>
    <row r="35" spans="1:34" ht="18" thickBot="1" x14ac:dyDescent="0.4">
      <c r="A35" s="724" t="s">
        <v>308</v>
      </c>
      <c r="B35" s="597">
        <f t="shared" si="11"/>
        <v>35</v>
      </c>
      <c r="C35" s="594">
        <f t="shared" si="12"/>
        <v>1.4992783717096487</v>
      </c>
      <c r="D35" s="907" t="s">
        <v>365</v>
      </c>
      <c r="E35" s="522">
        <v>2015</v>
      </c>
      <c r="F35" s="533" t="s">
        <v>260</v>
      </c>
      <c r="G35" s="528"/>
      <c r="H35" s="1175">
        <f>Commercial!C34</f>
        <v>4.1465464252566093</v>
      </c>
      <c r="I35" s="1177">
        <f>Recreational!C34</f>
        <v>4.09448469339734</v>
      </c>
      <c r="J35" s="1177">
        <f>Tribal!C34</f>
        <v>2</v>
      </c>
      <c r="K35" s="28"/>
      <c r="L35" s="1177">
        <f>Rebuilding!B34</f>
        <v>0</v>
      </c>
      <c r="M35" s="1177">
        <f>'Stock Status'!C34</f>
        <v>1</v>
      </c>
      <c r="N35" s="1177">
        <f>'Fishing mortality'!C34</f>
        <v>1</v>
      </c>
      <c r="O35" s="28"/>
      <c r="P35" s="870"/>
      <c r="Q35" s="780"/>
      <c r="R35" s="157"/>
      <c r="S35" s="28">
        <f t="shared" si="0"/>
        <v>0.87077474930388787</v>
      </c>
      <c r="T35" s="28">
        <f t="shared" si="1"/>
        <v>0.36850362240576057</v>
      </c>
      <c r="U35" s="28">
        <f t="shared" si="2"/>
        <v>0.1</v>
      </c>
      <c r="V35" s="28">
        <f t="shared" si="3"/>
        <v>0</v>
      </c>
      <c r="W35" s="28">
        <f t="shared" si="4"/>
        <v>0</v>
      </c>
      <c r="X35" s="28">
        <f t="shared" si="5"/>
        <v>0.08</v>
      </c>
      <c r="Y35" s="28">
        <f t="shared" si="6"/>
        <v>0.08</v>
      </c>
      <c r="Z35" s="412">
        <f t="shared" si="7"/>
        <v>0</v>
      </c>
      <c r="AA35" s="28">
        <f t="shared" si="8"/>
        <v>0</v>
      </c>
      <c r="AB35" s="329">
        <f t="shared" si="9"/>
        <v>0</v>
      </c>
      <c r="AC35" s="105">
        <f t="shared" si="13"/>
        <v>35</v>
      </c>
      <c r="AD35" s="104">
        <f t="shared" si="10"/>
        <v>1.4992783717096487</v>
      </c>
      <c r="AE35" s="189"/>
      <c r="AF35" s="189"/>
      <c r="AG35" s="189"/>
      <c r="AH35" s="189"/>
    </row>
    <row r="36" spans="1:34" ht="18" thickBot="1" x14ac:dyDescent="0.4">
      <c r="A36" s="724" t="s">
        <v>290</v>
      </c>
      <c r="B36" s="597">
        <f t="shared" si="11"/>
        <v>50</v>
      </c>
      <c r="C36" s="594">
        <f t="shared" si="12"/>
        <v>1.2786245150341318</v>
      </c>
      <c r="D36" s="907"/>
      <c r="E36" s="522">
        <v>2010</v>
      </c>
      <c r="F36" s="534" t="s">
        <v>271</v>
      </c>
      <c r="G36" s="528"/>
      <c r="H36" s="1175">
        <f>Commercial!C35</f>
        <v>2.4864349743936369</v>
      </c>
      <c r="I36" s="1177">
        <f>Recreational!C35</f>
        <v>3.9608130045718664</v>
      </c>
      <c r="J36" s="1177">
        <f>Tribal!C35</f>
        <v>0</v>
      </c>
      <c r="K36" s="28"/>
      <c r="L36" s="1177">
        <f>Rebuilding!B35</f>
        <v>0</v>
      </c>
      <c r="M36" s="1177">
        <f>'Stock Status'!C35</f>
        <v>3</v>
      </c>
      <c r="N36" s="1177">
        <f>'Fishing mortality'!C35</f>
        <v>2</v>
      </c>
      <c r="O36" s="28"/>
      <c r="P36" s="28"/>
      <c r="Q36" s="781"/>
      <c r="R36" s="157"/>
      <c r="S36" s="28">
        <f t="shared" si="0"/>
        <v>0.52215134462266377</v>
      </c>
      <c r="T36" s="28">
        <f t="shared" si="1"/>
        <v>0.35647317041146798</v>
      </c>
      <c r="U36" s="28">
        <f t="shared" si="2"/>
        <v>0</v>
      </c>
      <c r="V36" s="28">
        <f t="shared" si="3"/>
        <v>0</v>
      </c>
      <c r="W36" s="28">
        <f t="shared" si="4"/>
        <v>0</v>
      </c>
      <c r="X36" s="28">
        <f t="shared" si="5"/>
        <v>0.24</v>
      </c>
      <c r="Y36" s="28">
        <f t="shared" si="6"/>
        <v>0.16</v>
      </c>
      <c r="Z36" s="412">
        <f t="shared" si="7"/>
        <v>0</v>
      </c>
      <c r="AA36" s="28">
        <f t="shared" si="8"/>
        <v>0</v>
      </c>
      <c r="AB36" s="329">
        <f t="shared" si="9"/>
        <v>0</v>
      </c>
      <c r="AC36" s="105">
        <f t="shared" si="13"/>
        <v>50</v>
      </c>
      <c r="AD36" s="104">
        <f t="shared" si="10"/>
        <v>1.2786245150341318</v>
      </c>
      <c r="AE36" s="189"/>
      <c r="AF36" s="189"/>
      <c r="AG36" s="189"/>
      <c r="AH36" s="189"/>
    </row>
    <row r="37" spans="1:34" ht="18" thickBot="1" x14ac:dyDescent="0.4">
      <c r="A37" s="724" t="s">
        <v>442</v>
      </c>
      <c r="B37" s="597">
        <f t="shared" ref="B37" si="26">RANK(C37,C$9:C$72)</f>
        <v>54</v>
      </c>
      <c r="C37" s="594">
        <f t="shared" ref="C37" si="27">SUM(S37:AB37)</f>
        <v>1.1525428491244929</v>
      </c>
      <c r="D37" s="907"/>
      <c r="E37" s="1185"/>
      <c r="F37" s="534" t="s">
        <v>271</v>
      </c>
      <c r="G37" s="528"/>
      <c r="H37" s="1175">
        <f>Commercial!C36</f>
        <v>2.4406802339261571</v>
      </c>
      <c r="I37" s="1177">
        <f>Recreational!C36</f>
        <v>0</v>
      </c>
      <c r="J37" s="1177">
        <f>Tribal!C36</f>
        <v>0</v>
      </c>
      <c r="K37" s="28"/>
      <c r="L37" s="1177">
        <f>Rebuilding!B36</f>
        <v>0</v>
      </c>
      <c r="M37" s="1177">
        <f>'Stock Status'!C36</f>
        <v>6</v>
      </c>
      <c r="N37" s="1177">
        <f>'Fishing mortality'!C36</f>
        <v>2</v>
      </c>
      <c r="O37" s="28"/>
      <c r="P37" s="28"/>
      <c r="Q37" s="781"/>
      <c r="R37" s="157"/>
      <c r="S37" s="28">
        <f t="shared" ref="S37" si="28">H37*H$7</f>
        <v>0.51254284912449299</v>
      </c>
      <c r="T37" s="28">
        <f t="shared" ref="T37" si="29">I37*I$7</f>
        <v>0</v>
      </c>
      <c r="U37" s="28">
        <f t="shared" ref="U37" si="30">J37*J$7</f>
        <v>0</v>
      </c>
      <c r="V37" s="28">
        <f t="shared" ref="V37" si="31">K37*K$7</f>
        <v>0</v>
      </c>
      <c r="W37" s="28">
        <f t="shared" ref="W37" si="32">L37*L$7</f>
        <v>0</v>
      </c>
      <c r="X37" s="28">
        <f t="shared" ref="X37" si="33">M37*M$7</f>
        <v>0.48</v>
      </c>
      <c r="Y37" s="28">
        <f t="shared" ref="Y37" si="34">N37*N$7</f>
        <v>0.16</v>
      </c>
      <c r="Z37" s="412">
        <f t="shared" ref="Z37" si="35">O37*O$7</f>
        <v>0</v>
      </c>
      <c r="AA37" s="28">
        <f t="shared" ref="AA37" si="36">P37*P$7</f>
        <v>0</v>
      </c>
      <c r="AB37" s="329">
        <f t="shared" ref="AB37" si="37">Q37*Q$7</f>
        <v>0</v>
      </c>
      <c r="AC37" s="105">
        <f t="shared" si="13"/>
        <v>54</v>
      </c>
      <c r="AD37" s="104">
        <f t="shared" si="10"/>
        <v>1.1525428491244929</v>
      </c>
      <c r="AE37" s="189"/>
      <c r="AF37" s="189"/>
      <c r="AG37" s="189"/>
      <c r="AH37" s="189"/>
    </row>
    <row r="38" spans="1:34" ht="18" thickBot="1" x14ac:dyDescent="0.4">
      <c r="A38" s="725" t="s">
        <v>98</v>
      </c>
      <c r="B38" s="597">
        <f t="shared" si="11"/>
        <v>4</v>
      </c>
      <c r="C38" s="594">
        <f t="shared" si="12"/>
        <v>2.984124850473421</v>
      </c>
      <c r="D38" s="907"/>
      <c r="E38" s="522">
        <v>2021</v>
      </c>
      <c r="F38" s="533" t="s">
        <v>260</v>
      </c>
      <c r="G38" s="528"/>
      <c r="H38" s="1175">
        <f>Commercial!C37</f>
        <v>6.4486785436726324</v>
      </c>
      <c r="I38" s="1177">
        <f>Recreational!C37</f>
        <v>10</v>
      </c>
      <c r="J38" s="1177">
        <f>Tribal!C37</f>
        <v>6.5980471260433582</v>
      </c>
      <c r="K38" s="870"/>
      <c r="L38" s="1177">
        <f>Rebuilding!B37</f>
        <v>0</v>
      </c>
      <c r="M38" s="1177">
        <f>'Stock Status'!C37</f>
        <v>3</v>
      </c>
      <c r="N38" s="1177">
        <f>'Fishing mortality'!C37</f>
        <v>2</v>
      </c>
      <c r="O38" s="28"/>
      <c r="P38" s="28"/>
      <c r="Q38" s="780"/>
      <c r="R38" s="157"/>
      <c r="S38" s="28">
        <f t="shared" si="0"/>
        <v>1.3542224941712528</v>
      </c>
      <c r="T38" s="28">
        <f t="shared" si="1"/>
        <v>0.89999999999999991</v>
      </c>
      <c r="U38" s="28">
        <f t="shared" si="2"/>
        <v>0.32990235630216791</v>
      </c>
      <c r="V38" s="28">
        <f t="shared" si="3"/>
        <v>0</v>
      </c>
      <c r="W38" s="28">
        <f t="shared" si="4"/>
        <v>0</v>
      </c>
      <c r="X38" s="28">
        <f t="shared" si="5"/>
        <v>0.24</v>
      </c>
      <c r="Y38" s="28">
        <f t="shared" si="6"/>
        <v>0.16</v>
      </c>
      <c r="Z38" s="412">
        <f t="shared" si="7"/>
        <v>0</v>
      </c>
      <c r="AA38" s="28">
        <f t="shared" si="8"/>
        <v>0</v>
      </c>
      <c r="AB38" s="329">
        <f t="shared" si="9"/>
        <v>0</v>
      </c>
      <c r="AC38" s="105">
        <f t="shared" si="13"/>
        <v>4</v>
      </c>
      <c r="AD38" s="104">
        <f t="shared" si="10"/>
        <v>2.984124850473421</v>
      </c>
      <c r="AE38" s="189"/>
      <c r="AF38" s="189"/>
      <c r="AG38" s="189"/>
      <c r="AH38" s="189"/>
    </row>
    <row r="39" spans="1:34" ht="18" thickBot="1" x14ac:dyDescent="0.4">
      <c r="A39" s="726" t="s">
        <v>110</v>
      </c>
      <c r="B39" s="597">
        <f t="shared" si="11"/>
        <v>20</v>
      </c>
      <c r="C39" s="594">
        <f t="shared" si="12"/>
        <v>1.9042838754331051</v>
      </c>
      <c r="D39" s="907"/>
      <c r="E39" s="522">
        <v>2019</v>
      </c>
      <c r="F39" s="533" t="s">
        <v>260</v>
      </c>
      <c r="G39" s="528"/>
      <c r="H39" s="1175">
        <f>Commercial!C38</f>
        <v>5.0385552059698941</v>
      </c>
      <c r="I39" s="1177">
        <f>Recreational!C38</f>
        <v>1.6086065735683588</v>
      </c>
      <c r="J39" s="1177">
        <f>Tribal!C38</f>
        <v>4.4282538111655025</v>
      </c>
      <c r="K39" s="28"/>
      <c r="L39" s="1177">
        <f>Rebuilding!B38</f>
        <v>0</v>
      </c>
      <c r="M39" s="1177">
        <f>'Stock Status'!C38</f>
        <v>3</v>
      </c>
      <c r="N39" s="1177">
        <f>'Fishing mortality'!C38</f>
        <v>3</v>
      </c>
      <c r="O39" s="28"/>
      <c r="P39" s="870"/>
      <c r="Q39" s="780"/>
      <c r="R39" s="157"/>
      <c r="S39" s="28">
        <f t="shared" si="0"/>
        <v>1.0580965932536777</v>
      </c>
      <c r="T39" s="28">
        <f t="shared" si="1"/>
        <v>0.14477459162115228</v>
      </c>
      <c r="U39" s="28">
        <f t="shared" si="2"/>
        <v>0.22141269055827514</v>
      </c>
      <c r="V39" s="28">
        <f t="shared" si="3"/>
        <v>0</v>
      </c>
      <c r="W39" s="28">
        <f t="shared" si="4"/>
        <v>0</v>
      </c>
      <c r="X39" s="28">
        <f t="shared" si="5"/>
        <v>0.24</v>
      </c>
      <c r="Y39" s="28">
        <f t="shared" si="6"/>
        <v>0.24</v>
      </c>
      <c r="Z39" s="412">
        <f t="shared" si="7"/>
        <v>0</v>
      </c>
      <c r="AA39" s="28">
        <f t="shared" si="8"/>
        <v>0</v>
      </c>
      <c r="AB39" s="329">
        <f t="shared" si="9"/>
        <v>0</v>
      </c>
      <c r="AC39" s="105">
        <f t="shared" si="13"/>
        <v>20</v>
      </c>
      <c r="AD39" s="104">
        <f t="shared" si="10"/>
        <v>1.9042838754331051</v>
      </c>
      <c r="AE39" s="189"/>
      <c r="AF39" s="189"/>
      <c r="AG39" s="189"/>
      <c r="AH39" s="189"/>
    </row>
    <row r="40" spans="1:34" ht="18" thickBot="1" x14ac:dyDescent="0.4">
      <c r="A40" s="725" t="s">
        <v>95</v>
      </c>
      <c r="B40" s="597">
        <f t="shared" si="11"/>
        <v>43</v>
      </c>
      <c r="C40" s="594">
        <f t="shared" si="12"/>
        <v>1.4126836684880297</v>
      </c>
      <c r="D40" s="907"/>
      <c r="E40" s="522">
        <v>2013</v>
      </c>
      <c r="F40" s="533" t="s">
        <v>260</v>
      </c>
      <c r="G40" s="528"/>
      <c r="H40" s="1175">
        <f>Commercial!C39</f>
        <v>5.1898813583921326</v>
      </c>
      <c r="I40" s="1177">
        <f>Recreational!C39</f>
        <v>0</v>
      </c>
      <c r="J40" s="1177">
        <f>Tribal!C39</f>
        <v>1.6561716645136388</v>
      </c>
      <c r="K40" s="28"/>
      <c r="L40" s="1177">
        <f>Rebuilding!B39</f>
        <v>0</v>
      </c>
      <c r="M40" s="1177">
        <f>'Stock Status'!C39</f>
        <v>2</v>
      </c>
      <c r="N40" s="1177">
        <f>'Fishing mortality'!C39</f>
        <v>1</v>
      </c>
      <c r="O40" s="28"/>
      <c r="P40" s="28"/>
      <c r="Q40" s="780"/>
      <c r="R40" s="157"/>
      <c r="S40" s="28">
        <f t="shared" si="0"/>
        <v>1.0898750852623478</v>
      </c>
      <c r="T40" s="28">
        <f t="shared" si="1"/>
        <v>0</v>
      </c>
      <c r="U40" s="28">
        <f t="shared" si="2"/>
        <v>8.280858322568195E-2</v>
      </c>
      <c r="V40" s="28">
        <f t="shared" si="3"/>
        <v>0</v>
      </c>
      <c r="W40" s="28">
        <f t="shared" si="4"/>
        <v>0</v>
      </c>
      <c r="X40" s="28">
        <f t="shared" si="5"/>
        <v>0.16</v>
      </c>
      <c r="Y40" s="28">
        <f t="shared" si="6"/>
        <v>0.08</v>
      </c>
      <c r="Z40" s="412">
        <f t="shared" si="7"/>
        <v>0</v>
      </c>
      <c r="AA40" s="28">
        <f t="shared" si="8"/>
        <v>0</v>
      </c>
      <c r="AB40" s="329">
        <f t="shared" si="9"/>
        <v>0</v>
      </c>
      <c r="AC40" s="105">
        <f t="shared" si="13"/>
        <v>43</v>
      </c>
      <c r="AD40" s="104">
        <f t="shared" si="10"/>
        <v>1.4126836684880297</v>
      </c>
      <c r="AE40" s="189"/>
      <c r="AF40" s="189"/>
      <c r="AG40" s="189"/>
      <c r="AH40" s="189"/>
    </row>
    <row r="41" spans="1:34" ht="18" thickBot="1" x14ac:dyDescent="0.4">
      <c r="A41" s="724" t="s">
        <v>122</v>
      </c>
      <c r="B41" s="597">
        <f t="shared" si="11"/>
        <v>38</v>
      </c>
      <c r="C41" s="594">
        <f t="shared" si="12"/>
        <v>1.488557694362113</v>
      </c>
      <c r="D41" s="907"/>
      <c r="E41" s="1185"/>
      <c r="F41" s="534" t="s">
        <v>271</v>
      </c>
      <c r="G41" s="528"/>
      <c r="H41" s="1175">
        <f>Commercial!C40</f>
        <v>2.4501467036081692</v>
      </c>
      <c r="I41" s="1177">
        <f>Recreational!C40</f>
        <v>5.489187628937751</v>
      </c>
      <c r="J41" s="1177">
        <f>Tribal!C40</f>
        <v>0</v>
      </c>
      <c r="K41" s="870"/>
      <c r="L41" s="1177">
        <f>Rebuilding!B40</f>
        <v>0</v>
      </c>
      <c r="M41" s="1177">
        <f>'Stock Status'!C40</f>
        <v>4</v>
      </c>
      <c r="N41" s="1177">
        <f>'Fishing mortality'!C40</f>
        <v>2</v>
      </c>
      <c r="O41" s="28"/>
      <c r="P41" s="28"/>
      <c r="Q41" s="781"/>
      <c r="R41" s="157"/>
      <c r="S41" s="28">
        <f t="shared" si="0"/>
        <v>0.51453080775771554</v>
      </c>
      <c r="T41" s="28">
        <f t="shared" si="1"/>
        <v>0.49402688660439759</v>
      </c>
      <c r="U41" s="28">
        <f t="shared" si="2"/>
        <v>0</v>
      </c>
      <c r="V41" s="28">
        <f t="shared" si="3"/>
        <v>0</v>
      </c>
      <c r="W41" s="28">
        <f t="shared" si="4"/>
        <v>0</v>
      </c>
      <c r="X41" s="28">
        <f t="shared" si="5"/>
        <v>0.32</v>
      </c>
      <c r="Y41" s="28">
        <f t="shared" si="6"/>
        <v>0.16</v>
      </c>
      <c r="Z41" s="412">
        <f t="shared" si="7"/>
        <v>0</v>
      </c>
      <c r="AA41" s="28">
        <f t="shared" si="8"/>
        <v>0</v>
      </c>
      <c r="AB41" s="329">
        <f t="shared" si="9"/>
        <v>0</v>
      </c>
      <c r="AC41" s="105">
        <f t="shared" si="13"/>
        <v>38</v>
      </c>
      <c r="AD41" s="104">
        <f t="shared" si="10"/>
        <v>1.488557694362113</v>
      </c>
      <c r="AE41" s="189"/>
      <c r="AF41" s="189"/>
      <c r="AG41" s="189"/>
      <c r="AH41" s="189"/>
    </row>
    <row r="42" spans="1:34" ht="18" thickBot="1" x14ac:dyDescent="0.4">
      <c r="A42" s="725" t="s">
        <v>103</v>
      </c>
      <c r="B42" s="597">
        <f t="shared" si="11"/>
        <v>27</v>
      </c>
      <c r="C42" s="594">
        <f t="shared" ref="C42:C72" si="38">SUM(S42:AB42)</f>
        <v>1.6796901201684804</v>
      </c>
      <c r="D42" s="907"/>
      <c r="E42" s="1185"/>
      <c r="F42" s="534" t="s">
        <v>271</v>
      </c>
      <c r="G42" s="528"/>
      <c r="H42" s="1175">
        <f>Commercial!C41</f>
        <v>3.8980282155473431</v>
      </c>
      <c r="I42" s="1177">
        <f>Recreational!C41</f>
        <v>2.1475626147451341</v>
      </c>
      <c r="J42" s="1177">
        <f>Tribal!C41</f>
        <v>6.9564711915295252</v>
      </c>
      <c r="K42" s="28"/>
      <c r="L42" s="1177">
        <f>Rebuilding!B41</f>
        <v>0</v>
      </c>
      <c r="M42" s="1177">
        <f>'Stock Status'!C41</f>
        <v>3</v>
      </c>
      <c r="N42" s="1177">
        <f>'Fishing mortality'!C41</f>
        <v>1</v>
      </c>
      <c r="O42" s="28"/>
      <c r="P42" s="28"/>
      <c r="Q42" s="781"/>
      <c r="R42" s="157"/>
      <c r="S42" s="28">
        <f t="shared" ref="S42:S72" si="39">H42*H$7</f>
        <v>0.818585925264942</v>
      </c>
      <c r="T42" s="28">
        <f t="shared" ref="T42:T72" si="40">I42*I$7</f>
        <v>0.19328063532706205</v>
      </c>
      <c r="U42" s="28">
        <f t="shared" ref="U42:U72" si="41">J42*J$7</f>
        <v>0.34782355957647626</v>
      </c>
      <c r="V42" s="28">
        <f t="shared" ref="V42:V72" si="42">K42*K$7</f>
        <v>0</v>
      </c>
      <c r="W42" s="28">
        <f t="shared" ref="W42:W72" si="43">L42*L$7</f>
        <v>0</v>
      </c>
      <c r="X42" s="28">
        <f t="shared" ref="X42:X72" si="44">M42*M$7</f>
        <v>0.24</v>
      </c>
      <c r="Y42" s="28">
        <f t="shared" ref="Y42:Y72" si="45">N42*N$7</f>
        <v>0.08</v>
      </c>
      <c r="Z42" s="412">
        <f t="shared" ref="Z42:Z72" si="46">O42*O$7</f>
        <v>0</v>
      </c>
      <c r="AA42" s="28">
        <f t="shared" ref="AA42:AA72" si="47">P42*P$7</f>
        <v>0</v>
      </c>
      <c r="AB42" s="329">
        <f t="shared" ref="AB42:AB72" si="48">Q42*Q$7</f>
        <v>0</v>
      </c>
      <c r="AC42" s="105">
        <f t="shared" si="13"/>
        <v>27</v>
      </c>
      <c r="AD42" s="104">
        <f t="shared" ref="AD42:AD72" si="49">SUM(S42:AB42)</f>
        <v>1.6796901201684804</v>
      </c>
      <c r="AE42" s="189"/>
      <c r="AF42" s="189"/>
      <c r="AG42" s="189"/>
      <c r="AH42" s="189"/>
    </row>
    <row r="43" spans="1:34" ht="18" thickBot="1" x14ac:dyDescent="0.4">
      <c r="A43" s="725" t="s">
        <v>17</v>
      </c>
      <c r="B43" s="597">
        <f t="shared" ref="B43:B72" si="50">RANK(C43,C$9:C$72)</f>
        <v>46</v>
      </c>
      <c r="C43" s="594">
        <f t="shared" si="38"/>
        <v>1.3134466147408859</v>
      </c>
      <c r="D43" s="907"/>
      <c r="E43" s="522">
        <v>2017</v>
      </c>
      <c r="F43" s="533" t="s">
        <v>260</v>
      </c>
      <c r="G43" s="528"/>
      <c r="H43" s="1175">
        <f>Commercial!C42</f>
        <v>4.1179185618759622</v>
      </c>
      <c r="I43" s="1177">
        <f>Recreational!C42</f>
        <v>0</v>
      </c>
      <c r="J43" s="1177">
        <f>Tribal!C42</f>
        <v>2.5736743349386773</v>
      </c>
      <c r="K43" s="28"/>
      <c r="L43" s="1177">
        <f>Rebuilding!B42</f>
        <v>0</v>
      </c>
      <c r="M43" s="1177">
        <f>'Stock Status'!C42</f>
        <v>2</v>
      </c>
      <c r="N43" s="1177">
        <f>'Fishing mortality'!C42</f>
        <v>2</v>
      </c>
      <c r="O43" s="28"/>
      <c r="P43" s="870"/>
      <c r="Q43" s="780"/>
      <c r="R43" s="157"/>
      <c r="S43" s="28">
        <f t="shared" si="39"/>
        <v>0.86476289799395201</v>
      </c>
      <c r="T43" s="28">
        <f t="shared" si="40"/>
        <v>0</v>
      </c>
      <c r="U43" s="28">
        <f t="shared" si="41"/>
        <v>0.12868371674693388</v>
      </c>
      <c r="V43" s="28">
        <f t="shared" si="42"/>
        <v>0</v>
      </c>
      <c r="W43" s="28">
        <f t="shared" si="43"/>
        <v>0</v>
      </c>
      <c r="X43" s="28">
        <f t="shared" si="44"/>
        <v>0.16</v>
      </c>
      <c r="Y43" s="28">
        <f t="shared" si="45"/>
        <v>0.16</v>
      </c>
      <c r="Z43" s="412">
        <f t="shared" si="46"/>
        <v>0</v>
      </c>
      <c r="AA43" s="28">
        <f t="shared" si="47"/>
        <v>0</v>
      </c>
      <c r="AB43" s="329">
        <f t="shared" si="48"/>
        <v>0</v>
      </c>
      <c r="AC43" s="105">
        <f t="shared" ref="AC43:AC72" si="51">RANK(AD43,AD$9:AD$72)</f>
        <v>46</v>
      </c>
      <c r="AD43" s="104">
        <f t="shared" si="49"/>
        <v>1.3134466147408859</v>
      </c>
      <c r="AE43" s="189"/>
      <c r="AF43" s="189"/>
      <c r="AG43" s="189"/>
      <c r="AH43" s="189"/>
    </row>
    <row r="44" spans="1:34" ht="18" thickBot="1" x14ac:dyDescent="0.4">
      <c r="A44" s="724" t="s">
        <v>123</v>
      </c>
      <c r="B44" s="597">
        <f t="shared" si="50"/>
        <v>29</v>
      </c>
      <c r="C44" s="594">
        <f t="shared" si="38"/>
        <v>1.6631301167956145</v>
      </c>
      <c r="D44" s="907"/>
      <c r="E44" s="1185"/>
      <c r="F44" s="534" t="s">
        <v>271</v>
      </c>
      <c r="G44" s="528"/>
      <c r="H44" s="1175">
        <f>Commercial!C43</f>
        <v>3.9192649962602299</v>
      </c>
      <c r="I44" s="1177">
        <f>Recreational!C43</f>
        <v>4.6676051953440671</v>
      </c>
      <c r="J44" s="1177">
        <f>Tribal!C43</f>
        <v>2</v>
      </c>
      <c r="K44" s="28"/>
      <c r="L44" s="1177">
        <f>Rebuilding!B43</f>
        <v>0</v>
      </c>
      <c r="M44" s="1177">
        <f>'Stock Status'!C43</f>
        <v>3</v>
      </c>
      <c r="N44" s="1177">
        <f>'Fishing mortality'!C43</f>
        <v>1</v>
      </c>
      <c r="O44" s="28"/>
      <c r="P44" s="870"/>
      <c r="Q44" s="781"/>
      <c r="R44" s="157"/>
      <c r="S44" s="28">
        <f t="shared" si="39"/>
        <v>0.82304564921464829</v>
      </c>
      <c r="T44" s="28">
        <f t="shared" si="40"/>
        <v>0.42008446758096601</v>
      </c>
      <c r="U44" s="28">
        <f t="shared" si="41"/>
        <v>0.1</v>
      </c>
      <c r="V44" s="28">
        <f t="shared" si="42"/>
        <v>0</v>
      </c>
      <c r="W44" s="28">
        <f t="shared" si="43"/>
        <v>0</v>
      </c>
      <c r="X44" s="28">
        <f t="shared" si="44"/>
        <v>0.24</v>
      </c>
      <c r="Y44" s="28">
        <f t="shared" si="45"/>
        <v>0.08</v>
      </c>
      <c r="Z44" s="412">
        <f t="shared" si="46"/>
        <v>0</v>
      </c>
      <c r="AA44" s="28">
        <f t="shared" si="47"/>
        <v>0</v>
      </c>
      <c r="AB44" s="329">
        <f t="shared" si="48"/>
        <v>0</v>
      </c>
      <c r="AC44" s="105">
        <f t="shared" si="51"/>
        <v>29</v>
      </c>
      <c r="AD44" s="104">
        <f t="shared" si="49"/>
        <v>1.6631301167956145</v>
      </c>
      <c r="AE44" s="189"/>
      <c r="AF44" s="189"/>
      <c r="AG44" s="189"/>
      <c r="AH44" s="189"/>
    </row>
    <row r="45" spans="1:34" ht="18" thickBot="1" x14ac:dyDescent="0.4">
      <c r="A45" s="724" t="s">
        <v>294</v>
      </c>
      <c r="B45" s="597">
        <f t="shared" si="50"/>
        <v>23</v>
      </c>
      <c r="C45" s="594">
        <f t="shared" si="38"/>
        <v>1.7137844739982242</v>
      </c>
      <c r="D45" s="907"/>
      <c r="E45" s="522">
        <v>2021</v>
      </c>
      <c r="F45" s="533" t="s">
        <v>260</v>
      </c>
      <c r="G45" s="528"/>
      <c r="H45" s="1175">
        <f>Commercial!C44</f>
        <v>2.6963152743062522</v>
      </c>
      <c r="I45" s="1177">
        <f>Recreational!C44</f>
        <v>2.7461000527396506</v>
      </c>
      <c r="J45" s="1177">
        <f>Tribal!C44</f>
        <v>2.008185232946853</v>
      </c>
      <c r="K45" s="28"/>
      <c r="L45" s="1177">
        <f>Rebuilding!B44</f>
        <v>0</v>
      </c>
      <c r="M45" s="1177">
        <f>'Stock Status'!C44</f>
        <v>5</v>
      </c>
      <c r="N45" s="1177">
        <f>'Fishing mortality'!C44</f>
        <v>5</v>
      </c>
      <c r="O45" s="28"/>
      <c r="P45" s="28"/>
      <c r="Q45" s="780"/>
      <c r="R45" s="157"/>
      <c r="S45" s="28">
        <f t="shared" si="39"/>
        <v>0.56622620760431297</v>
      </c>
      <c r="T45" s="28">
        <f t="shared" si="40"/>
        <v>0.24714900474656853</v>
      </c>
      <c r="U45" s="28">
        <f t="shared" si="41"/>
        <v>0.10040926164734265</v>
      </c>
      <c r="V45" s="28">
        <f t="shared" si="42"/>
        <v>0</v>
      </c>
      <c r="W45" s="28">
        <f t="shared" si="43"/>
        <v>0</v>
      </c>
      <c r="X45" s="28">
        <f t="shared" si="44"/>
        <v>0.4</v>
      </c>
      <c r="Y45" s="28">
        <f t="shared" si="45"/>
        <v>0.4</v>
      </c>
      <c r="Z45" s="412">
        <f t="shared" si="46"/>
        <v>0</v>
      </c>
      <c r="AA45" s="28">
        <f t="shared" si="47"/>
        <v>0</v>
      </c>
      <c r="AB45" s="329">
        <f t="shared" si="48"/>
        <v>0</v>
      </c>
      <c r="AC45" s="105">
        <f t="shared" si="51"/>
        <v>23</v>
      </c>
      <c r="AD45" s="104">
        <f t="shared" si="49"/>
        <v>1.7137844739982242</v>
      </c>
      <c r="AE45" s="189"/>
      <c r="AF45" s="189"/>
      <c r="AG45" s="189"/>
      <c r="AH45" s="189"/>
    </row>
    <row r="46" spans="1:34" ht="18" thickBot="1" x14ac:dyDescent="0.4">
      <c r="A46" s="725" t="s">
        <v>7</v>
      </c>
      <c r="B46" s="597">
        <f t="shared" si="50"/>
        <v>2</v>
      </c>
      <c r="C46" s="594">
        <f t="shared" si="38"/>
        <v>3.067643814744061</v>
      </c>
      <c r="D46" s="907" t="s">
        <v>365</v>
      </c>
      <c r="E46" s="522">
        <v>2019</v>
      </c>
      <c r="F46" s="535" t="s">
        <v>261</v>
      </c>
      <c r="G46" s="528"/>
      <c r="H46" s="1175">
        <f>Commercial!C45</f>
        <v>7.9799126043586641</v>
      </c>
      <c r="I46" s="1177">
        <f>Recreational!C45</f>
        <v>3.4393268323190775</v>
      </c>
      <c r="J46" s="1177">
        <f>Tribal!C45</f>
        <v>7.246455058400489</v>
      </c>
      <c r="K46" s="28"/>
      <c r="L46" s="1177">
        <f>Rebuilding!B45</f>
        <v>0</v>
      </c>
      <c r="M46" s="1177">
        <f>'Stock Status'!C45</f>
        <v>2</v>
      </c>
      <c r="N46" s="1177">
        <f>'Fishing mortality'!C45</f>
        <v>7</v>
      </c>
      <c r="O46" s="28"/>
      <c r="P46" s="28"/>
      <c r="Q46" s="780"/>
      <c r="R46" s="157"/>
      <c r="S46" s="28">
        <f t="shared" si="39"/>
        <v>1.6757816469153195</v>
      </c>
      <c r="T46" s="28">
        <f t="shared" si="40"/>
        <v>0.30953941490871695</v>
      </c>
      <c r="U46" s="28">
        <f t="shared" si="41"/>
        <v>0.36232275292002447</v>
      </c>
      <c r="V46" s="28">
        <f t="shared" si="42"/>
        <v>0</v>
      </c>
      <c r="W46" s="28">
        <f t="shared" si="43"/>
        <v>0</v>
      </c>
      <c r="X46" s="28">
        <f t="shared" si="44"/>
        <v>0.16</v>
      </c>
      <c r="Y46" s="28">
        <f t="shared" si="45"/>
        <v>0.56000000000000005</v>
      </c>
      <c r="Z46" s="412">
        <f t="shared" si="46"/>
        <v>0</v>
      </c>
      <c r="AA46" s="28">
        <f t="shared" si="47"/>
        <v>0</v>
      </c>
      <c r="AB46" s="329">
        <f t="shared" si="48"/>
        <v>0</v>
      </c>
      <c r="AC46" s="105">
        <f t="shared" si="51"/>
        <v>2</v>
      </c>
      <c r="AD46" s="104">
        <f t="shared" si="49"/>
        <v>3.067643814744061</v>
      </c>
      <c r="AE46" s="189"/>
      <c r="AF46" s="189"/>
      <c r="AG46" s="189"/>
      <c r="AH46" s="189"/>
    </row>
    <row r="47" spans="1:34" ht="18" thickBot="1" x14ac:dyDescent="0.4">
      <c r="A47" s="724" t="s">
        <v>124</v>
      </c>
      <c r="B47" s="597">
        <f t="shared" si="50"/>
        <v>3</v>
      </c>
      <c r="C47" s="594">
        <f t="shared" si="38"/>
        <v>2.9865202701510523</v>
      </c>
      <c r="D47" s="907"/>
      <c r="E47" s="522">
        <v>2021</v>
      </c>
      <c r="F47" s="536" t="s">
        <v>270</v>
      </c>
      <c r="G47" s="528"/>
      <c r="H47" s="1175">
        <f>Commercial!C46</f>
        <v>3.2932416817661561</v>
      </c>
      <c r="I47" s="1177">
        <f>Recreational!C46</f>
        <v>4.3662328149163532</v>
      </c>
      <c r="J47" s="1177">
        <f>Tribal!C46</f>
        <v>2.8395712727537563</v>
      </c>
      <c r="K47" s="28"/>
      <c r="L47" s="1177">
        <f>Rebuilding!B46</f>
        <v>4</v>
      </c>
      <c r="M47" s="1177">
        <f>'Stock Status'!C46</f>
        <v>7</v>
      </c>
      <c r="N47" s="1177">
        <f>'Fishing mortality'!C46</f>
        <v>10</v>
      </c>
      <c r="O47" s="28"/>
      <c r="P47" s="28"/>
      <c r="Q47" s="1359"/>
      <c r="R47" s="157"/>
      <c r="S47" s="28">
        <f t="shared" si="39"/>
        <v>0.69158075317089274</v>
      </c>
      <c r="T47" s="28">
        <f t="shared" si="40"/>
        <v>0.39296095334247177</v>
      </c>
      <c r="U47" s="28">
        <f t="shared" si="41"/>
        <v>0.14197856363768782</v>
      </c>
      <c r="V47" s="28">
        <f t="shared" si="42"/>
        <v>0</v>
      </c>
      <c r="W47" s="28">
        <f t="shared" si="43"/>
        <v>0.4</v>
      </c>
      <c r="X47" s="28">
        <f t="shared" si="44"/>
        <v>0.56000000000000005</v>
      </c>
      <c r="Y47" s="28">
        <f t="shared" si="45"/>
        <v>0.8</v>
      </c>
      <c r="Z47" s="412">
        <f t="shared" si="46"/>
        <v>0</v>
      </c>
      <c r="AA47" s="28">
        <f t="shared" si="47"/>
        <v>0</v>
      </c>
      <c r="AB47" s="329">
        <f t="shared" si="48"/>
        <v>0</v>
      </c>
      <c r="AC47" s="105">
        <f t="shared" si="51"/>
        <v>3</v>
      </c>
      <c r="AD47" s="104">
        <f t="shared" si="49"/>
        <v>2.9865202701510523</v>
      </c>
      <c r="AE47" s="189"/>
      <c r="AF47" s="189"/>
      <c r="AG47" s="189"/>
      <c r="AH47" s="189"/>
    </row>
    <row r="48" spans="1:34" ht="18" thickBot="1" x14ac:dyDescent="0.4">
      <c r="A48" s="724" t="s">
        <v>125</v>
      </c>
      <c r="B48" s="597">
        <f t="shared" si="50"/>
        <v>24</v>
      </c>
      <c r="C48" s="594">
        <f t="shared" si="38"/>
        <v>1.7101807680369114</v>
      </c>
      <c r="D48" s="907"/>
      <c r="E48" s="1185"/>
      <c r="F48" s="534" t="s">
        <v>271</v>
      </c>
      <c r="G48" s="528"/>
      <c r="H48" s="1175">
        <f>Commercial!C47</f>
        <v>3.314870537172574</v>
      </c>
      <c r="I48" s="1177">
        <f>Recreational!C47</f>
        <v>0</v>
      </c>
      <c r="J48" s="1177">
        <f>Tribal!C47</f>
        <v>2.6811591046134167</v>
      </c>
      <c r="K48" s="28"/>
      <c r="L48" s="1177">
        <f>Rebuilding!B47</f>
        <v>0</v>
      </c>
      <c r="M48" s="1177">
        <f>'Stock Status'!C47</f>
        <v>4</v>
      </c>
      <c r="N48" s="1177">
        <f>'Fishing mortality'!C47</f>
        <v>7</v>
      </c>
      <c r="O48" s="28"/>
      <c r="P48" s="28"/>
      <c r="Q48" s="781"/>
      <c r="R48" s="157"/>
      <c r="S48" s="28">
        <f t="shared" si="39"/>
        <v>0.69612281280624055</v>
      </c>
      <c r="T48" s="28">
        <f t="shared" si="40"/>
        <v>0</v>
      </c>
      <c r="U48" s="28">
        <f t="shared" si="41"/>
        <v>0.13405795523067085</v>
      </c>
      <c r="V48" s="28">
        <f t="shared" si="42"/>
        <v>0</v>
      </c>
      <c r="W48" s="28">
        <f t="shared" si="43"/>
        <v>0</v>
      </c>
      <c r="X48" s="28">
        <f t="shared" si="44"/>
        <v>0.32</v>
      </c>
      <c r="Y48" s="28">
        <f t="shared" si="45"/>
        <v>0.56000000000000005</v>
      </c>
      <c r="Z48" s="412">
        <f t="shared" si="46"/>
        <v>0</v>
      </c>
      <c r="AA48" s="28">
        <f t="shared" si="47"/>
        <v>0</v>
      </c>
      <c r="AB48" s="329">
        <f t="shared" si="48"/>
        <v>0</v>
      </c>
      <c r="AC48" s="105">
        <f t="shared" si="51"/>
        <v>24</v>
      </c>
      <c r="AD48" s="104">
        <f t="shared" si="49"/>
        <v>1.7101807680369114</v>
      </c>
      <c r="AE48" s="189"/>
      <c r="AF48" s="189"/>
      <c r="AG48" s="189"/>
      <c r="AH48" s="189"/>
    </row>
    <row r="49" spans="1:34" ht="18" thickBot="1" x14ac:dyDescent="0.4">
      <c r="A49" s="724" t="s">
        <v>447</v>
      </c>
      <c r="B49" s="597">
        <f t="shared" ref="B49" si="52">RANK(C49,C$9:C$72)</f>
        <v>51</v>
      </c>
      <c r="C49" s="594">
        <f t="shared" ref="C49" si="53">SUM(S49:AB49)</f>
        <v>1.259261311252003</v>
      </c>
      <c r="D49" s="907"/>
      <c r="E49" s="1185"/>
      <c r="F49" s="534"/>
      <c r="G49" s="528"/>
      <c r="H49" s="1175">
        <f>Commercial!C48</f>
        <v>2.4310434819952547</v>
      </c>
      <c r="I49" s="1177">
        <f>Recreational!C48</f>
        <v>0</v>
      </c>
      <c r="J49" s="1177">
        <f>Tribal!C48</f>
        <v>2.1748436006599947</v>
      </c>
      <c r="K49" s="28"/>
      <c r="L49" s="1177">
        <f>Rebuilding!B48</f>
        <v>0</v>
      </c>
      <c r="M49" s="1177">
        <f>'Stock Status'!C48</f>
        <v>6</v>
      </c>
      <c r="N49" s="1177">
        <f>'Fishing mortality'!C48</f>
        <v>2</v>
      </c>
      <c r="O49" s="28"/>
      <c r="P49" s="28"/>
      <c r="Q49" s="781"/>
      <c r="R49" s="157"/>
      <c r="S49" s="28">
        <f t="shared" ref="S49" si="54">H49*H$7</f>
        <v>0.5105191312190035</v>
      </c>
      <c r="T49" s="28">
        <f t="shared" ref="T49" si="55">I49*I$7</f>
        <v>0</v>
      </c>
      <c r="U49" s="28">
        <f t="shared" ref="U49" si="56">J49*J$7</f>
        <v>0.10874218003299974</v>
      </c>
      <c r="V49" s="28">
        <f t="shared" ref="V49" si="57">K49*K$7</f>
        <v>0</v>
      </c>
      <c r="W49" s="28">
        <f t="shared" ref="W49" si="58">L49*L$7</f>
        <v>0</v>
      </c>
      <c r="X49" s="28">
        <f t="shared" ref="X49" si="59">M49*M$7</f>
        <v>0.48</v>
      </c>
      <c r="Y49" s="28">
        <f t="shared" ref="Y49" si="60">N49*N$7</f>
        <v>0.16</v>
      </c>
      <c r="Z49" s="412">
        <f t="shared" ref="Z49" si="61">O49*O$7</f>
        <v>0</v>
      </c>
      <c r="AA49" s="28">
        <f t="shared" ref="AA49" si="62">P49*P$7</f>
        <v>0</v>
      </c>
      <c r="AB49" s="329">
        <f t="shared" ref="AB49" si="63">Q49*Q$7</f>
        <v>0</v>
      </c>
      <c r="AC49" s="105">
        <f t="shared" si="51"/>
        <v>51</v>
      </c>
      <c r="AD49" s="104">
        <f t="shared" si="49"/>
        <v>1.259261311252003</v>
      </c>
      <c r="AE49" s="189"/>
      <c r="AF49" s="189"/>
      <c r="AG49" s="189"/>
      <c r="AH49" s="189"/>
    </row>
    <row r="50" spans="1:34" ht="18" thickBot="1" x14ac:dyDescent="0.4">
      <c r="A50" s="724" t="s">
        <v>11</v>
      </c>
      <c r="B50" s="597">
        <f t="shared" si="50"/>
        <v>39</v>
      </c>
      <c r="C50" s="594">
        <f t="shared" si="38"/>
        <v>1.4747770226331891</v>
      </c>
      <c r="D50" s="907"/>
      <c r="E50" s="522">
        <v>2013</v>
      </c>
      <c r="F50" s="536" t="s">
        <v>270</v>
      </c>
      <c r="G50" s="528"/>
      <c r="H50" s="1175">
        <f>Commercial!C49</f>
        <v>4.6352355409937749</v>
      </c>
      <c r="I50" s="1177">
        <f>Recreational!C49</f>
        <v>0</v>
      </c>
      <c r="J50" s="1177">
        <f>Tribal!C49</f>
        <v>5.2275511804899297</v>
      </c>
      <c r="K50" s="28"/>
      <c r="L50" s="1177">
        <f>Rebuilding!B49</f>
        <v>0</v>
      </c>
      <c r="M50" s="1177">
        <f>'Stock Status'!C49</f>
        <v>1</v>
      </c>
      <c r="N50" s="1177">
        <f>'Fishing mortality'!C49</f>
        <v>2</v>
      </c>
      <c r="O50" s="28"/>
      <c r="P50" s="28"/>
      <c r="Q50" s="780"/>
      <c r="R50" s="157"/>
      <c r="S50" s="28">
        <f t="shared" si="39"/>
        <v>0.97339946360869267</v>
      </c>
      <c r="T50" s="28">
        <f t="shared" si="40"/>
        <v>0</v>
      </c>
      <c r="U50" s="28">
        <f t="shared" si="41"/>
        <v>0.2613775590244965</v>
      </c>
      <c r="V50" s="28">
        <f t="shared" si="42"/>
        <v>0</v>
      </c>
      <c r="W50" s="28">
        <f t="shared" si="43"/>
        <v>0</v>
      </c>
      <c r="X50" s="28">
        <f t="shared" si="44"/>
        <v>0.08</v>
      </c>
      <c r="Y50" s="28">
        <f t="shared" si="45"/>
        <v>0.16</v>
      </c>
      <c r="Z50" s="412">
        <f t="shared" si="46"/>
        <v>0</v>
      </c>
      <c r="AA50" s="28">
        <f t="shared" si="47"/>
        <v>0</v>
      </c>
      <c r="AB50" s="329">
        <f t="shared" si="48"/>
        <v>0</v>
      </c>
      <c r="AC50" s="105">
        <f t="shared" si="51"/>
        <v>39</v>
      </c>
      <c r="AD50" s="104">
        <f t="shared" si="49"/>
        <v>1.4747770226331891</v>
      </c>
      <c r="AE50" s="189"/>
      <c r="AF50" s="189"/>
      <c r="AG50" s="189"/>
      <c r="AH50" s="189"/>
    </row>
    <row r="51" spans="1:34" ht="18" thickBot="1" x14ac:dyDescent="0.4">
      <c r="A51" s="724" t="s">
        <v>20</v>
      </c>
      <c r="B51" s="597">
        <f t="shared" si="50"/>
        <v>56</v>
      </c>
      <c r="C51" s="594">
        <f t="shared" si="38"/>
        <v>1.0708961344645485</v>
      </c>
      <c r="D51" s="907"/>
      <c r="E51" s="1185"/>
      <c r="F51" s="534" t="s">
        <v>271</v>
      </c>
      <c r="G51" s="528"/>
      <c r="H51" s="1175">
        <f>Commercial!C50</f>
        <v>1.9702326905609353</v>
      </c>
      <c r="I51" s="1177">
        <f>Recreational!C50</f>
        <v>2.5920820881734534</v>
      </c>
      <c r="J51" s="1177">
        <f>Tribal!C50</f>
        <v>2.0771976302228232</v>
      </c>
      <c r="K51" s="28"/>
      <c r="L51" s="1177">
        <f>Rebuilding!B50</f>
        <v>0</v>
      </c>
      <c r="M51" s="1177">
        <f>'Stock Status'!C50</f>
        <v>3</v>
      </c>
      <c r="N51" s="1177">
        <f>'Fishing mortality'!C50</f>
        <v>1</v>
      </c>
      <c r="O51" s="28"/>
      <c r="P51" s="870"/>
      <c r="Q51" s="781"/>
      <c r="R51" s="157"/>
      <c r="S51" s="28">
        <f t="shared" si="39"/>
        <v>0.4137488650177964</v>
      </c>
      <c r="T51" s="28">
        <f t="shared" si="40"/>
        <v>0.2332873879356108</v>
      </c>
      <c r="U51" s="28">
        <f t="shared" si="41"/>
        <v>0.10385988151114117</v>
      </c>
      <c r="V51" s="28">
        <f t="shared" si="42"/>
        <v>0</v>
      </c>
      <c r="W51" s="28">
        <f t="shared" si="43"/>
        <v>0</v>
      </c>
      <c r="X51" s="28">
        <f t="shared" si="44"/>
        <v>0.24</v>
      </c>
      <c r="Y51" s="28">
        <f t="shared" si="45"/>
        <v>0.08</v>
      </c>
      <c r="Z51" s="412">
        <f t="shared" si="46"/>
        <v>0</v>
      </c>
      <c r="AA51" s="28">
        <f t="shared" si="47"/>
        <v>0</v>
      </c>
      <c r="AB51" s="329">
        <f t="shared" si="48"/>
        <v>0</v>
      </c>
      <c r="AC51" s="105">
        <f t="shared" si="51"/>
        <v>56</v>
      </c>
      <c r="AD51" s="104">
        <f t="shared" si="49"/>
        <v>1.0708961344645485</v>
      </c>
      <c r="AE51" s="189"/>
      <c r="AF51" s="189"/>
      <c r="AG51" s="189"/>
      <c r="AH51" s="189"/>
    </row>
    <row r="52" spans="1:34" ht="18" thickBot="1" x14ac:dyDescent="0.4">
      <c r="A52" s="724" t="s">
        <v>448</v>
      </c>
      <c r="B52" s="597">
        <f t="shared" ref="B52:B53" si="64">RANK(C52,C$9:C$72)</f>
        <v>21</v>
      </c>
      <c r="C52" s="594">
        <f t="shared" ref="C52:C53" si="65">SUM(S52:AB52)</f>
        <v>1.8700832529461591</v>
      </c>
      <c r="D52" s="907"/>
      <c r="E52" s="1185"/>
      <c r="F52" s="534"/>
      <c r="G52" s="528"/>
      <c r="H52" s="1175">
        <f>Commercial!C51</f>
        <v>2.4864349743936369</v>
      </c>
      <c r="I52" s="1177">
        <f>Recreational!C51</f>
        <v>0</v>
      </c>
      <c r="J52" s="1177">
        <f>Tribal!C51</f>
        <v>1.3586381664699048</v>
      </c>
      <c r="K52" s="28"/>
      <c r="L52" s="1177">
        <f>Rebuilding!B51</f>
        <v>0</v>
      </c>
      <c r="M52" s="1177">
        <f>'Stock Status'!C51</f>
        <v>6</v>
      </c>
      <c r="N52" s="1177">
        <f>'Fishing mortality'!C51</f>
        <v>10</v>
      </c>
      <c r="O52" s="28"/>
      <c r="P52" s="870"/>
      <c r="Q52" s="781"/>
      <c r="R52" s="157"/>
      <c r="S52" s="28">
        <f t="shared" ref="S52:S53" si="66">H52*H$7</f>
        <v>0.52215134462266377</v>
      </c>
      <c r="T52" s="28">
        <f t="shared" ref="T52:T53" si="67">I52*I$7</f>
        <v>0</v>
      </c>
      <c r="U52" s="28">
        <f t="shared" ref="U52:U53" si="68">J52*J$7</f>
        <v>6.7931908323495244E-2</v>
      </c>
      <c r="V52" s="28">
        <f t="shared" ref="V52:V53" si="69">K52*K$7</f>
        <v>0</v>
      </c>
      <c r="W52" s="28">
        <f t="shared" ref="W52:W53" si="70">L52*L$7</f>
        <v>0</v>
      </c>
      <c r="X52" s="28">
        <f t="shared" ref="X52:X53" si="71">M52*M$7</f>
        <v>0.48</v>
      </c>
      <c r="Y52" s="28">
        <f t="shared" ref="Y52:Y53" si="72">N52*N$7</f>
        <v>0.8</v>
      </c>
      <c r="Z52" s="412">
        <f t="shared" ref="Z52:Z53" si="73">O52*O$7</f>
        <v>0</v>
      </c>
      <c r="AA52" s="28">
        <f t="shared" ref="AA52:AA53" si="74">P52*P$7</f>
        <v>0</v>
      </c>
      <c r="AB52" s="329">
        <f t="shared" ref="AB52:AB53" si="75">Q52*Q$7</f>
        <v>0</v>
      </c>
      <c r="AC52" s="105">
        <f t="shared" si="51"/>
        <v>21</v>
      </c>
      <c r="AD52" s="104">
        <f t="shared" si="49"/>
        <v>1.8700832529461591</v>
      </c>
      <c r="AE52" s="189"/>
      <c r="AF52" s="189"/>
      <c r="AG52" s="189"/>
      <c r="AH52" s="189"/>
    </row>
    <row r="53" spans="1:34" ht="18" thickBot="1" x14ac:dyDescent="0.4">
      <c r="A53" s="724" t="s">
        <v>449</v>
      </c>
      <c r="B53" s="597">
        <f t="shared" si="64"/>
        <v>59</v>
      </c>
      <c r="C53" s="594">
        <f t="shared" si="65"/>
        <v>0.97374886501779634</v>
      </c>
      <c r="D53" s="907"/>
      <c r="E53" s="1185"/>
      <c r="F53" s="534"/>
      <c r="G53" s="528"/>
      <c r="H53" s="1175">
        <f>Commercial!C52</f>
        <v>1.9702326905609353</v>
      </c>
      <c r="I53" s="1177">
        <f>Recreational!C52</f>
        <v>0</v>
      </c>
      <c r="J53" s="1177">
        <f>Tribal!C52</f>
        <v>0</v>
      </c>
      <c r="K53" s="28"/>
      <c r="L53" s="1177">
        <f>Rebuilding!B52</f>
        <v>0</v>
      </c>
      <c r="M53" s="1177">
        <f>'Stock Status'!C52</f>
        <v>4</v>
      </c>
      <c r="N53" s="1177">
        <f>'Fishing mortality'!C52</f>
        <v>3</v>
      </c>
      <c r="O53" s="28"/>
      <c r="P53" s="870"/>
      <c r="Q53" s="781"/>
      <c r="R53" s="157"/>
      <c r="S53" s="28">
        <f t="shared" si="66"/>
        <v>0.4137488650177964</v>
      </c>
      <c r="T53" s="28">
        <f t="shared" si="67"/>
        <v>0</v>
      </c>
      <c r="U53" s="28">
        <f t="shared" si="68"/>
        <v>0</v>
      </c>
      <c r="V53" s="28">
        <f t="shared" si="69"/>
        <v>0</v>
      </c>
      <c r="W53" s="28">
        <f t="shared" si="70"/>
        <v>0</v>
      </c>
      <c r="X53" s="28">
        <f t="shared" si="71"/>
        <v>0.32</v>
      </c>
      <c r="Y53" s="28">
        <f t="shared" si="72"/>
        <v>0.24</v>
      </c>
      <c r="Z53" s="412">
        <f t="shared" si="73"/>
        <v>0</v>
      </c>
      <c r="AA53" s="28">
        <f t="shared" si="74"/>
        <v>0</v>
      </c>
      <c r="AB53" s="329">
        <f t="shared" si="75"/>
        <v>0</v>
      </c>
      <c r="AC53" s="105">
        <f t="shared" si="51"/>
        <v>59</v>
      </c>
      <c r="AD53" s="104">
        <f t="shared" si="49"/>
        <v>0.97374886501779634</v>
      </c>
      <c r="AE53" s="189"/>
      <c r="AF53" s="189"/>
      <c r="AG53" s="189"/>
      <c r="AH53" s="189"/>
    </row>
    <row r="54" spans="1:34" ht="18" thickBot="1" x14ac:dyDescent="0.4">
      <c r="A54" s="724" t="s">
        <v>426</v>
      </c>
      <c r="B54" s="597">
        <f t="shared" si="50"/>
        <v>30</v>
      </c>
      <c r="C54" s="594">
        <f t="shared" si="38"/>
        <v>1.6558101536616325</v>
      </c>
      <c r="D54" s="907" t="s">
        <v>365</v>
      </c>
      <c r="E54" s="522">
        <v>2013</v>
      </c>
      <c r="F54" s="533" t="s">
        <v>260</v>
      </c>
      <c r="G54" s="528"/>
      <c r="H54" s="1175">
        <f>Commercial!C53</f>
        <v>3.5990959698172982</v>
      </c>
      <c r="I54" s="1177">
        <f>Recreational!C53</f>
        <v>0</v>
      </c>
      <c r="J54" s="1177">
        <f>Tribal!C53</f>
        <v>2</v>
      </c>
      <c r="K54" s="28"/>
      <c r="L54" s="1177">
        <f>Rebuilding!B53</f>
        <v>0</v>
      </c>
      <c r="M54" s="1177">
        <f>'Stock Status'!C53</f>
        <v>3</v>
      </c>
      <c r="N54" s="1177">
        <f>'Fishing mortality'!C53</f>
        <v>7</v>
      </c>
      <c r="O54" s="28"/>
      <c r="P54" s="870"/>
      <c r="Q54" s="780"/>
      <c r="R54" s="157"/>
      <c r="S54" s="28">
        <f t="shared" si="39"/>
        <v>0.75581015366163262</v>
      </c>
      <c r="T54" s="28">
        <f t="shared" si="40"/>
        <v>0</v>
      </c>
      <c r="U54" s="28">
        <f t="shared" si="41"/>
        <v>0.1</v>
      </c>
      <c r="V54" s="28">
        <f t="shared" si="42"/>
        <v>0</v>
      </c>
      <c r="W54" s="28">
        <f t="shared" si="43"/>
        <v>0</v>
      </c>
      <c r="X54" s="28">
        <f t="shared" si="44"/>
        <v>0.24</v>
      </c>
      <c r="Y54" s="28">
        <f t="shared" si="45"/>
        <v>0.56000000000000005</v>
      </c>
      <c r="Z54" s="412">
        <f t="shared" si="46"/>
        <v>0</v>
      </c>
      <c r="AA54" s="28">
        <f t="shared" si="47"/>
        <v>0</v>
      </c>
      <c r="AB54" s="329">
        <f t="shared" si="48"/>
        <v>0</v>
      </c>
      <c r="AC54" s="105">
        <f t="shared" si="51"/>
        <v>30</v>
      </c>
      <c r="AD54" s="104">
        <f t="shared" si="49"/>
        <v>1.6558101536616325</v>
      </c>
      <c r="AE54" s="189"/>
      <c r="AF54" s="189"/>
      <c r="AG54" s="189"/>
      <c r="AH54" s="189"/>
    </row>
    <row r="55" spans="1:34" ht="18" thickBot="1" x14ac:dyDescent="0.4">
      <c r="A55" s="726" t="s">
        <v>100</v>
      </c>
      <c r="B55" s="597">
        <f t="shared" si="50"/>
        <v>1</v>
      </c>
      <c r="C55" s="594">
        <f t="shared" si="38"/>
        <v>3.5014385455002039</v>
      </c>
      <c r="D55" s="907"/>
      <c r="E55" s="522">
        <v>2021</v>
      </c>
      <c r="F55" s="535" t="s">
        <v>261</v>
      </c>
      <c r="G55" s="528"/>
      <c r="H55" s="1175">
        <f>Commercial!C54</f>
        <v>10</v>
      </c>
      <c r="I55" s="1177">
        <f>Recreational!C54</f>
        <v>2.9048727277800404</v>
      </c>
      <c r="J55" s="1177">
        <f>Tribal!C54</f>
        <v>10</v>
      </c>
      <c r="K55" s="28"/>
      <c r="L55" s="1177">
        <f>Rebuilding!B54</f>
        <v>0</v>
      </c>
      <c r="M55" s="1177">
        <f>'Stock Status'!C54</f>
        <v>3</v>
      </c>
      <c r="N55" s="1177">
        <f>'Fishing mortality'!C54</f>
        <v>5</v>
      </c>
      <c r="O55" s="28"/>
      <c r="P55" s="870"/>
      <c r="Q55" s="780"/>
      <c r="R55" s="157"/>
      <c r="S55" s="28">
        <f t="shared" si="39"/>
        <v>2.1</v>
      </c>
      <c r="T55" s="28">
        <f t="shared" si="40"/>
        <v>0.26143854550020362</v>
      </c>
      <c r="U55" s="28">
        <f t="shared" si="41"/>
        <v>0.5</v>
      </c>
      <c r="V55" s="28">
        <f t="shared" si="42"/>
        <v>0</v>
      </c>
      <c r="W55" s="28">
        <f t="shared" si="43"/>
        <v>0</v>
      </c>
      <c r="X55" s="28">
        <f t="shared" si="44"/>
        <v>0.24</v>
      </c>
      <c r="Y55" s="28">
        <f t="shared" si="45"/>
        <v>0.4</v>
      </c>
      <c r="Z55" s="412">
        <f t="shared" si="46"/>
        <v>0</v>
      </c>
      <c r="AA55" s="28">
        <f t="shared" si="47"/>
        <v>0</v>
      </c>
      <c r="AB55" s="329">
        <f t="shared" si="48"/>
        <v>0</v>
      </c>
      <c r="AC55" s="105">
        <f t="shared" si="51"/>
        <v>1</v>
      </c>
      <c r="AD55" s="104">
        <f t="shared" si="49"/>
        <v>3.5014385455002039</v>
      </c>
      <c r="AE55" s="189"/>
      <c r="AF55" s="189"/>
      <c r="AG55" s="189"/>
      <c r="AH55" s="189"/>
    </row>
    <row r="56" spans="1:34" ht="18" thickBot="1" x14ac:dyDescent="0.4">
      <c r="A56" s="724" t="s">
        <v>462</v>
      </c>
      <c r="B56" s="597">
        <f t="shared" si="50"/>
        <v>44</v>
      </c>
      <c r="C56" s="594">
        <f t="shared" si="38"/>
        <v>1.3833231592068258</v>
      </c>
      <c r="D56" s="907"/>
      <c r="E56" s="1185"/>
      <c r="F56" s="534" t="s">
        <v>271</v>
      </c>
      <c r="G56" s="528"/>
      <c r="H56" s="1175">
        <f>Commercial!C55</f>
        <v>3.008372392430823</v>
      </c>
      <c r="I56" s="1177">
        <f>Recreational!C55</f>
        <v>2.1422597983679901</v>
      </c>
      <c r="J56" s="1177">
        <f>Tribal!C55</f>
        <v>4.7752314988646791</v>
      </c>
      <c r="K56" s="28"/>
      <c r="L56" s="1177">
        <f>Rebuilding!B55</f>
        <v>0</v>
      </c>
      <c r="M56" s="1177">
        <f>'Stock Status'!C55</f>
        <v>3</v>
      </c>
      <c r="N56" s="1177">
        <f>'Fishing mortality'!C55</f>
        <v>1</v>
      </c>
      <c r="O56" s="28"/>
      <c r="P56" s="28"/>
      <c r="Q56" s="781"/>
      <c r="R56" s="157"/>
      <c r="S56" s="28">
        <f t="shared" si="39"/>
        <v>0.63175820241047276</v>
      </c>
      <c r="T56" s="28">
        <f t="shared" si="40"/>
        <v>0.1928033818531191</v>
      </c>
      <c r="U56" s="28">
        <f t="shared" si="41"/>
        <v>0.23876157494323397</v>
      </c>
      <c r="V56" s="28">
        <f t="shared" si="42"/>
        <v>0</v>
      </c>
      <c r="W56" s="28">
        <f t="shared" si="43"/>
        <v>0</v>
      </c>
      <c r="X56" s="28">
        <f t="shared" si="44"/>
        <v>0.24</v>
      </c>
      <c r="Y56" s="28">
        <f t="shared" si="45"/>
        <v>0.08</v>
      </c>
      <c r="Z56" s="412">
        <f t="shared" si="46"/>
        <v>0</v>
      </c>
      <c r="AA56" s="28">
        <f t="shared" si="47"/>
        <v>0</v>
      </c>
      <c r="AB56" s="329">
        <f t="shared" si="48"/>
        <v>0</v>
      </c>
      <c r="AC56" s="105">
        <f t="shared" si="51"/>
        <v>44</v>
      </c>
      <c r="AD56" s="104">
        <f t="shared" si="49"/>
        <v>1.3833231592068258</v>
      </c>
      <c r="AE56" s="189"/>
      <c r="AF56" s="189"/>
      <c r="AG56" s="189"/>
      <c r="AH56" s="189"/>
    </row>
    <row r="57" spans="1:34" ht="18" thickBot="1" x14ac:dyDescent="0.4">
      <c r="A57" s="724" t="s">
        <v>176</v>
      </c>
      <c r="B57" s="597">
        <f t="shared" si="50"/>
        <v>64</v>
      </c>
      <c r="C57" s="594">
        <f t="shared" si="38"/>
        <v>0.74558416382769543</v>
      </c>
      <c r="D57" s="907" t="s">
        <v>366</v>
      </c>
      <c r="E57" s="522">
        <v>2013</v>
      </c>
      <c r="F57" s="536" t="s">
        <v>270</v>
      </c>
      <c r="G57" s="528"/>
      <c r="H57" s="1175">
        <f>Commercial!C56</f>
        <v>2.2174812270772075</v>
      </c>
      <c r="I57" s="1177">
        <f>Recreational!C56</f>
        <v>0</v>
      </c>
      <c r="J57" s="1177">
        <f>Tribal!C56</f>
        <v>0.7982621228296366</v>
      </c>
      <c r="K57" s="28"/>
      <c r="L57" s="1177">
        <f>Rebuilding!B56</f>
        <v>0</v>
      </c>
      <c r="M57" s="1177">
        <f>'Stock Status'!C56</f>
        <v>2</v>
      </c>
      <c r="N57" s="1177">
        <f>'Fishing mortality'!C56</f>
        <v>1</v>
      </c>
      <c r="O57" s="28"/>
      <c r="P57" s="28"/>
      <c r="Q57" s="780"/>
      <c r="R57" s="157"/>
      <c r="S57" s="28">
        <f t="shared" si="39"/>
        <v>0.46567105768621359</v>
      </c>
      <c r="T57" s="28">
        <f t="shared" si="40"/>
        <v>0</v>
      </c>
      <c r="U57" s="28">
        <f t="shared" si="41"/>
        <v>3.991310614148183E-2</v>
      </c>
      <c r="V57" s="28">
        <f t="shared" si="42"/>
        <v>0</v>
      </c>
      <c r="W57" s="28">
        <f t="shared" si="43"/>
        <v>0</v>
      </c>
      <c r="X57" s="28">
        <f t="shared" si="44"/>
        <v>0.16</v>
      </c>
      <c r="Y57" s="28">
        <f t="shared" si="45"/>
        <v>0.08</v>
      </c>
      <c r="Z57" s="412">
        <f t="shared" si="46"/>
        <v>0</v>
      </c>
      <c r="AA57" s="28">
        <f t="shared" si="47"/>
        <v>0</v>
      </c>
      <c r="AB57" s="329">
        <f t="shared" si="48"/>
        <v>0</v>
      </c>
      <c r="AC57" s="105">
        <f t="shared" si="51"/>
        <v>64</v>
      </c>
      <c r="AD57" s="104">
        <f t="shared" si="49"/>
        <v>0.74558416382769543</v>
      </c>
      <c r="AE57" s="189"/>
      <c r="AF57" s="189"/>
      <c r="AG57" s="189"/>
      <c r="AH57" s="189"/>
    </row>
    <row r="58" spans="1:34" ht="18" thickBot="1" x14ac:dyDescent="0.4">
      <c r="A58" s="724" t="s">
        <v>126</v>
      </c>
      <c r="B58" s="597">
        <f t="shared" si="50"/>
        <v>42</v>
      </c>
      <c r="C58" s="594">
        <f t="shared" si="38"/>
        <v>1.4365804778588194</v>
      </c>
      <c r="D58" s="907"/>
      <c r="E58" s="1185"/>
      <c r="F58" s="534" t="s">
        <v>271</v>
      </c>
      <c r="G58" s="528"/>
      <c r="H58" s="1175">
        <f>Commercial!C57</f>
        <v>2.5037106161254155</v>
      </c>
      <c r="I58" s="1177">
        <f>Recreational!C57</f>
        <v>0</v>
      </c>
      <c r="J58" s="1177">
        <f>Tribal!C57</f>
        <v>3.8160249694496433</v>
      </c>
      <c r="K58" s="870"/>
      <c r="L58" s="1177">
        <f>Rebuilding!B57</f>
        <v>0</v>
      </c>
      <c r="M58" s="1177">
        <f>'Stock Status'!C57</f>
        <v>4</v>
      </c>
      <c r="N58" s="1177">
        <f>'Fishing mortality'!C57</f>
        <v>5</v>
      </c>
      <c r="O58" s="28"/>
      <c r="P58" s="28"/>
      <c r="Q58" s="781"/>
      <c r="R58" s="157"/>
      <c r="S58" s="28">
        <f t="shared" si="39"/>
        <v>0.52577922938633725</v>
      </c>
      <c r="T58" s="28">
        <f t="shared" si="40"/>
        <v>0</v>
      </c>
      <c r="U58" s="28">
        <f>J58*J$7</f>
        <v>0.19080124847248217</v>
      </c>
      <c r="V58" s="28">
        <f t="shared" si="42"/>
        <v>0</v>
      </c>
      <c r="W58" s="28">
        <f t="shared" si="43"/>
        <v>0</v>
      </c>
      <c r="X58" s="28">
        <f t="shared" si="44"/>
        <v>0.32</v>
      </c>
      <c r="Y58" s="28">
        <f t="shared" si="45"/>
        <v>0.4</v>
      </c>
      <c r="Z58" s="412">
        <f t="shared" si="46"/>
        <v>0</v>
      </c>
      <c r="AA58" s="28">
        <f t="shared" si="47"/>
        <v>0</v>
      </c>
      <c r="AB58" s="329">
        <f t="shared" si="48"/>
        <v>0</v>
      </c>
      <c r="AC58" s="105">
        <f t="shared" si="51"/>
        <v>42</v>
      </c>
      <c r="AD58" s="104">
        <f t="shared" si="49"/>
        <v>1.4365804778588194</v>
      </c>
      <c r="AE58" s="189"/>
      <c r="AF58" s="189"/>
      <c r="AG58" s="189"/>
      <c r="AH58" s="189"/>
    </row>
    <row r="59" spans="1:34" ht="18" thickBot="1" x14ac:dyDescent="0.4">
      <c r="A59" s="725" t="s">
        <v>96</v>
      </c>
      <c r="B59" s="597">
        <f t="shared" si="50"/>
        <v>18</v>
      </c>
      <c r="C59" s="594">
        <f t="shared" si="38"/>
        <v>1.9544571032803923</v>
      </c>
      <c r="D59" s="907"/>
      <c r="E59" s="522">
        <v>2013</v>
      </c>
      <c r="F59" s="533" t="s">
        <v>260</v>
      </c>
      <c r="G59" s="528"/>
      <c r="H59" s="1175">
        <f>Commercial!C58</f>
        <v>6.9728714006232515</v>
      </c>
      <c r="I59" s="1177">
        <f>Recreational!C58</f>
        <v>0</v>
      </c>
      <c r="J59" s="1177">
        <f>Tribal!C58</f>
        <v>3.403082182990194</v>
      </c>
      <c r="K59" s="870"/>
      <c r="L59" s="1177">
        <f>Rebuilding!B58</f>
        <v>0</v>
      </c>
      <c r="M59" s="1177">
        <f>'Stock Status'!C58</f>
        <v>2</v>
      </c>
      <c r="N59" s="1177">
        <f>'Fishing mortality'!C58</f>
        <v>2</v>
      </c>
      <c r="O59" s="28"/>
      <c r="P59" s="28"/>
      <c r="Q59" s="780"/>
      <c r="R59" s="157"/>
      <c r="S59" s="28">
        <f t="shared" si="39"/>
        <v>1.4643029941308827</v>
      </c>
      <c r="T59" s="28">
        <f t="shared" si="40"/>
        <v>0</v>
      </c>
      <c r="U59" s="28">
        <f t="shared" si="41"/>
        <v>0.17015410914950971</v>
      </c>
      <c r="V59" s="28">
        <f t="shared" si="42"/>
        <v>0</v>
      </c>
      <c r="W59" s="28">
        <f t="shared" si="43"/>
        <v>0</v>
      </c>
      <c r="X59" s="28">
        <f t="shared" si="44"/>
        <v>0.16</v>
      </c>
      <c r="Y59" s="28">
        <f t="shared" si="45"/>
        <v>0.16</v>
      </c>
      <c r="Z59" s="412">
        <f t="shared" si="46"/>
        <v>0</v>
      </c>
      <c r="AA59" s="28">
        <f t="shared" si="47"/>
        <v>0</v>
      </c>
      <c r="AB59" s="329">
        <f t="shared" si="48"/>
        <v>0</v>
      </c>
      <c r="AC59" s="105">
        <f t="shared" si="51"/>
        <v>18</v>
      </c>
      <c r="AD59" s="104">
        <f t="shared" si="49"/>
        <v>1.9544571032803923</v>
      </c>
      <c r="AE59" s="189"/>
      <c r="AF59" s="189"/>
      <c r="AG59" s="189"/>
      <c r="AH59" s="189"/>
    </row>
    <row r="60" spans="1:34" ht="18" thickBot="1" x14ac:dyDescent="0.4">
      <c r="A60" s="725" t="s">
        <v>450</v>
      </c>
      <c r="B60" s="597">
        <f t="shared" ref="B60" si="76">RANK(C60,C$9:C$72)</f>
        <v>40</v>
      </c>
      <c r="C60" s="594">
        <f t="shared" ref="C60" si="77">SUM(S60:AB60)</f>
        <v>1.4657697013882065</v>
      </c>
      <c r="D60" s="907"/>
      <c r="E60" s="1185"/>
      <c r="F60" s="534" t="s">
        <v>271</v>
      </c>
      <c r="G60" s="528"/>
      <c r="H60" s="1175">
        <f>Commercial!C59</f>
        <v>3.1010826341308011</v>
      </c>
      <c r="I60" s="1177">
        <f>Recreational!C59</f>
        <v>0</v>
      </c>
      <c r="J60" s="1177">
        <f>Tribal!C59</f>
        <v>1.8908469644147663</v>
      </c>
      <c r="K60" s="870"/>
      <c r="L60" s="1177">
        <f>Rebuilding!B59</f>
        <v>0</v>
      </c>
      <c r="M60" s="1177">
        <f>'Stock Status'!C59</f>
        <v>6</v>
      </c>
      <c r="N60" s="1177">
        <f>'Fishing mortality'!C59</f>
        <v>3</v>
      </c>
      <c r="O60" s="28"/>
      <c r="P60" s="28"/>
      <c r="Q60" s="781"/>
      <c r="R60" s="157"/>
      <c r="S60" s="28">
        <f t="shared" ref="S60" si="78">H60*H$7</f>
        <v>0.65122735316746816</v>
      </c>
      <c r="T60" s="28">
        <f t="shared" ref="T60" si="79">I60*I$7</f>
        <v>0</v>
      </c>
      <c r="U60" s="28">
        <f t="shared" ref="U60" si="80">J60*J$7</f>
        <v>9.4542348220738315E-2</v>
      </c>
      <c r="V60" s="28">
        <f t="shared" ref="V60" si="81">K60*K$7</f>
        <v>0</v>
      </c>
      <c r="W60" s="28">
        <f t="shared" ref="W60" si="82">L60*L$7</f>
        <v>0</v>
      </c>
      <c r="X60" s="28">
        <f t="shared" ref="X60" si="83">M60*M$7</f>
        <v>0.48</v>
      </c>
      <c r="Y60" s="28">
        <f t="shared" ref="Y60" si="84">N60*N$7</f>
        <v>0.24</v>
      </c>
      <c r="Z60" s="412">
        <f t="shared" ref="Z60" si="85">O60*O$7</f>
        <v>0</v>
      </c>
      <c r="AA60" s="28">
        <f t="shared" ref="AA60" si="86">P60*P$7</f>
        <v>0</v>
      </c>
      <c r="AB60" s="329">
        <f t="shared" ref="AB60" si="87">Q60*Q$7</f>
        <v>0</v>
      </c>
      <c r="AC60" s="105">
        <f t="shared" si="51"/>
        <v>40</v>
      </c>
      <c r="AD60" s="104">
        <f t="shared" si="49"/>
        <v>1.4657697013882065</v>
      </c>
      <c r="AE60" s="189"/>
      <c r="AF60" s="189"/>
      <c r="AG60" s="189"/>
      <c r="AH60" s="189"/>
    </row>
    <row r="61" spans="1:34" ht="18" thickBot="1" x14ac:dyDescent="0.4">
      <c r="A61" s="724" t="s">
        <v>127</v>
      </c>
      <c r="B61" s="597">
        <f t="shared" si="50"/>
        <v>47</v>
      </c>
      <c r="C61" s="594">
        <f t="shared" si="38"/>
        <v>1.3034476191865627</v>
      </c>
      <c r="D61" s="907"/>
      <c r="E61" s="1185"/>
      <c r="F61" s="534" t="s">
        <v>271</v>
      </c>
      <c r="G61" s="528"/>
      <c r="H61" s="1175">
        <f>Commercial!C60</f>
        <v>2.1008733573370164</v>
      </c>
      <c r="I61" s="1177">
        <f>Recreational!C60</f>
        <v>4.2473801571754377</v>
      </c>
      <c r="J61" s="1177">
        <f>Tribal!C60</f>
        <v>0</v>
      </c>
      <c r="K61" s="28"/>
      <c r="L61" s="1177">
        <f>Rebuilding!B60</f>
        <v>0</v>
      </c>
      <c r="M61" s="1177">
        <f>'Stock Status'!C60</f>
        <v>4</v>
      </c>
      <c r="N61" s="1177">
        <f>'Fishing mortality'!C60</f>
        <v>2</v>
      </c>
      <c r="O61" s="28"/>
      <c r="P61" s="28"/>
      <c r="Q61" s="781"/>
      <c r="R61" s="157"/>
      <c r="S61" s="28">
        <f t="shared" si="39"/>
        <v>0.44118340504077341</v>
      </c>
      <c r="T61" s="28">
        <f t="shared" si="40"/>
        <v>0.38226421414578937</v>
      </c>
      <c r="U61" s="28">
        <f t="shared" si="41"/>
        <v>0</v>
      </c>
      <c r="V61" s="28">
        <f t="shared" si="42"/>
        <v>0</v>
      </c>
      <c r="W61" s="28">
        <f t="shared" si="43"/>
        <v>0</v>
      </c>
      <c r="X61" s="28">
        <f t="shared" si="44"/>
        <v>0.32</v>
      </c>
      <c r="Y61" s="28">
        <f t="shared" si="45"/>
        <v>0.16</v>
      </c>
      <c r="Z61" s="412">
        <f t="shared" si="46"/>
        <v>0</v>
      </c>
      <c r="AA61" s="28">
        <f t="shared" si="47"/>
        <v>0</v>
      </c>
      <c r="AB61" s="329">
        <f t="shared" si="48"/>
        <v>0</v>
      </c>
      <c r="AC61" s="105">
        <f t="shared" si="51"/>
        <v>47</v>
      </c>
      <c r="AD61" s="104">
        <f t="shared" si="49"/>
        <v>1.3034476191865627</v>
      </c>
      <c r="AE61" s="189"/>
      <c r="AF61" s="189"/>
      <c r="AG61" s="189"/>
      <c r="AH61" s="189"/>
    </row>
    <row r="62" spans="1:34" ht="18" thickBot="1" x14ac:dyDescent="0.4">
      <c r="A62" s="724" t="s">
        <v>178</v>
      </c>
      <c r="B62" s="597">
        <f t="shared" si="50"/>
        <v>61</v>
      </c>
      <c r="C62" s="594">
        <f t="shared" si="38"/>
        <v>0.91258460728507274</v>
      </c>
      <c r="D62" s="907"/>
      <c r="E62" s="522">
        <v>2009</v>
      </c>
      <c r="F62" s="533" t="s">
        <v>260</v>
      </c>
      <c r="G62" s="528"/>
      <c r="H62" s="1175">
        <f>Commercial!C61</f>
        <v>2.9546617478096158</v>
      </c>
      <c r="I62" s="1177">
        <f>Recreational!C61</f>
        <v>0</v>
      </c>
      <c r="J62" s="1177">
        <f>Tribal!C61</f>
        <v>1.0421128049010688</v>
      </c>
      <c r="K62" s="28"/>
      <c r="L62" s="1177">
        <f>Rebuilding!B61</f>
        <v>0</v>
      </c>
      <c r="M62" s="1177">
        <f>'Stock Status'!C61</f>
        <v>2</v>
      </c>
      <c r="N62" s="1177">
        <f>'Fishing mortality'!C61</f>
        <v>1</v>
      </c>
      <c r="O62" s="28"/>
      <c r="P62" s="28"/>
      <c r="Q62" s="780"/>
      <c r="R62" s="157"/>
      <c r="S62" s="28">
        <f t="shared" si="39"/>
        <v>0.62047896704001926</v>
      </c>
      <c r="T62" s="28">
        <f t="shared" si="40"/>
        <v>0</v>
      </c>
      <c r="U62" s="28">
        <f t="shared" si="41"/>
        <v>5.2105640245053444E-2</v>
      </c>
      <c r="V62" s="28">
        <f t="shared" si="42"/>
        <v>0</v>
      </c>
      <c r="W62" s="28">
        <f t="shared" si="43"/>
        <v>0</v>
      </c>
      <c r="X62" s="28">
        <f t="shared" si="44"/>
        <v>0.16</v>
      </c>
      <c r="Y62" s="28">
        <f t="shared" si="45"/>
        <v>0.08</v>
      </c>
      <c r="Z62" s="412">
        <f t="shared" si="46"/>
        <v>0</v>
      </c>
      <c r="AA62" s="28">
        <f t="shared" si="47"/>
        <v>0</v>
      </c>
      <c r="AB62" s="329">
        <f t="shared" si="48"/>
        <v>0</v>
      </c>
      <c r="AC62" s="105">
        <f t="shared" si="51"/>
        <v>61</v>
      </c>
      <c r="AD62" s="104">
        <f t="shared" si="49"/>
        <v>0.91258460728507274</v>
      </c>
      <c r="AE62" s="189"/>
      <c r="AF62" s="189"/>
      <c r="AG62" s="189"/>
      <c r="AH62" s="189"/>
    </row>
    <row r="63" spans="1:34" ht="18" thickBot="1" x14ac:dyDescent="0.4">
      <c r="A63" s="724" t="s">
        <v>128</v>
      </c>
      <c r="B63" s="597">
        <f t="shared" si="50"/>
        <v>32</v>
      </c>
      <c r="C63" s="594">
        <f t="shared" si="38"/>
        <v>1.5659892898352825</v>
      </c>
      <c r="D63" s="907"/>
      <c r="E63" s="522">
        <v>2021</v>
      </c>
      <c r="F63" s="536" t="s">
        <v>270</v>
      </c>
      <c r="G63" s="528"/>
      <c r="H63" s="1175">
        <f>Commercial!C62</f>
        <v>0</v>
      </c>
      <c r="I63" s="1177">
        <f>Recreational!C62</f>
        <v>4.9554365537253595</v>
      </c>
      <c r="J63" s="1177">
        <f>Tribal!C62</f>
        <v>0</v>
      </c>
      <c r="K63" s="28"/>
      <c r="L63" s="1177">
        <f>Rebuilding!B62</f>
        <v>0</v>
      </c>
      <c r="M63" s="1177">
        <f>'Stock Status'!C62</f>
        <v>4</v>
      </c>
      <c r="N63" s="1177">
        <f>'Fishing mortality'!C62</f>
        <v>10</v>
      </c>
      <c r="O63" s="28"/>
      <c r="P63" s="28"/>
      <c r="Q63" s="1359"/>
      <c r="R63" s="157"/>
      <c r="S63" s="28">
        <f t="shared" si="39"/>
        <v>0</v>
      </c>
      <c r="T63" s="28">
        <f t="shared" si="40"/>
        <v>0.44598928983528235</v>
      </c>
      <c r="U63" s="28">
        <f t="shared" si="41"/>
        <v>0</v>
      </c>
      <c r="V63" s="28">
        <f t="shared" si="42"/>
        <v>0</v>
      </c>
      <c r="W63" s="28">
        <f t="shared" si="43"/>
        <v>0</v>
      </c>
      <c r="X63" s="28">
        <f t="shared" si="44"/>
        <v>0.32</v>
      </c>
      <c r="Y63" s="28">
        <f t="shared" si="45"/>
        <v>0.8</v>
      </c>
      <c r="Z63" s="412">
        <f t="shared" si="46"/>
        <v>0</v>
      </c>
      <c r="AA63" s="28">
        <f t="shared" si="47"/>
        <v>0</v>
      </c>
      <c r="AB63" s="329">
        <f t="shared" si="48"/>
        <v>0</v>
      </c>
      <c r="AC63" s="105">
        <f t="shared" si="51"/>
        <v>32</v>
      </c>
      <c r="AD63" s="104">
        <f t="shared" si="49"/>
        <v>1.5659892898352825</v>
      </c>
      <c r="AE63" s="189"/>
      <c r="AF63" s="189"/>
      <c r="AG63" s="189"/>
      <c r="AH63" s="189"/>
    </row>
    <row r="64" spans="1:34" ht="18" thickBot="1" x14ac:dyDescent="0.4">
      <c r="A64" s="725" t="s">
        <v>18</v>
      </c>
      <c r="B64" s="597">
        <f t="shared" si="50"/>
        <v>52</v>
      </c>
      <c r="C64" s="594">
        <f t="shared" si="38"/>
        <v>1.2545569013470264</v>
      </c>
      <c r="D64" s="907"/>
      <c r="E64" s="1185"/>
      <c r="F64" s="534" t="s">
        <v>271</v>
      </c>
      <c r="G64" s="528"/>
      <c r="H64" s="1175">
        <f>Commercial!C63</f>
        <v>2.7862706245289708</v>
      </c>
      <c r="I64" s="1177">
        <f>Recreational!C63</f>
        <v>2.447011996948226</v>
      </c>
      <c r="J64" s="1177">
        <f>Tribal!C63</f>
        <v>2.5841798094120407</v>
      </c>
      <c r="K64" s="28"/>
      <c r="L64" s="1177">
        <f>Rebuilding!B63</f>
        <v>0</v>
      </c>
      <c r="M64" s="1177">
        <f>'Stock Status'!C63</f>
        <v>3</v>
      </c>
      <c r="N64" s="1177">
        <f>'Fishing mortality'!C63</f>
        <v>1</v>
      </c>
      <c r="O64" s="28"/>
      <c r="P64" s="28"/>
      <c r="Q64" s="781"/>
      <c r="R64" s="157"/>
      <c r="S64" s="28">
        <f t="shared" si="39"/>
        <v>0.58511683115108382</v>
      </c>
      <c r="T64" s="28">
        <f t="shared" si="40"/>
        <v>0.22023107972534034</v>
      </c>
      <c r="U64" s="28">
        <f t="shared" si="41"/>
        <v>0.12920899047060205</v>
      </c>
      <c r="V64" s="28">
        <f t="shared" si="42"/>
        <v>0</v>
      </c>
      <c r="W64" s="28">
        <f t="shared" si="43"/>
        <v>0</v>
      </c>
      <c r="X64" s="28">
        <f t="shared" si="44"/>
        <v>0.24</v>
      </c>
      <c r="Y64" s="28">
        <f t="shared" si="45"/>
        <v>0.08</v>
      </c>
      <c r="Z64" s="412">
        <f t="shared" si="46"/>
        <v>0</v>
      </c>
      <c r="AA64" s="28">
        <f t="shared" si="47"/>
        <v>0</v>
      </c>
      <c r="AB64" s="329">
        <f t="shared" si="48"/>
        <v>0</v>
      </c>
      <c r="AC64" s="105">
        <f t="shared" si="51"/>
        <v>52</v>
      </c>
      <c r="AD64" s="104">
        <f t="shared" si="49"/>
        <v>1.2545569013470264</v>
      </c>
      <c r="AE64" s="189"/>
      <c r="AF64" s="189"/>
      <c r="AG64" s="189"/>
      <c r="AH64" s="189"/>
    </row>
    <row r="65" spans="1:34" ht="18" thickBot="1" x14ac:dyDescent="0.4">
      <c r="A65" s="724" t="s">
        <v>129</v>
      </c>
      <c r="B65" s="597">
        <f t="shared" si="50"/>
        <v>31</v>
      </c>
      <c r="C65" s="594">
        <f t="shared" si="38"/>
        <v>1.6373614216227388</v>
      </c>
      <c r="D65" s="907"/>
      <c r="E65" s="1185"/>
      <c r="F65" s="534" t="s">
        <v>271</v>
      </c>
      <c r="G65" s="528"/>
      <c r="H65" s="1175">
        <f>Commercial!C64</f>
        <v>2.5446702539451307</v>
      </c>
      <c r="I65" s="1177">
        <f>Recreational!C64</f>
        <v>5.1442296477140141</v>
      </c>
      <c r="J65" s="1177">
        <f>Tribal!C64</f>
        <v>0</v>
      </c>
      <c r="K65" s="28"/>
      <c r="L65" s="1177">
        <f>Rebuilding!B64</f>
        <v>0</v>
      </c>
      <c r="M65" s="1177">
        <f>'Stock Status'!C64</f>
        <v>3</v>
      </c>
      <c r="N65" s="1177">
        <f>'Fishing mortality'!C64</f>
        <v>5</v>
      </c>
      <c r="O65" s="28"/>
      <c r="P65" s="28"/>
      <c r="Q65" s="781"/>
      <c r="R65" s="157"/>
      <c r="S65" s="28">
        <f t="shared" si="39"/>
        <v>0.53438075332847745</v>
      </c>
      <c r="T65" s="28">
        <f t="shared" si="40"/>
        <v>0.46298066829426127</v>
      </c>
      <c r="U65" s="28">
        <f t="shared" si="41"/>
        <v>0</v>
      </c>
      <c r="V65" s="28">
        <f t="shared" si="42"/>
        <v>0</v>
      </c>
      <c r="W65" s="28">
        <f t="shared" si="43"/>
        <v>0</v>
      </c>
      <c r="X65" s="28">
        <f t="shared" si="44"/>
        <v>0.24</v>
      </c>
      <c r="Y65" s="28">
        <f t="shared" si="45"/>
        <v>0.4</v>
      </c>
      <c r="Z65" s="412">
        <f t="shared" si="46"/>
        <v>0</v>
      </c>
      <c r="AA65" s="28">
        <f t="shared" si="47"/>
        <v>0</v>
      </c>
      <c r="AB65" s="329">
        <f t="shared" si="48"/>
        <v>0</v>
      </c>
      <c r="AC65" s="105">
        <f t="shared" si="51"/>
        <v>31</v>
      </c>
      <c r="AD65" s="104">
        <f t="shared" si="49"/>
        <v>1.6373614216227388</v>
      </c>
      <c r="AE65" s="189"/>
      <c r="AF65" s="189"/>
      <c r="AG65" s="189"/>
      <c r="AH65" s="189"/>
    </row>
    <row r="66" spans="1:34" ht="18" thickBot="1" x14ac:dyDescent="0.4">
      <c r="A66" s="724" t="s">
        <v>451</v>
      </c>
      <c r="B66" s="597">
        <f t="shared" ref="B66" si="88">RANK(C66,C$9:C$72)</f>
        <v>37</v>
      </c>
      <c r="C66" s="594">
        <f t="shared" ref="C66" si="89">SUM(S66:AB66)</f>
        <v>1.4941019454543585</v>
      </c>
      <c r="D66" s="907"/>
      <c r="E66" s="1185"/>
      <c r="F66" s="534"/>
      <c r="G66" s="528"/>
      <c r="H66" s="1175">
        <f>Commercial!C65</f>
        <v>1.7814378354969447</v>
      </c>
      <c r="I66" s="1177">
        <f>Recreational!C65</f>
        <v>0</v>
      </c>
      <c r="J66" s="1177">
        <f>Tribal!C65</f>
        <v>0</v>
      </c>
      <c r="K66" s="28"/>
      <c r="L66" s="1177">
        <f>Rebuilding!B65</f>
        <v>0</v>
      </c>
      <c r="M66" s="1177">
        <f>'Stock Status'!C65</f>
        <v>4</v>
      </c>
      <c r="N66" s="1177">
        <f>'Fishing mortality'!C65</f>
        <v>10</v>
      </c>
      <c r="O66" s="28"/>
      <c r="P66" s="28"/>
      <c r="Q66" s="781"/>
      <c r="R66" s="157"/>
      <c r="S66" s="28">
        <f t="shared" ref="S66" si="90">H66*H$7</f>
        <v>0.37410194545435838</v>
      </c>
      <c r="T66" s="28">
        <f t="shared" ref="T66" si="91">I66*I$7</f>
        <v>0</v>
      </c>
      <c r="U66" s="28">
        <f t="shared" ref="U66" si="92">J66*J$7</f>
        <v>0</v>
      </c>
      <c r="V66" s="28">
        <f t="shared" ref="V66" si="93">K66*K$7</f>
        <v>0</v>
      </c>
      <c r="W66" s="28">
        <f t="shared" ref="W66" si="94">L66*L$7</f>
        <v>0</v>
      </c>
      <c r="X66" s="28">
        <f t="shared" ref="X66" si="95">M66*M$7</f>
        <v>0.32</v>
      </c>
      <c r="Y66" s="28">
        <f t="shared" ref="Y66" si="96">N66*N$7</f>
        <v>0.8</v>
      </c>
      <c r="Z66" s="412">
        <f t="shared" ref="Z66" si="97">O66*O$7</f>
        <v>0</v>
      </c>
      <c r="AA66" s="28">
        <f t="shared" ref="AA66" si="98">P66*P$7</f>
        <v>0</v>
      </c>
      <c r="AB66" s="329">
        <f t="shared" ref="AB66" si="99">Q66*Q$7</f>
        <v>0</v>
      </c>
      <c r="AC66" s="105">
        <f t="shared" si="51"/>
        <v>37</v>
      </c>
      <c r="AD66" s="104">
        <f t="shared" si="49"/>
        <v>1.4941019454543585</v>
      </c>
      <c r="AE66" s="189"/>
      <c r="AF66" s="189"/>
      <c r="AG66" s="189"/>
      <c r="AH66" s="189"/>
    </row>
    <row r="67" spans="1:34" ht="18" thickBot="1" x14ac:dyDescent="0.4">
      <c r="A67" s="724" t="s">
        <v>291</v>
      </c>
      <c r="B67" s="597">
        <f t="shared" si="50"/>
        <v>22</v>
      </c>
      <c r="C67" s="594">
        <f t="shared" si="38"/>
        <v>1.8298779999860304</v>
      </c>
      <c r="D67" s="907"/>
      <c r="E67" s="1185"/>
      <c r="F67" s="534" t="s">
        <v>271</v>
      </c>
      <c r="G67" s="528"/>
      <c r="H67" s="1175">
        <f>Commercial!C66</f>
        <v>3.2608099292808879</v>
      </c>
      <c r="I67" s="1177">
        <f>Recreational!C66</f>
        <v>3.8345323870782666</v>
      </c>
      <c r="J67" s="1177">
        <f>Tribal!C66</f>
        <v>0</v>
      </c>
      <c r="K67" s="28"/>
      <c r="L67" s="1177">
        <f>Rebuilding!B66</f>
        <v>0</v>
      </c>
      <c r="M67" s="1177">
        <f>'Stock Status'!C66</f>
        <v>3</v>
      </c>
      <c r="N67" s="1177">
        <f>'Fishing mortality'!C66</f>
        <v>7</v>
      </c>
      <c r="O67" s="28"/>
      <c r="P67" s="28"/>
      <c r="Q67" s="781"/>
      <c r="R67" s="157"/>
      <c r="S67" s="28">
        <f t="shared" si="39"/>
        <v>0.68477008514898641</v>
      </c>
      <c r="T67" s="28">
        <f t="shared" si="40"/>
        <v>0.34510791483704401</v>
      </c>
      <c r="U67" s="28">
        <f t="shared" si="41"/>
        <v>0</v>
      </c>
      <c r="V67" s="28">
        <f t="shared" si="42"/>
        <v>0</v>
      </c>
      <c r="W67" s="28">
        <f t="shared" si="43"/>
        <v>0</v>
      </c>
      <c r="X67" s="28">
        <f t="shared" si="44"/>
        <v>0.24</v>
      </c>
      <c r="Y67" s="28">
        <f t="shared" si="45"/>
        <v>0.56000000000000005</v>
      </c>
      <c r="Z67" s="412">
        <f t="shared" si="46"/>
        <v>0</v>
      </c>
      <c r="AA67" s="28">
        <f t="shared" si="47"/>
        <v>0</v>
      </c>
      <c r="AB67" s="329">
        <f t="shared" si="48"/>
        <v>0</v>
      </c>
      <c r="AC67" s="105">
        <f t="shared" si="51"/>
        <v>22</v>
      </c>
      <c r="AD67" s="104">
        <f t="shared" si="49"/>
        <v>1.8298779999860304</v>
      </c>
      <c r="AE67" s="189"/>
      <c r="AF67" s="189"/>
      <c r="AG67" s="189"/>
      <c r="AH67" s="189"/>
    </row>
    <row r="68" spans="1:34" ht="18" thickBot="1" x14ac:dyDescent="0.4">
      <c r="A68" s="724" t="s">
        <v>335</v>
      </c>
      <c r="B68" s="597">
        <f t="shared" si="50"/>
        <v>6</v>
      </c>
      <c r="C68" s="594">
        <f t="shared" si="38"/>
        <v>2.7906976742147869</v>
      </c>
      <c r="D68" s="907"/>
      <c r="E68" s="522">
        <v>2021</v>
      </c>
      <c r="F68" s="533" t="s">
        <v>260</v>
      </c>
      <c r="G68" s="528"/>
      <c r="H68" s="1175">
        <f>Commercial!C67</f>
        <v>4.7364795923450131</v>
      </c>
      <c r="I68" s="1177">
        <f>Recreational!C67</f>
        <v>8.400410664692604</v>
      </c>
      <c r="J68" s="1177">
        <f>Tribal!C67</f>
        <v>0</v>
      </c>
      <c r="K68" s="28"/>
      <c r="L68" s="1177">
        <f>Rebuilding!B67</f>
        <v>0</v>
      </c>
      <c r="M68" s="1177">
        <f>'Stock Status'!C67</f>
        <v>3</v>
      </c>
      <c r="N68" s="1177">
        <f>'Fishing mortality'!C67</f>
        <v>10</v>
      </c>
      <c r="O68" s="28"/>
      <c r="P68" s="28"/>
      <c r="Q68" s="1359"/>
      <c r="R68" s="157"/>
      <c r="S68" s="28">
        <f t="shared" si="39"/>
        <v>0.99466071439245274</v>
      </c>
      <c r="T68" s="28">
        <f t="shared" si="40"/>
        <v>0.75603695982233432</v>
      </c>
      <c r="U68" s="28">
        <f t="shared" si="41"/>
        <v>0</v>
      </c>
      <c r="V68" s="28">
        <f t="shared" si="42"/>
        <v>0</v>
      </c>
      <c r="W68" s="28">
        <f t="shared" si="43"/>
        <v>0</v>
      </c>
      <c r="X68" s="28">
        <f t="shared" si="44"/>
        <v>0.24</v>
      </c>
      <c r="Y68" s="28">
        <f t="shared" si="45"/>
        <v>0.8</v>
      </c>
      <c r="Z68" s="412">
        <f t="shared" si="46"/>
        <v>0</v>
      </c>
      <c r="AA68" s="28">
        <f t="shared" si="47"/>
        <v>0</v>
      </c>
      <c r="AB68" s="329">
        <f t="shared" si="48"/>
        <v>0</v>
      </c>
      <c r="AC68" s="105">
        <f t="shared" si="51"/>
        <v>6</v>
      </c>
      <c r="AD68" s="104">
        <f t="shared" si="49"/>
        <v>2.7906976742147869</v>
      </c>
      <c r="AE68" s="189"/>
      <c r="AF68" s="189"/>
      <c r="AG68" s="189"/>
      <c r="AH68" s="189"/>
    </row>
    <row r="69" spans="1:34" ht="18" thickBot="1" x14ac:dyDescent="0.4">
      <c r="A69" s="725" t="s">
        <v>111</v>
      </c>
      <c r="B69" s="597">
        <f t="shared" si="50"/>
        <v>7</v>
      </c>
      <c r="C69" s="594">
        <f t="shared" si="38"/>
        <v>2.7829407517426072</v>
      </c>
      <c r="D69" s="907" t="s">
        <v>365</v>
      </c>
      <c r="E69" s="522">
        <v>2019</v>
      </c>
      <c r="F69" s="535" t="s">
        <v>261</v>
      </c>
      <c r="G69" s="528"/>
      <c r="H69" s="1175">
        <f>Commercial!C68</f>
        <v>7.2756927704275833</v>
      </c>
      <c r="I69" s="1177">
        <f>Recreational!C68</f>
        <v>4.3790794009400651</v>
      </c>
      <c r="J69" s="1177">
        <f>Tribal!C68</f>
        <v>4.4185624773641772</v>
      </c>
      <c r="K69" s="28"/>
      <c r="L69" s="1177">
        <f>Rebuilding!B68</f>
        <v>0</v>
      </c>
      <c r="M69" s="1177">
        <f>'Stock Status'!C68</f>
        <v>1</v>
      </c>
      <c r="N69" s="1177">
        <f>'Fishing mortality'!C68</f>
        <v>7</v>
      </c>
      <c r="O69" s="28"/>
      <c r="P69" s="870"/>
      <c r="Q69" s="780"/>
      <c r="R69" s="157"/>
      <c r="S69" s="28">
        <f t="shared" si="39"/>
        <v>1.5278954817897925</v>
      </c>
      <c r="T69" s="28">
        <f t="shared" si="40"/>
        <v>0.39411714608460585</v>
      </c>
      <c r="U69" s="28">
        <f t="shared" si="41"/>
        <v>0.22092812386820887</v>
      </c>
      <c r="V69" s="28">
        <f t="shared" si="42"/>
        <v>0</v>
      </c>
      <c r="W69" s="28">
        <f t="shared" si="43"/>
        <v>0</v>
      </c>
      <c r="X69" s="28">
        <f t="shared" si="44"/>
        <v>0.08</v>
      </c>
      <c r="Y69" s="28">
        <f t="shared" si="45"/>
        <v>0.56000000000000005</v>
      </c>
      <c r="Z69" s="412">
        <f t="shared" si="46"/>
        <v>0</v>
      </c>
      <c r="AA69" s="28">
        <f t="shared" si="47"/>
        <v>0</v>
      </c>
      <c r="AB69" s="329">
        <f t="shared" si="48"/>
        <v>0</v>
      </c>
      <c r="AC69" s="105">
        <f t="shared" si="51"/>
        <v>7</v>
      </c>
      <c r="AD69" s="104">
        <f t="shared" si="49"/>
        <v>2.7829407517426072</v>
      </c>
      <c r="AE69" s="189"/>
      <c r="AF69" s="189"/>
      <c r="AG69" s="189"/>
      <c r="AH69" s="189"/>
    </row>
    <row r="70" spans="1:34" ht="18" thickBot="1" x14ac:dyDescent="0.4">
      <c r="A70" s="725" t="s">
        <v>179</v>
      </c>
      <c r="B70" s="597">
        <f t="shared" si="50"/>
        <v>17</v>
      </c>
      <c r="C70" s="594">
        <f t="shared" si="38"/>
        <v>1.984436738391435</v>
      </c>
      <c r="D70" s="907" t="s">
        <v>259</v>
      </c>
      <c r="E70" s="522">
        <v>2017</v>
      </c>
      <c r="F70" s="533" t="s">
        <v>260</v>
      </c>
      <c r="G70" s="528"/>
      <c r="H70" s="1175">
        <f>Commercial!C69</f>
        <v>1.3880332622862877</v>
      </c>
      <c r="I70" s="1177">
        <f>Recreational!C69</f>
        <v>2.9228134789117233</v>
      </c>
      <c r="J70" s="1177">
        <f>Tribal!C69</f>
        <v>3.7979308041851887</v>
      </c>
      <c r="K70" s="28"/>
      <c r="L70" s="1177">
        <f>Rebuilding!B69</f>
        <v>6</v>
      </c>
      <c r="M70" s="1177">
        <f>'Stock Status'!C69</f>
        <v>5</v>
      </c>
      <c r="N70" s="1177">
        <f>'Fishing mortality'!C69</f>
        <v>3</v>
      </c>
      <c r="O70" s="28"/>
      <c r="P70" s="870"/>
      <c r="Q70" s="780"/>
      <c r="R70" s="157"/>
      <c r="S70" s="28">
        <f t="shared" si="39"/>
        <v>0.29148698508012039</v>
      </c>
      <c r="T70" s="28">
        <f t="shared" si="40"/>
        <v>0.26305321310205509</v>
      </c>
      <c r="U70" s="28">
        <f t="shared" si="41"/>
        <v>0.18989654020925945</v>
      </c>
      <c r="V70" s="28">
        <f t="shared" si="42"/>
        <v>0</v>
      </c>
      <c r="W70" s="28">
        <f t="shared" si="43"/>
        <v>0.60000000000000009</v>
      </c>
      <c r="X70" s="28">
        <f t="shared" si="44"/>
        <v>0.4</v>
      </c>
      <c r="Y70" s="28">
        <f t="shared" si="45"/>
        <v>0.24</v>
      </c>
      <c r="Z70" s="412">
        <f t="shared" si="46"/>
        <v>0</v>
      </c>
      <c r="AA70" s="28">
        <f t="shared" si="47"/>
        <v>0</v>
      </c>
      <c r="AB70" s="329">
        <f t="shared" si="48"/>
        <v>0</v>
      </c>
      <c r="AC70" s="105">
        <f t="shared" si="51"/>
        <v>17</v>
      </c>
      <c r="AD70" s="104">
        <f t="shared" si="49"/>
        <v>1.984436738391435</v>
      </c>
      <c r="AE70" s="189"/>
      <c r="AF70" s="189"/>
      <c r="AG70" s="189"/>
      <c r="AH70" s="189"/>
    </row>
    <row r="71" spans="1:34" ht="18" thickBot="1" x14ac:dyDescent="0.4">
      <c r="A71" s="725" t="s">
        <v>459</v>
      </c>
      <c r="B71" s="597">
        <f t="shared" ref="B71" si="100">RANK(C71,C$9:C$72)</f>
        <v>57</v>
      </c>
      <c r="C71" s="594">
        <f t="shared" ref="C71" si="101">SUM(S71:AB71)</f>
        <v>1.018474871150993</v>
      </c>
      <c r="D71" s="907"/>
      <c r="E71" s="1185"/>
      <c r="F71" s="534" t="s">
        <v>271</v>
      </c>
      <c r="G71" s="528"/>
      <c r="H71" s="1175">
        <f>Commercial!C70</f>
        <v>2.3800455715743873</v>
      </c>
      <c r="I71" s="1177">
        <f>Recreational!C70</f>
        <v>0</v>
      </c>
      <c r="J71" s="1177">
        <f>Tribal!C70</f>
        <v>0.77330602240743562</v>
      </c>
      <c r="K71" s="28"/>
      <c r="L71" s="1177">
        <f>Rebuilding!B70</f>
        <v>0</v>
      </c>
      <c r="M71" s="1177">
        <f>'Stock Status'!C70</f>
        <v>4</v>
      </c>
      <c r="N71" s="1177">
        <f>'Fishing mortality'!C70</f>
        <v>2</v>
      </c>
      <c r="O71" s="28"/>
      <c r="P71" s="870"/>
      <c r="Q71" s="781"/>
      <c r="R71" s="157"/>
      <c r="S71" s="28">
        <f t="shared" ref="S71" si="102">H71*H$7</f>
        <v>0.49980957003062132</v>
      </c>
      <c r="T71" s="28">
        <f t="shared" ref="T71" si="103">I71*I$7</f>
        <v>0</v>
      </c>
      <c r="U71" s="28">
        <f t="shared" ref="U71" si="104">J71*J$7</f>
        <v>3.8665301120371781E-2</v>
      </c>
      <c r="V71" s="28">
        <f t="shared" ref="V71" si="105">K71*K$7</f>
        <v>0</v>
      </c>
      <c r="W71" s="28">
        <f t="shared" ref="W71" si="106">L71*L$7</f>
        <v>0</v>
      </c>
      <c r="X71" s="28">
        <f t="shared" ref="X71" si="107">M71*M$7</f>
        <v>0.32</v>
      </c>
      <c r="Y71" s="28">
        <f t="shared" ref="Y71" si="108">N71*N$7</f>
        <v>0.16</v>
      </c>
      <c r="Z71" s="412">
        <f t="shared" ref="Z71" si="109">O71*O$7</f>
        <v>0</v>
      </c>
      <c r="AA71" s="28">
        <f t="shared" ref="AA71" si="110">P71*P$7</f>
        <v>0</v>
      </c>
      <c r="AB71" s="329">
        <f t="shared" ref="AB71" si="111">Q71*Q$7</f>
        <v>0</v>
      </c>
      <c r="AC71" s="105">
        <f t="shared" si="51"/>
        <v>57</v>
      </c>
      <c r="AD71" s="104">
        <f t="shared" si="49"/>
        <v>1.018474871150993</v>
      </c>
      <c r="AE71" s="189"/>
      <c r="AF71" s="189"/>
      <c r="AG71" s="189"/>
      <c r="AH71" s="189"/>
    </row>
    <row r="72" spans="1:34" ht="18" thickBot="1" x14ac:dyDescent="0.4">
      <c r="A72" s="725" t="s">
        <v>180</v>
      </c>
      <c r="B72" s="597">
        <f t="shared" si="50"/>
        <v>8</v>
      </c>
      <c r="C72" s="594">
        <f t="shared" si="38"/>
        <v>2.6770311093911623</v>
      </c>
      <c r="D72" s="907" t="s">
        <v>365</v>
      </c>
      <c r="E72" s="522">
        <v>2017</v>
      </c>
      <c r="F72" s="533" t="s">
        <v>260</v>
      </c>
      <c r="G72" s="528"/>
      <c r="H72" s="1175">
        <f>Commercial!C71</f>
        <v>6.2650212340112255</v>
      </c>
      <c r="I72" s="1353">
        <f>Recreational!C71</f>
        <v>6.6925867798470557</v>
      </c>
      <c r="J72" s="1177">
        <f>Tribal!C71</f>
        <v>7.1808768012513919</v>
      </c>
      <c r="K72" s="28"/>
      <c r="L72" s="1353">
        <f>Rebuilding!B71</f>
        <v>0</v>
      </c>
      <c r="M72" s="1177">
        <f>'Stock Status'!C71</f>
        <v>2</v>
      </c>
      <c r="N72" s="1353">
        <f>'Fishing mortality'!C71</f>
        <v>3</v>
      </c>
      <c r="O72" s="28"/>
      <c r="P72" s="870"/>
      <c r="Q72" s="780"/>
      <c r="R72" s="157"/>
      <c r="S72" s="28">
        <f t="shared" si="39"/>
        <v>1.3156544591423573</v>
      </c>
      <c r="T72" s="28">
        <f t="shared" si="40"/>
        <v>0.60233281018623497</v>
      </c>
      <c r="U72" s="28">
        <f t="shared" si="41"/>
        <v>0.35904384006256962</v>
      </c>
      <c r="V72" s="28">
        <f t="shared" si="42"/>
        <v>0</v>
      </c>
      <c r="W72" s="28">
        <f t="shared" si="43"/>
        <v>0</v>
      </c>
      <c r="X72" s="28">
        <f t="shared" si="44"/>
        <v>0.16</v>
      </c>
      <c r="Y72" s="28">
        <f t="shared" si="45"/>
        <v>0.24</v>
      </c>
      <c r="Z72" s="412">
        <f t="shared" si="46"/>
        <v>0</v>
      </c>
      <c r="AA72" s="28">
        <f t="shared" si="47"/>
        <v>0</v>
      </c>
      <c r="AB72" s="329">
        <f t="shared" si="48"/>
        <v>0</v>
      </c>
      <c r="AC72" s="105">
        <f t="shared" si="51"/>
        <v>8</v>
      </c>
      <c r="AD72" s="104">
        <f t="shared" si="49"/>
        <v>2.6770311093911623</v>
      </c>
      <c r="AE72" s="189"/>
      <c r="AF72" s="189"/>
      <c r="AG72" s="189"/>
      <c r="AH72" s="189"/>
    </row>
    <row r="73" spans="1:34" x14ac:dyDescent="0.3">
      <c r="A73" s="475"/>
      <c r="B73" s="149"/>
      <c r="C73" s="474"/>
      <c r="E73" s="149"/>
      <c r="F73" s="149"/>
      <c r="H73" s="189"/>
      <c r="I73" s="1352"/>
      <c r="J73" s="481"/>
      <c r="K73" s="149"/>
      <c r="L73" s="1352"/>
      <c r="M73" s="1352"/>
      <c r="N73" s="1352"/>
      <c r="O73" s="482"/>
      <c r="P73" s="149"/>
      <c r="Q73" s="877" t="s">
        <v>59</v>
      </c>
      <c r="R73" s="878"/>
      <c r="S73" s="878"/>
      <c r="T73" s="878"/>
      <c r="U73" s="189"/>
      <c r="V73" s="189"/>
      <c r="W73" s="189"/>
      <c r="X73" s="189"/>
      <c r="Y73" s="189"/>
      <c r="AA73" s="189"/>
      <c r="AB73" s="189"/>
      <c r="AC73" s="149"/>
      <c r="AD73" s="474"/>
      <c r="AE73" s="189"/>
      <c r="AF73" s="189"/>
      <c r="AG73" s="189"/>
      <c r="AH73" s="189"/>
    </row>
    <row r="74" spans="1:34" x14ac:dyDescent="0.3">
      <c r="A74" s="189"/>
      <c r="B74" s="189"/>
      <c r="C74" s="189"/>
      <c r="D74" s="189"/>
      <c r="E74" s="189"/>
      <c r="F74" s="189"/>
      <c r="G74" s="189"/>
      <c r="H74" s="606"/>
      <c r="I74" s="607"/>
      <c r="J74" s="149"/>
      <c r="K74" s="149"/>
      <c r="L74" s="189"/>
      <c r="M74" s="478"/>
      <c r="N74" s="189"/>
      <c r="O74" s="479"/>
      <c r="P74" s="149"/>
      <c r="Q74" s="14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189"/>
      <c r="AH74" s="189"/>
    </row>
    <row r="75" spans="1:34" x14ac:dyDescent="0.3">
      <c r="A75" s="189"/>
      <c r="B75" s="189"/>
      <c r="C75" s="189"/>
      <c r="D75" s="189"/>
      <c r="E75" s="189"/>
      <c r="F75" s="189"/>
      <c r="G75" s="189"/>
      <c r="H75" s="606"/>
      <c r="I75" s="607"/>
      <c r="J75" s="149"/>
      <c r="K75" s="149"/>
      <c r="L75" s="189"/>
      <c r="M75" s="478"/>
      <c r="N75" s="189"/>
      <c r="O75" s="479"/>
      <c r="P75" s="149"/>
      <c r="Q75" s="14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</row>
    <row r="76" spans="1:34" x14ac:dyDescent="0.3">
      <c r="A76" s="189"/>
      <c r="B76" s="189"/>
      <c r="C76" s="189"/>
      <c r="D76" s="189"/>
      <c r="E76" s="189"/>
      <c r="F76" s="189"/>
      <c r="G76" s="189"/>
      <c r="H76" s="606"/>
      <c r="I76" s="607"/>
      <c r="J76" s="149"/>
      <c r="K76" s="149"/>
      <c r="L76" s="189"/>
      <c r="M76" s="478"/>
      <c r="N76" s="189"/>
      <c r="O76" s="479"/>
      <c r="P76" s="149"/>
      <c r="Q76" s="14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</row>
    <row r="77" spans="1:34" x14ac:dyDescent="0.3">
      <c r="A77" s="189"/>
      <c r="B77" s="189"/>
      <c r="C77" s="189"/>
      <c r="D77" s="189"/>
      <c r="E77" s="189"/>
      <c r="F77" s="189"/>
      <c r="G77" s="189"/>
      <c r="H77" s="606"/>
      <c r="I77" s="607"/>
      <c r="J77" s="149"/>
      <c r="K77" s="149"/>
      <c r="L77" s="189"/>
      <c r="M77" s="478"/>
      <c r="N77" s="189"/>
      <c r="O77" s="479"/>
      <c r="P77" s="149"/>
      <c r="Q77" s="14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</row>
    <row r="78" spans="1:34" x14ac:dyDescent="0.3">
      <c r="A78" s="189"/>
      <c r="B78" s="189"/>
      <c r="C78" s="189"/>
      <c r="D78" s="189"/>
      <c r="E78" s="189"/>
      <c r="F78" s="189"/>
      <c r="G78" s="189"/>
      <c r="H78" s="606"/>
      <c r="I78" s="607"/>
      <c r="J78" s="149"/>
      <c r="K78" s="149"/>
      <c r="L78" s="189"/>
      <c r="M78" s="478"/>
      <c r="N78" s="189"/>
      <c r="O78" s="479"/>
      <c r="P78" s="149"/>
      <c r="Q78" s="14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</row>
    <row r="79" spans="1:34" x14ac:dyDescent="0.3">
      <c r="A79" s="475"/>
      <c r="B79" s="149"/>
      <c r="C79" s="474"/>
      <c r="E79" s="149"/>
      <c r="F79" s="149"/>
      <c r="H79" s="189"/>
      <c r="I79" s="477"/>
      <c r="J79" s="149"/>
      <c r="K79" s="149"/>
      <c r="L79" s="189"/>
      <c r="M79" s="478"/>
      <c r="N79" s="189"/>
      <c r="O79" s="479"/>
      <c r="P79" s="149"/>
      <c r="Q79" s="149"/>
      <c r="R79" s="189"/>
      <c r="S79" s="189"/>
      <c r="T79" s="189"/>
      <c r="U79" s="189"/>
      <c r="V79" s="189"/>
      <c r="W79" s="189"/>
      <c r="X79" s="189"/>
      <c r="Y79" s="189"/>
      <c r="AA79" s="189"/>
      <c r="AB79" s="189"/>
      <c r="AC79" s="149"/>
      <c r="AD79" s="474"/>
      <c r="AE79" s="189"/>
      <c r="AF79" s="189"/>
      <c r="AG79" s="189"/>
      <c r="AH79" s="189"/>
    </row>
    <row r="80" spans="1:34" x14ac:dyDescent="0.3">
      <c r="A80" s="475"/>
      <c r="B80" s="149"/>
      <c r="C80" s="474"/>
      <c r="E80" s="149"/>
      <c r="F80" s="149"/>
      <c r="H80" s="189"/>
      <c r="I80" s="477"/>
      <c r="J80" s="149"/>
      <c r="K80" s="149"/>
      <c r="L80" s="189"/>
      <c r="M80" s="478"/>
      <c r="N80" s="189"/>
      <c r="O80" s="479"/>
      <c r="P80" s="149"/>
      <c r="Q80" s="149"/>
      <c r="R80" s="189"/>
      <c r="S80" s="189"/>
      <c r="T80" s="189"/>
      <c r="U80" s="189"/>
      <c r="V80" s="189"/>
      <c r="W80" s="189"/>
      <c r="X80" s="189"/>
      <c r="Y80" s="189"/>
      <c r="AA80" s="189"/>
      <c r="AB80" s="189"/>
      <c r="AC80" s="149"/>
      <c r="AD80" s="474"/>
      <c r="AE80" s="189"/>
      <c r="AF80" s="189"/>
      <c r="AG80" s="189"/>
      <c r="AH80" s="189"/>
    </row>
  </sheetData>
  <sortState ref="A9:AI65">
    <sortCondition ref="B9:B65"/>
  </sortState>
  <conditionalFormatting sqref="AC9:AC72 B9:B72">
    <cfRule type="cellIs" dxfId="19" priority="105" stopIfTrue="1" operator="lessThanOrEqual">
      <formula>19</formula>
    </cfRule>
    <cfRule type="cellIs" dxfId="18" priority="106" stopIfTrue="1" operator="lessThanOrEqual">
      <formula>39</formula>
    </cfRule>
    <cfRule type="cellIs" dxfId="17" priority="107" operator="greaterThan">
      <formula>39</formula>
    </cfRule>
  </conditionalFormatting>
  <conditionalFormatting sqref="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72">
    <cfRule type="colorScale" priority="15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72">
    <cfRule type="cellIs" dxfId="16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72">
    <cfRule type="cellIs" dxfId="15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72">
    <cfRule type="cellIs" dxfId="14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72">
    <cfRule type="cellIs" dxfId="13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72">
    <cfRule type="cellIs" dxfId="12" priority="1851" operator="equal">
      <formula>0</formula>
    </cfRule>
    <cfRule type="colorScale" priority="185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72">
    <cfRule type="cellIs" dxfId="11" priority="1853" operator="equal">
      <formula>0</formula>
    </cfRule>
    <cfRule type="colorScale" priority="18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72">
    <cfRule type="cellIs" dxfId="10" priority="1855" operator="equal">
      <formula>0</formula>
    </cfRule>
    <cfRule type="colorScale" priority="185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72">
    <cfRule type="cellIs" dxfId="9" priority="1857" operator="equal">
      <formula>0</formula>
    </cfRule>
    <cfRule type="colorScale" priority="18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72">
    <cfRule type="cellIs" dxfId="8" priority="1859" operator="equal">
      <formula>0</formula>
    </cfRule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72">
    <cfRule type="cellIs" dxfId="7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41 E72 E61:E70 E43:E59">
    <cfRule type="colorScale" priority="186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P9:P72">
    <cfRule type="colorScale" priority="187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72">
    <cfRule type="cellIs" dxfId="6" priority="1873" operator="equal">
      <formula>0</formula>
    </cfRule>
    <cfRule type="colorScale" priority="187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72">
    <cfRule type="colorScale" priority="187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72">
    <cfRule type="colorScale" priority="187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7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41 E72 E61:E70 E43:E59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72">
    <cfRule type="colorScale" priority="1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60">
    <cfRule type="colorScale" priority="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0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42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G71"/>
  <sheetViews>
    <sheetView zoomScaleNormal="100" workbookViewId="0">
      <pane ySplit="6" topLeftCell="A28" activePane="bottomLeft" state="frozen"/>
      <selection activeCell="A22" sqref="A22"/>
      <selection pane="bottomLeft" activeCell="B36" sqref="B36"/>
    </sheetView>
  </sheetViews>
  <sheetFormatPr defaultColWidth="8.88671875" defaultRowHeight="18" x14ac:dyDescent="0.35"/>
  <cols>
    <col min="1" max="1" width="36.77734375" style="31" customWidth="1"/>
    <col min="2" max="3" width="10.33203125" style="4" customWidth="1"/>
    <col min="4" max="4" width="13" style="29" bestFit="1" customWidth="1"/>
    <col min="5" max="5" width="23.5546875" style="1" customWidth="1"/>
    <col min="6" max="6" width="12.109375" style="1" customWidth="1"/>
    <col min="7" max="7" width="11.44140625" style="1" bestFit="1" customWidth="1"/>
    <col min="8" max="16384" width="8.88671875" style="1"/>
  </cols>
  <sheetData>
    <row r="1" spans="1:7" ht="21" x14ac:dyDescent="0.4">
      <c r="A1" s="108" t="s">
        <v>263</v>
      </c>
      <c r="B1" s="34"/>
      <c r="C1" s="34"/>
      <c r="E1" s="31"/>
      <c r="F1" s="31"/>
    </row>
    <row r="2" spans="1:7" ht="21" x14ac:dyDescent="0.4">
      <c r="A2" s="108"/>
      <c r="B2" s="34"/>
      <c r="C2" s="34"/>
      <c r="E2" s="31"/>
      <c r="F2" s="31"/>
    </row>
    <row r="3" spans="1:7" x14ac:dyDescent="0.35">
      <c r="A3" s="67"/>
      <c r="B3" s="1133"/>
      <c r="C3" s="209"/>
      <c r="D3" s="312" t="s">
        <v>222</v>
      </c>
      <c r="E3" s="1129" t="s">
        <v>405</v>
      </c>
      <c r="F3" s="206" t="s">
        <v>61</v>
      </c>
    </row>
    <row r="4" spans="1:7" x14ac:dyDescent="0.35">
      <c r="A4" s="70"/>
      <c r="B4" s="1133"/>
      <c r="C4" s="210"/>
      <c r="D4" s="309">
        <v>0.18</v>
      </c>
      <c r="E4" s="1129" t="s">
        <v>331</v>
      </c>
      <c r="F4" s="31"/>
    </row>
    <row r="5" spans="1:7" x14ac:dyDescent="0.35">
      <c r="A5" s="92"/>
      <c r="B5" s="1133"/>
      <c r="C5" s="210" t="s">
        <v>1</v>
      </c>
      <c r="D5" s="310" t="s">
        <v>60</v>
      </c>
      <c r="E5" s="507" t="s">
        <v>330</v>
      </c>
      <c r="F5" s="31"/>
    </row>
    <row r="6" spans="1:7" ht="18.600000000000001" thickBot="1" x14ac:dyDescent="0.4">
      <c r="A6" s="92" t="s">
        <v>4</v>
      </c>
      <c r="B6" s="1134" t="s">
        <v>3</v>
      </c>
      <c r="C6" s="211" t="s">
        <v>2</v>
      </c>
      <c r="D6" s="311">
        <f>MAX(D7:D71)</f>
        <v>8.1617920555432377</v>
      </c>
      <c r="E6" s="36" t="s">
        <v>329</v>
      </c>
      <c r="F6" s="31"/>
    </row>
    <row r="7" spans="1:7" ht="18.600000000000001" thickBot="1" x14ac:dyDescent="0.4">
      <c r="A7" s="158" t="s">
        <v>10</v>
      </c>
      <c r="B7" s="40">
        <f>RANK(E7,E$7:E$71,0)</f>
        <v>25</v>
      </c>
      <c r="C7" s="212">
        <f t="shared" ref="C7:C27" si="0">D7*10/D$6</f>
        <v>4.0212272981087569</v>
      </c>
      <c r="D7" s="39">
        <f>E7^D$4</f>
        <v>3.2820421015237646</v>
      </c>
      <c r="E7" s="1130">
        <v>737</v>
      </c>
      <c r="F7"/>
      <c r="G7" s="658"/>
    </row>
    <row r="8" spans="1:7" ht="18.600000000000001" thickBot="1" x14ac:dyDescent="0.4">
      <c r="A8" s="208" t="s">
        <v>174</v>
      </c>
      <c r="B8" s="40">
        <f t="shared" ref="B8:B22" si="1">RANK(E8,E$7:E$71,0)</f>
        <v>41</v>
      </c>
      <c r="C8" s="212">
        <f t="shared" si="0"/>
        <v>2.8315781219829477</v>
      </c>
      <c r="D8" s="39">
        <f t="shared" ref="D8:D71" si="2">E8^D$4</f>
        <v>2.3110751820650464</v>
      </c>
      <c r="E8" s="1131">
        <v>105</v>
      </c>
      <c r="F8"/>
      <c r="G8" s="658"/>
    </row>
    <row r="9" spans="1:7" ht="18.600000000000001" thickBot="1" x14ac:dyDescent="0.4">
      <c r="A9" s="208" t="s">
        <v>115</v>
      </c>
      <c r="B9" s="40">
        <f t="shared" si="1"/>
        <v>33</v>
      </c>
      <c r="C9" s="212">
        <f t="shared" si="0"/>
        <v>3.3450200987511782</v>
      </c>
      <c r="D9" s="39">
        <f t="shared" si="2"/>
        <v>2.7301358467619825</v>
      </c>
      <c r="E9" s="1131">
        <v>265</v>
      </c>
      <c r="F9"/>
      <c r="G9" s="658"/>
    </row>
    <row r="10" spans="1:7" ht="18.600000000000001" thickBot="1" x14ac:dyDescent="0.4">
      <c r="A10" s="208" t="s">
        <v>116</v>
      </c>
      <c r="B10" s="40">
        <f t="shared" si="1"/>
        <v>23</v>
      </c>
      <c r="C10" s="212">
        <f t="shared" si="0"/>
        <v>4.1117278675998499</v>
      </c>
      <c r="D10" s="39">
        <f t="shared" si="2"/>
        <v>3.3559067844332189</v>
      </c>
      <c r="E10" s="1131">
        <v>834</v>
      </c>
      <c r="F10"/>
      <c r="G10" s="658"/>
    </row>
    <row r="11" spans="1:7" ht="18.600000000000001" thickBot="1" x14ac:dyDescent="0.4">
      <c r="A11" s="90" t="s">
        <v>5</v>
      </c>
      <c r="B11" s="40">
        <f t="shared" si="1"/>
        <v>8</v>
      </c>
      <c r="C11" s="212">
        <f t="shared" si="0"/>
        <v>5.4587317502185577</v>
      </c>
      <c r="D11" s="39">
        <f t="shared" si="2"/>
        <v>4.4553033432275457</v>
      </c>
      <c r="E11" s="1131">
        <v>4026</v>
      </c>
      <c r="F11"/>
      <c r="G11" s="849"/>
    </row>
    <row r="12" spans="1:7" ht="18.600000000000001" thickBot="1" x14ac:dyDescent="0.4">
      <c r="A12" s="208" t="s">
        <v>175</v>
      </c>
      <c r="B12" s="40">
        <f t="shared" si="1"/>
        <v>26</v>
      </c>
      <c r="C12" s="212">
        <f t="shared" si="0"/>
        <v>3.946432950400161</v>
      </c>
      <c r="D12" s="39">
        <f t="shared" si="2"/>
        <v>3.220996510231009</v>
      </c>
      <c r="E12" s="1131">
        <v>664</v>
      </c>
      <c r="F12"/>
      <c r="G12" s="658"/>
    </row>
    <row r="13" spans="1:7" ht="18.600000000000001" thickBot="1" x14ac:dyDescent="0.4">
      <c r="A13" s="208" t="s">
        <v>292</v>
      </c>
      <c r="B13" s="40">
        <f t="shared" si="1"/>
        <v>30</v>
      </c>
      <c r="C13" s="212">
        <f t="shared" si="0"/>
        <v>3.751329954629671</v>
      </c>
      <c r="D13" s="39">
        <f t="shared" si="2"/>
        <v>3.0617575021417824</v>
      </c>
      <c r="E13" s="1131">
        <v>501</v>
      </c>
      <c r="F13"/>
      <c r="G13" s="658"/>
    </row>
    <row r="14" spans="1:7" ht="18.600000000000001" thickBot="1" x14ac:dyDescent="0.4">
      <c r="A14" s="90" t="s">
        <v>104</v>
      </c>
      <c r="B14" s="40">
        <f t="shared" si="1"/>
        <v>16</v>
      </c>
      <c r="C14" s="212">
        <f t="shared" si="0"/>
        <v>4.5868021627512965</v>
      </c>
      <c r="D14" s="39">
        <f t="shared" si="2"/>
        <v>3.7436525452292075</v>
      </c>
      <c r="E14" s="1131">
        <v>1531</v>
      </c>
      <c r="F14"/>
      <c r="G14" s="658"/>
    </row>
    <row r="15" spans="1:7" ht="18.600000000000001" thickBot="1" x14ac:dyDescent="0.4">
      <c r="A15" s="208" t="s">
        <v>117</v>
      </c>
      <c r="B15" s="40">
        <f t="shared" si="1"/>
        <v>18</v>
      </c>
      <c r="C15" s="212">
        <f t="shared" si="0"/>
        <v>4.4870772599962532</v>
      </c>
      <c r="D15" s="39">
        <f t="shared" si="2"/>
        <v>3.662259153324614</v>
      </c>
      <c r="E15" s="1131">
        <v>1355</v>
      </c>
      <c r="F15"/>
      <c r="G15" s="848"/>
    </row>
    <row r="16" spans="1:7" ht="18.600000000000001" thickBot="1" x14ac:dyDescent="0.4">
      <c r="A16" s="208" t="s">
        <v>9</v>
      </c>
      <c r="B16" s="40">
        <f t="shared" si="1"/>
        <v>11</v>
      </c>
      <c r="C16" s="212">
        <f t="shared" si="0"/>
        <v>5.0860353657661559</v>
      </c>
      <c r="D16" s="39">
        <f t="shared" si="2"/>
        <v>4.1511163042522154</v>
      </c>
      <c r="E16" s="1131">
        <v>2718</v>
      </c>
      <c r="F16"/>
      <c r="G16" s="848"/>
    </row>
    <row r="17" spans="1:7" ht="18.600000000000001" thickBot="1" x14ac:dyDescent="0.4">
      <c r="A17" s="90" t="s">
        <v>99</v>
      </c>
      <c r="B17" s="40">
        <f t="shared" si="1"/>
        <v>40</v>
      </c>
      <c r="C17" s="212">
        <f t="shared" si="0"/>
        <v>2.8553881813797837</v>
      </c>
      <c r="D17" s="39">
        <f t="shared" si="2"/>
        <v>2.330508457427757</v>
      </c>
      <c r="E17" s="1131">
        <v>110</v>
      </c>
      <c r="F17"/>
      <c r="G17" s="658"/>
    </row>
    <row r="18" spans="1:7" ht="18.600000000000001" thickBot="1" x14ac:dyDescent="0.4">
      <c r="A18" s="90" t="s">
        <v>14</v>
      </c>
      <c r="B18" s="40">
        <f t="shared" si="1"/>
        <v>17</v>
      </c>
      <c r="C18" s="212">
        <f t="shared" si="0"/>
        <v>4.5835613234585573</v>
      </c>
      <c r="D18" s="39">
        <f t="shared" si="2"/>
        <v>3.7410074395899304</v>
      </c>
      <c r="E18" s="1131">
        <v>1525</v>
      </c>
      <c r="F18"/>
      <c r="G18" s="658"/>
    </row>
    <row r="19" spans="1:7" ht="18.600000000000001" thickBot="1" x14ac:dyDescent="0.4">
      <c r="A19" s="90" t="s">
        <v>109</v>
      </c>
      <c r="B19" s="40">
        <f t="shared" si="1"/>
        <v>13</v>
      </c>
      <c r="C19" s="212">
        <f t="shared" si="0"/>
        <v>4.7807186184641459</v>
      </c>
      <c r="D19" s="39">
        <f t="shared" si="2"/>
        <v>3.9019231239968306</v>
      </c>
      <c r="E19" s="1131">
        <v>1927</v>
      </c>
      <c r="F19"/>
      <c r="G19" s="658"/>
    </row>
    <row r="20" spans="1:7" ht="18.600000000000001" thickBot="1" x14ac:dyDescent="0.4">
      <c r="A20" s="208" t="s">
        <v>112</v>
      </c>
      <c r="B20" s="40">
        <f t="shared" si="1"/>
        <v>31</v>
      </c>
      <c r="C20" s="212">
        <f t="shared" si="0"/>
        <v>3.702746152095171</v>
      </c>
      <c r="D20" s="39">
        <f t="shared" si="2"/>
        <v>3.0221044127863661</v>
      </c>
      <c r="E20" s="1131">
        <v>466</v>
      </c>
      <c r="F20"/>
      <c r="G20" s="658"/>
    </row>
    <row r="21" spans="1:7" ht="18.600000000000001" thickBot="1" x14ac:dyDescent="0.4">
      <c r="A21" s="208" t="s">
        <v>118</v>
      </c>
      <c r="B21" s="40">
        <f t="shared" si="1"/>
        <v>24</v>
      </c>
      <c r="C21" s="212">
        <f t="shared" si="0"/>
        <v>4.0910824110525459</v>
      </c>
      <c r="D21" s="39">
        <f t="shared" si="2"/>
        <v>3.3390563921101344</v>
      </c>
      <c r="E21" s="1131">
        <v>811</v>
      </c>
      <c r="F21"/>
      <c r="G21" s="658"/>
    </row>
    <row r="22" spans="1:7" ht="18.600000000000001" thickBot="1" x14ac:dyDescent="0.4">
      <c r="A22" s="90" t="s">
        <v>102</v>
      </c>
      <c r="B22" s="40">
        <f t="shared" si="1"/>
        <v>62</v>
      </c>
      <c r="C22" s="212">
        <f t="shared" si="0"/>
        <v>1.4931254574072874</v>
      </c>
      <c r="D22" s="39">
        <f t="shared" si="2"/>
        <v>1.2186579496196162</v>
      </c>
      <c r="E22" s="1131">
        <v>3</v>
      </c>
      <c r="F22"/>
      <c r="G22" s="658"/>
    </row>
    <row r="23" spans="1:7" ht="18.600000000000001" thickBot="1" x14ac:dyDescent="0.4">
      <c r="A23" s="90" t="s">
        <v>22</v>
      </c>
      <c r="B23" s="40">
        <f t="shared" ref="B23:B71" si="3">RANK(E23,E$7:E$71,0)</f>
        <v>59</v>
      </c>
      <c r="C23" s="212">
        <f t="shared" ref="C23:C71" si="4">D23*10/D$6</f>
        <v>1.8196092084488162</v>
      </c>
      <c r="D23" s="39">
        <f t="shared" si="2"/>
        <v>1.4851271981710867</v>
      </c>
      <c r="E23" s="1131">
        <v>9</v>
      </c>
      <c r="F23"/>
      <c r="G23" s="658"/>
    </row>
    <row r="24" spans="1:7" ht="18.600000000000001" thickBot="1" x14ac:dyDescent="0.4">
      <c r="A24" s="90" t="s">
        <v>13</v>
      </c>
      <c r="B24" s="40">
        <f t="shared" si="3"/>
        <v>20</v>
      </c>
      <c r="C24" s="212">
        <f t="shared" si="4"/>
        <v>4.1923477804301443</v>
      </c>
      <c r="D24" s="39">
        <f t="shared" si="2"/>
        <v>3.4217070808389081</v>
      </c>
      <c r="E24" s="1131">
        <v>929</v>
      </c>
      <c r="F24"/>
      <c r="G24" s="658"/>
    </row>
    <row r="25" spans="1:7" ht="18.600000000000001" thickBot="1" x14ac:dyDescent="0.4">
      <c r="A25" s="90" t="s">
        <v>6</v>
      </c>
      <c r="B25" s="40">
        <f t="shared" si="3"/>
        <v>3</v>
      </c>
      <c r="C25" s="212">
        <f t="shared" si="4"/>
        <v>7.8708016664396272</v>
      </c>
      <c r="D25" s="39">
        <f t="shared" si="2"/>
        <v>6.4239846511903425</v>
      </c>
      <c r="E25" s="1131">
        <v>30747</v>
      </c>
      <c r="F25"/>
      <c r="G25" s="848"/>
    </row>
    <row r="26" spans="1:7" ht="18.600000000000001" thickBot="1" x14ac:dyDescent="0.4">
      <c r="A26" s="90" t="s">
        <v>16</v>
      </c>
      <c r="B26" s="40">
        <f t="shared" si="3"/>
        <v>27</v>
      </c>
      <c r="C26" s="212">
        <f t="shared" si="4"/>
        <v>3.9367506537991726</v>
      </c>
      <c r="D26" s="39">
        <f t="shared" si="2"/>
        <v>3.2130940210832732</v>
      </c>
      <c r="E26" s="1131">
        <v>655</v>
      </c>
      <c r="F26"/>
      <c r="G26" s="658"/>
    </row>
    <row r="27" spans="1:7" ht="18.600000000000001" thickBot="1" x14ac:dyDescent="0.4">
      <c r="A27" s="208" t="s">
        <v>119</v>
      </c>
      <c r="B27" s="40">
        <f t="shared" si="3"/>
        <v>61</v>
      </c>
      <c r="C27" s="212">
        <f t="shared" si="4"/>
        <v>1.691537769421634</v>
      </c>
      <c r="D27" s="39">
        <f t="shared" si="2"/>
        <v>1.3805979528116823</v>
      </c>
      <c r="E27" s="1131">
        <v>6</v>
      </c>
      <c r="F27"/>
      <c r="G27" s="658"/>
    </row>
    <row r="28" spans="1:7" ht="18.600000000000001" thickBot="1" x14ac:dyDescent="0.4">
      <c r="A28" s="208" t="s">
        <v>23</v>
      </c>
      <c r="B28" s="40">
        <f t="shared" si="3"/>
        <v>54</v>
      </c>
      <c r="C28" s="212">
        <f t="shared" si="4"/>
        <v>2.3692238919922302</v>
      </c>
      <c r="D28" s="39">
        <f t="shared" si="2"/>
        <v>1.9337112739465414</v>
      </c>
      <c r="E28" s="1131">
        <v>39</v>
      </c>
      <c r="F28"/>
      <c r="G28" s="658"/>
    </row>
    <row r="29" spans="1:7" ht="18.600000000000001" thickBot="1" x14ac:dyDescent="0.4">
      <c r="A29" s="208" t="s">
        <v>425</v>
      </c>
      <c r="B29" s="40">
        <f t="shared" si="3"/>
        <v>9</v>
      </c>
      <c r="C29" s="212">
        <f t="shared" si="4"/>
        <v>5.2090722667887102</v>
      </c>
      <c r="D29" s="39">
        <f t="shared" si="2"/>
        <v>4.2515364643826699</v>
      </c>
      <c r="E29" s="1131">
        <v>3104</v>
      </c>
      <c r="F29"/>
      <c r="G29" s="849"/>
    </row>
    <row r="30" spans="1:7" ht="18.600000000000001" thickBot="1" x14ac:dyDescent="0.4">
      <c r="A30" s="208" t="s">
        <v>120</v>
      </c>
      <c r="B30" s="40">
        <f t="shared" si="3"/>
        <v>19</v>
      </c>
      <c r="C30" s="212">
        <f t="shared" si="4"/>
        <v>4.3309543275807032</v>
      </c>
      <c r="D30" s="39">
        <f t="shared" si="2"/>
        <v>3.5348348623768784</v>
      </c>
      <c r="E30" s="1131">
        <v>1113</v>
      </c>
      <c r="F30"/>
      <c r="G30" s="658"/>
    </row>
    <row r="31" spans="1:7" ht="18.600000000000001" thickBot="1" x14ac:dyDescent="0.4">
      <c r="A31" s="208" t="s">
        <v>113</v>
      </c>
      <c r="B31" s="40">
        <f t="shared" si="3"/>
        <v>44</v>
      </c>
      <c r="C31" s="212">
        <f t="shared" si="4"/>
        <v>2.6390096424648002</v>
      </c>
      <c r="D31" s="39">
        <f t="shared" si="2"/>
        <v>2.1539047934371207</v>
      </c>
      <c r="E31" s="1131">
        <v>71</v>
      </c>
      <c r="F31"/>
      <c r="G31" s="658"/>
    </row>
    <row r="32" spans="1:7" ht="18.600000000000001" thickBot="1" x14ac:dyDescent="0.4">
      <c r="A32" s="208" t="s">
        <v>114</v>
      </c>
      <c r="B32" s="40">
        <f t="shared" si="3"/>
        <v>52</v>
      </c>
      <c r="C32" s="212">
        <f t="shared" si="4"/>
        <v>2.3906476332391247</v>
      </c>
      <c r="D32" s="39">
        <f t="shared" si="2"/>
        <v>1.9511968860574331</v>
      </c>
      <c r="E32" s="1131">
        <v>41</v>
      </c>
      <c r="F32"/>
      <c r="G32" s="658"/>
    </row>
    <row r="33" spans="1:7" ht="18.600000000000001" thickBot="1" x14ac:dyDescent="0.4">
      <c r="A33" s="208" t="s">
        <v>121</v>
      </c>
      <c r="B33" s="40">
        <f t="shared" si="3"/>
        <v>64</v>
      </c>
      <c r="C33" s="212">
        <f t="shared" si="4"/>
        <v>1.2252211195711986</v>
      </c>
      <c r="D33" s="39">
        <f t="shared" si="2"/>
        <v>1</v>
      </c>
      <c r="E33" s="1131">
        <v>1</v>
      </c>
      <c r="F33"/>
      <c r="G33" s="658"/>
    </row>
    <row r="34" spans="1:7" ht="18.600000000000001" thickBot="1" x14ac:dyDescent="0.4">
      <c r="A34" s="208" t="s">
        <v>308</v>
      </c>
      <c r="B34" s="40">
        <f t="shared" si="3"/>
        <v>21</v>
      </c>
      <c r="C34" s="212">
        <f t="shared" si="4"/>
        <v>4.1465464252566093</v>
      </c>
      <c r="D34" s="39">
        <f t="shared" si="2"/>
        <v>3.3843249671600604</v>
      </c>
      <c r="E34" s="1131">
        <v>874</v>
      </c>
      <c r="F34"/>
      <c r="G34" s="658"/>
    </row>
    <row r="35" spans="1:7" ht="18.600000000000001" thickBot="1" x14ac:dyDescent="0.4">
      <c r="A35" s="208" t="s">
        <v>290</v>
      </c>
      <c r="B35" s="40">
        <f t="shared" si="3"/>
        <v>47</v>
      </c>
      <c r="C35" s="212">
        <f t="shared" si="4"/>
        <v>2.4864349743936369</v>
      </c>
      <c r="D35" s="39">
        <f t="shared" si="2"/>
        <v>2.0293765220630839</v>
      </c>
      <c r="E35" s="1131">
        <v>51</v>
      </c>
      <c r="F35"/>
      <c r="G35" s="658"/>
    </row>
    <row r="36" spans="1:7" ht="18.600000000000001" thickBot="1" x14ac:dyDescent="0.4">
      <c r="A36" s="208" t="s">
        <v>442</v>
      </c>
      <c r="B36" s="40">
        <f t="shared" si="3"/>
        <v>50</v>
      </c>
      <c r="C36" s="212">
        <f t="shared" si="4"/>
        <v>2.4406802339261571</v>
      </c>
      <c r="D36" s="39">
        <f t="shared" si="2"/>
        <v>1.9920324543379919</v>
      </c>
      <c r="E36" s="1131">
        <v>46</v>
      </c>
      <c r="F36"/>
      <c r="G36" s="658"/>
    </row>
    <row r="37" spans="1:7" ht="18.600000000000001" thickBot="1" x14ac:dyDescent="0.4">
      <c r="A37" s="90" t="s">
        <v>98</v>
      </c>
      <c r="B37" s="40">
        <f t="shared" si="3"/>
        <v>6</v>
      </c>
      <c r="C37" s="212">
        <f t="shared" si="4"/>
        <v>6.4486785436726324</v>
      </c>
      <c r="D37" s="39">
        <f t="shared" si="2"/>
        <v>5.2632773306499425</v>
      </c>
      <c r="E37" s="1131">
        <v>10162</v>
      </c>
      <c r="F37"/>
      <c r="G37" s="848"/>
    </row>
    <row r="38" spans="1:7" ht="18.600000000000001" thickBot="1" x14ac:dyDescent="0.4">
      <c r="A38" s="91" t="s">
        <v>110</v>
      </c>
      <c r="B38" s="40">
        <f t="shared" si="3"/>
        <v>12</v>
      </c>
      <c r="C38" s="212">
        <f t="shared" si="4"/>
        <v>5.0385552059698941</v>
      </c>
      <c r="D38" s="39">
        <f t="shared" si="2"/>
        <v>4.1123639851501101</v>
      </c>
      <c r="E38" s="1131">
        <v>2580</v>
      </c>
      <c r="F38"/>
      <c r="G38" s="849"/>
    </row>
    <row r="39" spans="1:7" ht="18.600000000000001" thickBot="1" x14ac:dyDescent="0.4">
      <c r="A39" s="90" t="s">
        <v>95</v>
      </c>
      <c r="B39" s="40">
        <f t="shared" si="3"/>
        <v>10</v>
      </c>
      <c r="C39" s="212">
        <f t="shared" si="4"/>
        <v>5.1898813583921326</v>
      </c>
      <c r="D39" s="39">
        <f t="shared" si="2"/>
        <v>4.2358732440136855</v>
      </c>
      <c r="E39" s="1131">
        <v>3041</v>
      </c>
      <c r="F39"/>
      <c r="G39" s="849"/>
    </row>
    <row r="40" spans="1:7" ht="18.600000000000001" thickBot="1" x14ac:dyDescent="0.4">
      <c r="A40" s="208" t="s">
        <v>122</v>
      </c>
      <c r="B40" s="40">
        <f t="shared" si="3"/>
        <v>49</v>
      </c>
      <c r="C40" s="212">
        <f t="shared" si="4"/>
        <v>2.4501467036081692</v>
      </c>
      <c r="D40" s="39">
        <f t="shared" si="2"/>
        <v>1.9997587900424609</v>
      </c>
      <c r="E40" s="1131">
        <v>47</v>
      </c>
      <c r="F40"/>
      <c r="G40" s="658"/>
    </row>
    <row r="41" spans="1:7" ht="18.600000000000001" thickBot="1" x14ac:dyDescent="0.4">
      <c r="A41" s="90" t="s">
        <v>103</v>
      </c>
      <c r="B41" s="40">
        <f t="shared" si="3"/>
        <v>29</v>
      </c>
      <c r="C41" s="212">
        <f t="shared" si="4"/>
        <v>3.8980282155473431</v>
      </c>
      <c r="D41" s="39">
        <f t="shared" si="2"/>
        <v>3.1814895721937688</v>
      </c>
      <c r="E41" s="1131">
        <v>620</v>
      </c>
      <c r="F41"/>
      <c r="G41" s="658"/>
    </row>
    <row r="42" spans="1:7" ht="18.600000000000001" thickBot="1" x14ac:dyDescent="0.4">
      <c r="A42" s="90" t="s">
        <v>309</v>
      </c>
      <c r="B42" s="40">
        <f t="shared" si="3"/>
        <v>22</v>
      </c>
      <c r="C42" s="212">
        <f t="shared" si="4"/>
        <v>4.1179185618759622</v>
      </c>
      <c r="D42" s="39">
        <f t="shared" si="2"/>
        <v>3.3609595003693262</v>
      </c>
      <c r="E42" s="1131">
        <v>841</v>
      </c>
      <c r="F42"/>
      <c r="G42" s="658"/>
    </row>
    <row r="43" spans="1:7" ht="18.600000000000001" thickBot="1" x14ac:dyDescent="0.4">
      <c r="A43" s="208" t="s">
        <v>123</v>
      </c>
      <c r="B43" s="40">
        <f t="shared" si="3"/>
        <v>28</v>
      </c>
      <c r="C43" s="212">
        <f t="shared" si="4"/>
        <v>3.9192649962602299</v>
      </c>
      <c r="D43" s="39">
        <f t="shared" si="2"/>
        <v>3.1988225910045442</v>
      </c>
      <c r="E43" s="1131">
        <v>639</v>
      </c>
      <c r="F43"/>
      <c r="G43" s="658"/>
    </row>
    <row r="44" spans="1:7" ht="18.600000000000001" thickBot="1" x14ac:dyDescent="0.4">
      <c r="A44" s="208" t="s">
        <v>294</v>
      </c>
      <c r="B44" s="40">
        <f t="shared" si="3"/>
        <v>43</v>
      </c>
      <c r="C44" s="212">
        <f t="shared" si="4"/>
        <v>2.6963152743062522</v>
      </c>
      <c r="D44" s="39">
        <f t="shared" si="2"/>
        <v>2.2006764585072656</v>
      </c>
      <c r="E44" s="1131">
        <v>80</v>
      </c>
      <c r="F44"/>
      <c r="G44" s="658"/>
    </row>
    <row r="45" spans="1:7" ht="18.600000000000001" thickBot="1" x14ac:dyDescent="0.4">
      <c r="A45" s="90" t="s">
        <v>7</v>
      </c>
      <c r="B45" s="40">
        <f t="shared" si="3"/>
        <v>2</v>
      </c>
      <c r="C45" s="212">
        <f t="shared" si="4"/>
        <v>7.9799126043586641</v>
      </c>
      <c r="D45" s="39">
        <f t="shared" si="2"/>
        <v>6.5130387298183896</v>
      </c>
      <c r="E45" s="1131">
        <v>33191</v>
      </c>
      <c r="F45"/>
      <c r="G45" s="848"/>
    </row>
    <row r="46" spans="1:7" ht="18.600000000000001" thickBot="1" x14ac:dyDescent="0.4">
      <c r="A46" s="208" t="s">
        <v>124</v>
      </c>
      <c r="B46" s="40">
        <f t="shared" si="3"/>
        <v>35</v>
      </c>
      <c r="C46" s="212">
        <f t="shared" si="4"/>
        <v>3.2932416817661561</v>
      </c>
      <c r="D46" s="39">
        <f t="shared" si="2"/>
        <v>2.6878753795222865</v>
      </c>
      <c r="E46" s="1131">
        <v>243</v>
      </c>
      <c r="F46"/>
      <c r="G46" s="658"/>
    </row>
    <row r="47" spans="1:7" ht="18.600000000000001" thickBot="1" x14ac:dyDescent="0.4">
      <c r="A47" s="208" t="s">
        <v>125</v>
      </c>
      <c r="B47" s="40">
        <f t="shared" si="3"/>
        <v>34</v>
      </c>
      <c r="C47" s="212">
        <f t="shared" si="4"/>
        <v>3.314870537172574</v>
      </c>
      <c r="D47" s="39">
        <f t="shared" si="2"/>
        <v>2.7055284015449459</v>
      </c>
      <c r="E47" s="1131">
        <v>252</v>
      </c>
      <c r="F47"/>
      <c r="G47" s="658"/>
    </row>
    <row r="48" spans="1:7" ht="18.600000000000001" thickBot="1" x14ac:dyDescent="0.4">
      <c r="A48" s="208" t="s">
        <v>455</v>
      </c>
      <c r="B48" s="40">
        <f t="shared" si="3"/>
        <v>51</v>
      </c>
      <c r="C48" s="212">
        <f t="shared" si="4"/>
        <v>2.4310434819952547</v>
      </c>
      <c r="D48" s="39">
        <f t="shared" si="2"/>
        <v>1.984167137802904</v>
      </c>
      <c r="E48" s="1131">
        <v>45</v>
      </c>
      <c r="F48"/>
      <c r="G48" s="658"/>
    </row>
    <row r="49" spans="1:7" ht="18.600000000000001" thickBot="1" x14ac:dyDescent="0.4">
      <c r="A49" s="208" t="s">
        <v>460</v>
      </c>
      <c r="B49" s="40">
        <f t="shared" si="3"/>
        <v>15</v>
      </c>
      <c r="C49" s="212">
        <f t="shared" si="4"/>
        <v>4.6352355409937749</v>
      </c>
      <c r="D49" s="39">
        <f t="shared" si="2"/>
        <v>3.7831828614054652</v>
      </c>
      <c r="E49" s="1131">
        <v>1623</v>
      </c>
      <c r="F49"/>
      <c r="G49" s="848"/>
    </row>
    <row r="50" spans="1:7" ht="18.600000000000001" thickBot="1" x14ac:dyDescent="0.4">
      <c r="A50" s="208" t="s">
        <v>461</v>
      </c>
      <c r="B50" s="40">
        <f t="shared" si="3"/>
        <v>57</v>
      </c>
      <c r="C50" s="212">
        <f t="shared" si="4"/>
        <v>1.9702326905609353</v>
      </c>
      <c r="D50" s="39">
        <f t="shared" si="2"/>
        <v>1.608062952139182</v>
      </c>
      <c r="E50" s="1131">
        <v>14</v>
      </c>
      <c r="F50"/>
      <c r="G50" s="658"/>
    </row>
    <row r="51" spans="1:7" ht="18.600000000000001" thickBot="1" x14ac:dyDescent="0.4">
      <c r="A51" s="208" t="s">
        <v>448</v>
      </c>
      <c r="B51" s="40">
        <f t="shared" si="3"/>
        <v>47</v>
      </c>
      <c r="C51" s="212">
        <f t="shared" si="4"/>
        <v>2.4864349743936369</v>
      </c>
      <c r="D51" s="39">
        <f t="shared" si="2"/>
        <v>2.0293765220630839</v>
      </c>
      <c r="E51" s="1131">
        <v>51</v>
      </c>
      <c r="F51"/>
      <c r="G51" s="658"/>
    </row>
    <row r="52" spans="1:7" ht="18.600000000000001" thickBot="1" x14ac:dyDescent="0.4">
      <c r="A52" s="208" t="s">
        <v>449</v>
      </c>
      <c r="B52" s="40">
        <f t="shared" si="3"/>
        <v>57</v>
      </c>
      <c r="C52" s="212">
        <f t="shared" si="4"/>
        <v>1.9702326905609353</v>
      </c>
      <c r="D52" s="39">
        <f t="shared" si="2"/>
        <v>1.608062952139182</v>
      </c>
      <c r="E52" s="1131">
        <v>14</v>
      </c>
      <c r="F52"/>
      <c r="G52" s="658"/>
    </row>
    <row r="53" spans="1:7" ht="18.600000000000001" thickBot="1" x14ac:dyDescent="0.4">
      <c r="A53" s="208" t="s">
        <v>421</v>
      </c>
      <c r="B53" s="40">
        <f t="shared" si="3"/>
        <v>32</v>
      </c>
      <c r="C53" s="212">
        <f t="shared" si="4"/>
        <v>3.5990959698172982</v>
      </c>
      <c r="D53" s="39">
        <f t="shared" si="2"/>
        <v>2.9375072893592509</v>
      </c>
      <c r="E53" s="1131">
        <v>398</v>
      </c>
      <c r="F53"/>
      <c r="G53" s="658"/>
    </row>
    <row r="54" spans="1:7" ht="18.600000000000001" thickBot="1" x14ac:dyDescent="0.4">
      <c r="A54" s="91" t="s">
        <v>100</v>
      </c>
      <c r="B54" s="40">
        <f t="shared" si="3"/>
        <v>1</v>
      </c>
      <c r="C54" s="212">
        <f t="shared" si="4"/>
        <v>10</v>
      </c>
      <c r="D54" s="39">
        <f t="shared" si="2"/>
        <v>8.1617920555432377</v>
      </c>
      <c r="E54" s="1131">
        <v>116272</v>
      </c>
      <c r="F54"/>
      <c r="G54" s="848"/>
    </row>
    <row r="55" spans="1:7" ht="18.600000000000001" thickBot="1" x14ac:dyDescent="0.4">
      <c r="A55" s="208" t="s">
        <v>462</v>
      </c>
      <c r="B55" s="40">
        <f t="shared" si="3"/>
        <v>38</v>
      </c>
      <c r="C55" s="212">
        <f t="shared" si="4"/>
        <v>3.008372392430823</v>
      </c>
      <c r="D55" s="39">
        <f t="shared" si="2"/>
        <v>2.4553709892657496</v>
      </c>
      <c r="E55" s="1131">
        <v>147</v>
      </c>
      <c r="F55"/>
      <c r="G55" s="658"/>
    </row>
    <row r="56" spans="1:7" ht="18.600000000000001" thickBot="1" x14ac:dyDescent="0.4">
      <c r="A56" s="208" t="s">
        <v>176</v>
      </c>
      <c r="B56" s="40">
        <f t="shared" si="3"/>
        <v>55</v>
      </c>
      <c r="C56" s="212">
        <f t="shared" si="4"/>
        <v>2.2174812270772075</v>
      </c>
      <c r="D56" s="39">
        <f t="shared" si="2"/>
        <v>1.809862066247502</v>
      </c>
      <c r="E56" s="1131">
        <v>27</v>
      </c>
      <c r="F56"/>
      <c r="G56" s="658"/>
    </row>
    <row r="57" spans="1:7" ht="18.600000000000001" thickBot="1" x14ac:dyDescent="0.4">
      <c r="A57" s="208" t="s">
        <v>126</v>
      </c>
      <c r="B57" s="40">
        <f t="shared" si="3"/>
        <v>46</v>
      </c>
      <c r="C57" s="212">
        <f t="shared" si="4"/>
        <v>2.5037106161254155</v>
      </c>
      <c r="D57" s="39">
        <f t="shared" si="2"/>
        <v>2.0434765416071681</v>
      </c>
      <c r="E57" s="1131">
        <v>53</v>
      </c>
      <c r="F57"/>
      <c r="G57" s="658"/>
    </row>
    <row r="58" spans="1:7" ht="18.600000000000001" thickBot="1" x14ac:dyDescent="0.4">
      <c r="A58" s="90" t="s">
        <v>96</v>
      </c>
      <c r="B58" s="40">
        <f t="shared" si="3"/>
        <v>5</v>
      </c>
      <c r="C58" s="212">
        <f t="shared" si="4"/>
        <v>6.9728714006232515</v>
      </c>
      <c r="D58" s="39">
        <f t="shared" si="2"/>
        <v>5.6911126401931504</v>
      </c>
      <c r="E58" s="1131">
        <v>15687</v>
      </c>
      <c r="F58"/>
      <c r="G58" s="848"/>
    </row>
    <row r="59" spans="1:7" ht="18.600000000000001" thickBot="1" x14ac:dyDescent="0.4">
      <c r="A59" s="90" t="s">
        <v>450</v>
      </c>
      <c r="B59" s="40">
        <f t="shared" si="3"/>
        <v>37</v>
      </c>
      <c r="C59" s="212">
        <f t="shared" si="4"/>
        <v>3.1010826341308011</v>
      </c>
      <c r="D59" s="39">
        <f t="shared" si="2"/>
        <v>2.531039160683187</v>
      </c>
      <c r="E59" s="1131">
        <v>174</v>
      </c>
      <c r="F59"/>
      <c r="G59" s="848"/>
    </row>
    <row r="60" spans="1:7" ht="18.600000000000001" thickBot="1" x14ac:dyDescent="0.4">
      <c r="A60" s="208" t="s">
        <v>127</v>
      </c>
      <c r="B60" s="40">
        <f t="shared" si="3"/>
        <v>56</v>
      </c>
      <c r="C60" s="212">
        <f t="shared" si="4"/>
        <v>2.1008733573370164</v>
      </c>
      <c r="D60" s="39">
        <f t="shared" si="2"/>
        <v>1.7146891477615709</v>
      </c>
      <c r="E60" s="1131">
        <v>20</v>
      </c>
      <c r="F60"/>
      <c r="G60" s="658"/>
    </row>
    <row r="61" spans="1:7" ht="18.600000000000001" thickBot="1" x14ac:dyDescent="0.4">
      <c r="A61" s="208" t="s">
        <v>178</v>
      </c>
      <c r="B61" s="40">
        <f t="shared" si="3"/>
        <v>39</v>
      </c>
      <c r="C61" s="212">
        <f t="shared" si="4"/>
        <v>2.9546617478096158</v>
      </c>
      <c r="D61" s="39">
        <f t="shared" si="2"/>
        <v>2.4115334780090021</v>
      </c>
      <c r="E61" s="1131">
        <v>133</v>
      </c>
      <c r="F61"/>
      <c r="G61" s="658"/>
    </row>
    <row r="62" spans="1:7" ht="18.600000000000001" thickBot="1" x14ac:dyDescent="0.4">
      <c r="A62" s="208" t="s">
        <v>128</v>
      </c>
      <c r="B62" s="40">
        <f t="shared" si="3"/>
        <v>65</v>
      </c>
      <c r="C62" s="212">
        <f t="shared" si="4"/>
        <v>0</v>
      </c>
      <c r="D62" s="39">
        <f t="shared" si="2"/>
        <v>0</v>
      </c>
      <c r="E62" s="1354">
        <v>0</v>
      </c>
      <c r="F62"/>
      <c r="G62" s="658"/>
    </row>
    <row r="63" spans="1:7" ht="18.600000000000001" thickBot="1" x14ac:dyDescent="0.4">
      <c r="A63" s="90" t="s">
        <v>18</v>
      </c>
      <c r="B63" s="40">
        <f t="shared" si="3"/>
        <v>42</v>
      </c>
      <c r="C63" s="212">
        <f t="shared" si="4"/>
        <v>2.7862706245289708</v>
      </c>
      <c r="D63" s="39">
        <f t="shared" si="2"/>
        <v>2.2740961447874048</v>
      </c>
      <c r="E63" s="1131">
        <v>96</v>
      </c>
      <c r="F63"/>
      <c r="G63" s="658"/>
    </row>
    <row r="64" spans="1:7" ht="18.600000000000001" thickBot="1" x14ac:dyDescent="0.4">
      <c r="A64" s="208" t="s">
        <v>129</v>
      </c>
      <c r="B64" s="40">
        <f t="shared" si="3"/>
        <v>45</v>
      </c>
      <c r="C64" s="212">
        <f t="shared" si="4"/>
        <v>2.5446702539451307</v>
      </c>
      <c r="D64" s="39">
        <f t="shared" si="2"/>
        <v>2.0769069462626559</v>
      </c>
      <c r="E64" s="1131">
        <v>58</v>
      </c>
      <c r="F64"/>
      <c r="G64" s="658"/>
    </row>
    <row r="65" spans="1:7" ht="18.600000000000001" thickBot="1" x14ac:dyDescent="0.4">
      <c r="A65" s="208" t="s">
        <v>451</v>
      </c>
      <c r="B65" s="40">
        <f t="shared" si="3"/>
        <v>60</v>
      </c>
      <c r="C65" s="212">
        <f t="shared" si="4"/>
        <v>1.7814378354969447</v>
      </c>
      <c r="D65" s="39">
        <f t="shared" si="2"/>
        <v>1.4539725173203104</v>
      </c>
      <c r="E65" s="1131">
        <v>8</v>
      </c>
      <c r="F65"/>
      <c r="G65" s="658"/>
    </row>
    <row r="66" spans="1:7" ht="18.600000000000001" thickBot="1" x14ac:dyDescent="0.4">
      <c r="A66" s="208" t="s">
        <v>291</v>
      </c>
      <c r="B66" s="40">
        <f t="shared" si="3"/>
        <v>36</v>
      </c>
      <c r="C66" s="212">
        <f t="shared" si="4"/>
        <v>3.2608099292808879</v>
      </c>
      <c r="D66" s="39">
        <f t="shared" si="2"/>
        <v>2.6614052575441258</v>
      </c>
      <c r="E66" s="1131">
        <v>230</v>
      </c>
      <c r="F66"/>
      <c r="G66" s="658"/>
    </row>
    <row r="67" spans="1:7" ht="18.600000000000001" thickBot="1" x14ac:dyDescent="0.4">
      <c r="A67" s="208" t="s">
        <v>335</v>
      </c>
      <c r="B67" s="40">
        <f t="shared" si="3"/>
        <v>14</v>
      </c>
      <c r="C67" s="212">
        <f t="shared" si="4"/>
        <v>4.7364795923450131</v>
      </c>
      <c r="D67" s="39">
        <f t="shared" si="2"/>
        <v>3.8658161508044202</v>
      </c>
      <c r="E67" s="1131">
        <v>1830</v>
      </c>
      <c r="F67"/>
      <c r="G67" s="658"/>
    </row>
    <row r="68" spans="1:7" ht="18.600000000000001" thickBot="1" x14ac:dyDescent="0.4">
      <c r="A68" s="90" t="s">
        <v>111</v>
      </c>
      <c r="B68" s="40">
        <f t="shared" si="3"/>
        <v>4</v>
      </c>
      <c r="C68" s="212">
        <f t="shared" si="4"/>
        <v>7.2756927704275833</v>
      </c>
      <c r="D68" s="39">
        <f t="shared" si="2"/>
        <v>5.9382691452249219</v>
      </c>
      <c r="E68" s="1131">
        <v>19866</v>
      </c>
      <c r="F68"/>
      <c r="G68" s="848"/>
    </row>
    <row r="69" spans="1:7" ht="18.600000000000001" thickBot="1" x14ac:dyDescent="0.4">
      <c r="A69" s="90" t="s">
        <v>179</v>
      </c>
      <c r="B69" s="40">
        <f t="shared" si="3"/>
        <v>63</v>
      </c>
      <c r="C69" s="212">
        <f t="shared" si="4"/>
        <v>1.3880332622862877</v>
      </c>
      <c r="D69" s="39">
        <f t="shared" si="2"/>
        <v>1.1328838852957985</v>
      </c>
      <c r="E69" s="1131">
        <v>2</v>
      </c>
      <c r="F69"/>
      <c r="G69" s="658"/>
    </row>
    <row r="70" spans="1:7" ht="18.600000000000001" thickBot="1" x14ac:dyDescent="0.4">
      <c r="A70" s="1270" t="s">
        <v>454</v>
      </c>
      <c r="B70" s="40">
        <f t="shared" si="3"/>
        <v>53</v>
      </c>
      <c r="C70" s="212">
        <f t="shared" si="4"/>
        <v>2.3800455715743873</v>
      </c>
      <c r="D70" s="39">
        <f t="shared" si="2"/>
        <v>1.9425437037906701</v>
      </c>
      <c r="E70" s="1279">
        <v>40</v>
      </c>
      <c r="F70"/>
      <c r="G70" s="658"/>
    </row>
    <row r="71" spans="1:7" ht="18.600000000000001" thickBot="1" x14ac:dyDescent="0.4">
      <c r="A71" s="159" t="s">
        <v>180</v>
      </c>
      <c r="B71" s="40">
        <f t="shared" si="3"/>
        <v>7</v>
      </c>
      <c r="C71" s="212">
        <f t="shared" si="4"/>
        <v>6.2650212340112255</v>
      </c>
      <c r="D71" s="39">
        <f t="shared" si="2"/>
        <v>5.1133800535562512</v>
      </c>
      <c r="E71" s="1132">
        <v>8655</v>
      </c>
      <c r="F71"/>
      <c r="G71" s="849"/>
    </row>
  </sheetData>
  <conditionalFormatting sqref="B7:B71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71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T71"/>
  <sheetViews>
    <sheetView zoomScaleNormal="100" workbookViewId="0">
      <pane xSplit="1" ySplit="6" topLeftCell="B28" activePane="bottomRight" state="frozen"/>
      <selection activeCell="A22" sqref="A22"/>
      <selection pane="topRight" activeCell="A22" sqref="A22"/>
      <selection pane="bottomLeft" activeCell="A22" sqref="A22"/>
      <selection pane="bottomRight" activeCell="B36" sqref="B36"/>
    </sheetView>
  </sheetViews>
  <sheetFormatPr defaultColWidth="8.88671875" defaultRowHeight="18" x14ac:dyDescent="0.35"/>
  <cols>
    <col min="1" max="1" width="36.88671875" style="8" customWidth="1"/>
    <col min="2" max="2" width="12.109375" style="35" customWidth="1"/>
    <col min="3" max="3" width="9.44140625" style="1" customWidth="1"/>
    <col min="4" max="4" width="17.77734375" style="1" customWidth="1"/>
    <col min="5" max="5" width="13.33203125" style="1" customWidth="1"/>
    <col min="6" max="8" width="7.6640625" style="7" bestFit="1" customWidth="1"/>
    <col min="9" max="9" width="0.88671875" style="1" customWidth="1"/>
    <col min="10" max="10" width="7.33203125" style="54" customWidth="1"/>
    <col min="11" max="12" width="7.33203125" style="53" customWidth="1"/>
    <col min="13" max="13" width="0.88671875" style="1" customWidth="1"/>
    <col min="14" max="14" width="11.88671875" style="133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18" s="82" customFormat="1" ht="21" x14ac:dyDescent="0.3">
      <c r="A1" s="107" t="s">
        <v>427</v>
      </c>
      <c r="B1" s="126"/>
      <c r="C1" s="127"/>
      <c r="D1" s="128"/>
      <c r="E1" s="128"/>
      <c r="F1" s="129"/>
      <c r="G1" s="129"/>
      <c r="H1" s="129"/>
      <c r="I1" s="128"/>
      <c r="J1" s="130"/>
      <c r="K1" s="127"/>
      <c r="L1" s="127"/>
      <c r="M1" s="128"/>
      <c r="N1" s="132"/>
      <c r="O1" s="128"/>
      <c r="P1" s="128"/>
      <c r="Q1" s="128"/>
      <c r="R1" s="128"/>
    </row>
    <row r="2" spans="1:18" s="82" customFormat="1" ht="21" x14ac:dyDescent="0.3">
      <c r="A2" s="107"/>
      <c r="B2" s="126"/>
      <c r="C2" s="127"/>
      <c r="D2" s="128"/>
      <c r="E2" s="128"/>
      <c r="F2" s="129"/>
      <c r="G2" s="129"/>
      <c r="H2" s="129"/>
      <c r="I2" s="128"/>
      <c r="J2" s="130"/>
      <c r="K2" s="127"/>
      <c r="L2" s="127"/>
      <c r="M2" s="128"/>
      <c r="N2" s="132"/>
      <c r="O2" s="128"/>
      <c r="P2" s="128"/>
      <c r="Q2" s="128"/>
      <c r="R2" s="128"/>
    </row>
    <row r="3" spans="1:18" x14ac:dyDescent="0.35">
      <c r="A3" s="70"/>
      <c r="B3" s="110"/>
      <c r="C3" s="486"/>
      <c r="D3" s="312" t="s">
        <v>222</v>
      </c>
      <c r="E3" s="31"/>
      <c r="F3" s="124"/>
      <c r="G3" s="109"/>
      <c r="H3" s="109"/>
      <c r="I3" s="125"/>
      <c r="J3" s="106" t="s">
        <v>66</v>
      </c>
      <c r="K3" s="122"/>
      <c r="L3" s="106"/>
      <c r="M3" s="125"/>
      <c r="N3" s="162"/>
      <c r="O3" s="163"/>
      <c r="P3" s="163"/>
      <c r="Q3" s="163"/>
      <c r="R3" s="31"/>
    </row>
    <row r="4" spans="1:18" x14ac:dyDescent="0.35">
      <c r="A4" s="70"/>
      <c r="B4" s="110"/>
      <c r="C4" s="486"/>
      <c r="D4" s="309">
        <v>0.18</v>
      </c>
      <c r="E4" s="306" t="s">
        <v>67</v>
      </c>
      <c r="F4" s="122"/>
      <c r="G4" s="112"/>
      <c r="H4" s="112"/>
      <c r="I4" s="125"/>
      <c r="J4" s="122" t="s">
        <v>223</v>
      </c>
      <c r="K4" s="122"/>
      <c r="L4" s="122"/>
      <c r="M4" s="125"/>
      <c r="N4" s="122" t="s">
        <v>183</v>
      </c>
      <c r="O4" s="96"/>
      <c r="P4" s="95"/>
      <c r="Q4" s="96"/>
      <c r="R4" s="31"/>
    </row>
    <row r="5" spans="1:18" ht="18.600000000000001" thickBot="1" x14ac:dyDescent="0.4">
      <c r="A5" s="70"/>
      <c r="B5" s="344" t="s">
        <v>281</v>
      </c>
      <c r="C5" s="388"/>
      <c r="D5" s="310" t="s">
        <v>60</v>
      </c>
      <c r="E5" s="307" t="s">
        <v>68</v>
      </c>
      <c r="F5" s="115"/>
      <c r="G5" s="114"/>
      <c r="H5" s="113"/>
      <c r="I5" s="123"/>
      <c r="J5" s="113" t="s">
        <v>69</v>
      </c>
      <c r="K5" s="113"/>
      <c r="L5" s="113"/>
      <c r="M5" s="123"/>
      <c r="N5" s="160" t="s">
        <v>406</v>
      </c>
      <c r="O5" s="117"/>
      <c r="P5" s="116"/>
      <c r="Q5" s="117"/>
      <c r="R5" s="31"/>
    </row>
    <row r="6" spans="1:18" ht="18.600000000000001" thickBot="1" x14ac:dyDescent="0.4">
      <c r="A6" s="55" t="s">
        <v>4</v>
      </c>
      <c r="B6" s="38" t="s">
        <v>3</v>
      </c>
      <c r="C6" s="36" t="s">
        <v>280</v>
      </c>
      <c r="D6" s="311">
        <f>MAX(D7:D71)</f>
        <v>4.9636083258534702</v>
      </c>
      <c r="E6" s="740" t="s">
        <v>70</v>
      </c>
      <c r="F6" s="303" t="s">
        <v>25</v>
      </c>
      <c r="G6" s="304" t="s">
        <v>26</v>
      </c>
      <c r="H6" s="305" t="s">
        <v>27</v>
      </c>
      <c r="I6" s="43"/>
      <c r="J6" s="121" t="s">
        <v>25</v>
      </c>
      <c r="K6" s="120" t="s">
        <v>26</v>
      </c>
      <c r="L6" s="119" t="s">
        <v>27</v>
      </c>
      <c r="M6" s="43"/>
      <c r="N6" s="161" t="s">
        <v>70</v>
      </c>
      <c r="O6" s="850" t="s">
        <v>25</v>
      </c>
      <c r="P6" s="300" t="s">
        <v>26</v>
      </c>
      <c r="Q6" s="855" t="s">
        <v>27</v>
      </c>
      <c r="R6" s="31"/>
    </row>
    <row r="7" spans="1:18" ht="18.600000000000001" thickBot="1" x14ac:dyDescent="0.4">
      <c r="A7" s="158" t="s">
        <v>10</v>
      </c>
      <c r="B7" s="243">
        <f t="shared" ref="B7:B40" si="0">RANK(C7,C$7:C$71,0)</f>
        <v>41</v>
      </c>
      <c r="C7" s="42">
        <f>D7*10/D$6</f>
        <v>1.5066921456690607</v>
      </c>
      <c r="D7" s="1355">
        <f>E7^0.18</f>
        <v>0.74786296787409801</v>
      </c>
      <c r="E7" s="741">
        <f t="shared" ref="E7:E40" si="1">SUM(F7:H7)</f>
        <v>0.19907250000000001</v>
      </c>
      <c r="F7" s="551">
        <v>0</v>
      </c>
      <c r="G7" s="550">
        <v>0.19907250000000001</v>
      </c>
      <c r="H7" s="549">
        <v>0</v>
      </c>
      <c r="I7" s="43"/>
      <c r="J7" s="45"/>
      <c r="K7" s="44">
        <v>0.5</v>
      </c>
      <c r="L7" s="1135"/>
      <c r="M7" s="43"/>
      <c r="N7" s="1152">
        <f>SUM(O7:Q7)</f>
        <v>0.39814500000000003</v>
      </c>
      <c r="O7" s="1154">
        <v>0</v>
      </c>
      <c r="P7" s="1156">
        <v>0.39814500000000003</v>
      </c>
      <c r="Q7" s="1152">
        <v>0</v>
      </c>
      <c r="R7" s="31"/>
    </row>
    <row r="8" spans="1:18" ht="18.600000000000001" thickBot="1" x14ac:dyDescent="0.4">
      <c r="A8" s="208" t="s">
        <v>174</v>
      </c>
      <c r="B8" s="243">
        <f t="shared" ref="B8:B71" si="2">RANK(C8,C$7:C$71,0)</f>
        <v>44</v>
      </c>
      <c r="C8" s="42">
        <f t="shared" ref="C8:C71" si="3">D8*10/D$6</f>
        <v>0</v>
      </c>
      <c r="D8" s="1355">
        <f t="shared" ref="D8:D71" si="4">E8^0.18</f>
        <v>0</v>
      </c>
      <c r="E8" s="741">
        <f t="shared" si="1"/>
        <v>0</v>
      </c>
      <c r="F8" s="552">
        <v>0</v>
      </c>
      <c r="G8" s="541">
        <v>0</v>
      </c>
      <c r="H8" s="540">
        <v>0</v>
      </c>
      <c r="I8" s="46"/>
      <c r="J8" s="49"/>
      <c r="K8" s="48"/>
      <c r="L8" s="1137"/>
      <c r="M8" s="46"/>
      <c r="N8" s="1152">
        <f t="shared" ref="N8:N71" si="5">SUM(O8:Q8)</f>
        <v>0</v>
      </c>
      <c r="O8" s="853">
        <v>0</v>
      </c>
      <c r="P8" s="538">
        <v>0</v>
      </c>
      <c r="Q8" s="537">
        <v>0</v>
      </c>
      <c r="R8" s="31"/>
    </row>
    <row r="9" spans="1:18" ht="18.600000000000001" thickBot="1" x14ac:dyDescent="0.4">
      <c r="A9" s="208" t="s">
        <v>115</v>
      </c>
      <c r="B9" s="243">
        <f t="shared" si="2"/>
        <v>35</v>
      </c>
      <c r="C9" s="42">
        <f t="shared" si="3"/>
        <v>2.4591344959510311</v>
      </c>
      <c r="D9" s="1355">
        <f t="shared" si="4"/>
        <v>1.2206180458496014</v>
      </c>
      <c r="E9" s="741">
        <f t="shared" si="1"/>
        <v>3.0269051558361002</v>
      </c>
      <c r="F9" s="552">
        <v>3.0269051558361002</v>
      </c>
      <c r="G9" s="541">
        <v>0</v>
      </c>
      <c r="H9" s="540">
        <v>0</v>
      </c>
      <c r="I9" s="46"/>
      <c r="J9" s="49">
        <v>0.9</v>
      </c>
      <c r="K9" s="48"/>
      <c r="L9" s="1137"/>
      <c r="M9" s="46"/>
      <c r="N9" s="1152">
        <f t="shared" si="5"/>
        <v>3.3632279509290002</v>
      </c>
      <c r="O9" s="853">
        <v>3.3632279509290002</v>
      </c>
      <c r="P9" s="538">
        <v>0</v>
      </c>
      <c r="Q9" s="537">
        <v>0</v>
      </c>
      <c r="R9" s="31"/>
    </row>
    <row r="10" spans="1:18" ht="18.600000000000001" thickBot="1" x14ac:dyDescent="0.4">
      <c r="A10" s="208" t="s">
        <v>116</v>
      </c>
      <c r="B10" s="243">
        <f t="shared" si="2"/>
        <v>44</v>
      </c>
      <c r="C10" s="42">
        <f t="shared" si="3"/>
        <v>0</v>
      </c>
      <c r="D10" s="1355">
        <f t="shared" si="4"/>
        <v>0</v>
      </c>
      <c r="E10" s="741">
        <f t="shared" si="1"/>
        <v>0</v>
      </c>
      <c r="F10" s="552">
        <v>0</v>
      </c>
      <c r="G10" s="541">
        <v>0</v>
      </c>
      <c r="H10" s="540">
        <v>0</v>
      </c>
      <c r="I10" s="46"/>
      <c r="J10" s="51">
        <v>0.5</v>
      </c>
      <c r="K10" s="50"/>
      <c r="L10" s="1136">
        <v>0.5</v>
      </c>
      <c r="M10" s="46"/>
      <c r="N10" s="1152">
        <f t="shared" si="5"/>
        <v>0.32605666666666699</v>
      </c>
      <c r="O10" s="853">
        <v>0</v>
      </c>
      <c r="P10" s="538">
        <v>0.32605666666666699</v>
      </c>
      <c r="Q10" s="537">
        <v>0</v>
      </c>
      <c r="R10" s="31"/>
    </row>
    <row r="11" spans="1:18" ht="18.600000000000001" thickBot="1" x14ac:dyDescent="0.4">
      <c r="A11" s="90" t="s">
        <v>5</v>
      </c>
      <c r="B11" s="243">
        <f t="shared" si="2"/>
        <v>2</v>
      </c>
      <c r="C11" s="42">
        <f t="shared" si="3"/>
        <v>9.7465731314616111</v>
      </c>
      <c r="D11" s="1355">
        <f t="shared" si="4"/>
        <v>4.8378171543862587</v>
      </c>
      <c r="E11" s="741">
        <f t="shared" si="1"/>
        <v>6362.2108267927706</v>
      </c>
      <c r="F11" s="552">
        <v>1011.41449437425</v>
      </c>
      <c r="G11" s="541">
        <v>3248.6045133283201</v>
      </c>
      <c r="H11" s="540">
        <v>2102.1918190902002</v>
      </c>
      <c r="I11" s="46"/>
      <c r="J11" s="51">
        <v>2</v>
      </c>
      <c r="K11" s="50">
        <v>1.9</v>
      </c>
      <c r="L11" s="1136">
        <v>1.8</v>
      </c>
      <c r="M11" s="46"/>
      <c r="N11" s="1152">
        <f t="shared" si="5"/>
        <v>3383.3834402462935</v>
      </c>
      <c r="O11" s="851">
        <v>505.70724718712398</v>
      </c>
      <c r="P11" s="540">
        <v>1709.7918491201699</v>
      </c>
      <c r="Q11" s="539">
        <v>1167.884343939</v>
      </c>
      <c r="R11" s="31"/>
    </row>
    <row r="12" spans="1:18" ht="18.600000000000001" thickBot="1" x14ac:dyDescent="0.4">
      <c r="A12" s="208" t="s">
        <v>175</v>
      </c>
      <c r="B12" s="243">
        <f t="shared" si="2"/>
        <v>44</v>
      </c>
      <c r="C12" s="42">
        <f t="shared" si="3"/>
        <v>0</v>
      </c>
      <c r="D12" s="1355">
        <f t="shared" si="4"/>
        <v>0</v>
      </c>
      <c r="E12" s="741">
        <f t="shared" si="1"/>
        <v>0</v>
      </c>
      <c r="F12" s="552">
        <v>0</v>
      </c>
      <c r="G12" s="541">
        <v>0</v>
      </c>
      <c r="H12" s="540">
        <v>0</v>
      </c>
      <c r="I12" s="46"/>
      <c r="J12" s="49"/>
      <c r="K12" s="48"/>
      <c r="L12" s="1137"/>
      <c r="M12" s="46"/>
      <c r="N12" s="1152">
        <f t="shared" si="5"/>
        <v>0</v>
      </c>
      <c r="O12" s="853">
        <v>0</v>
      </c>
      <c r="P12" s="538">
        <v>0</v>
      </c>
      <c r="Q12" s="537">
        <v>0</v>
      </c>
      <c r="R12" s="31"/>
    </row>
    <row r="13" spans="1:18" ht="18.600000000000001" thickBot="1" x14ac:dyDescent="0.4">
      <c r="A13" s="208" t="s">
        <v>292</v>
      </c>
      <c r="B13" s="243">
        <f t="shared" si="2"/>
        <v>4</v>
      </c>
      <c r="C13" s="42">
        <f t="shared" si="3"/>
        <v>7.5754008245066089</v>
      </c>
      <c r="D13" s="1355">
        <f t="shared" si="4"/>
        <v>3.7601322604198248</v>
      </c>
      <c r="E13" s="741">
        <f t="shared" si="1"/>
        <v>1568.8192000326521</v>
      </c>
      <c r="F13" s="552">
        <v>1391.0350904383899</v>
      </c>
      <c r="G13" s="541">
        <v>166.676103008262</v>
      </c>
      <c r="H13" s="540">
        <v>11.108006586</v>
      </c>
      <c r="I13" s="46"/>
      <c r="J13" s="51">
        <v>1.8181516936671573</v>
      </c>
      <c r="K13" s="50">
        <v>1.9</v>
      </c>
      <c r="L13" s="1136">
        <v>1.8</v>
      </c>
      <c r="M13" s="46"/>
      <c r="N13" s="1152">
        <f t="shared" si="5"/>
        <v>858.20037425755652</v>
      </c>
      <c r="O13" s="851">
        <v>764.30499474636599</v>
      </c>
      <c r="P13" s="540">
        <v>87.724264741190495</v>
      </c>
      <c r="Q13" s="539">
        <v>6.17111477</v>
      </c>
      <c r="R13" s="31"/>
    </row>
    <row r="14" spans="1:18" ht="18.600000000000001" thickBot="1" x14ac:dyDescent="0.4">
      <c r="A14" s="90" t="s">
        <v>104</v>
      </c>
      <c r="B14" s="243">
        <f t="shared" si="2"/>
        <v>6</v>
      </c>
      <c r="C14" s="42">
        <f t="shared" si="3"/>
        <v>6.910398455791162</v>
      </c>
      <c r="D14" s="1355">
        <f t="shared" si="4"/>
        <v>3.4300511310129975</v>
      </c>
      <c r="E14" s="741">
        <f t="shared" si="1"/>
        <v>941.65580713306019</v>
      </c>
      <c r="F14" s="552">
        <v>934.51564790229099</v>
      </c>
      <c r="G14" s="541">
        <v>0.78168265306921303</v>
      </c>
      <c r="H14" s="540">
        <v>6.3584765777000003</v>
      </c>
      <c r="I14" s="46"/>
      <c r="J14" s="51">
        <v>1.8607329842931937</v>
      </c>
      <c r="K14" s="50">
        <v>0.6</v>
      </c>
      <c r="L14" s="1136">
        <v>1.3</v>
      </c>
      <c r="M14" s="46"/>
      <c r="N14" s="1152">
        <f t="shared" si="5"/>
        <v>508.62170794018601</v>
      </c>
      <c r="O14" s="851">
        <v>502.42776768940399</v>
      </c>
      <c r="P14" s="540">
        <v>1.3028044217820201</v>
      </c>
      <c r="Q14" s="539">
        <v>4.8911358290000004</v>
      </c>
      <c r="R14" s="31"/>
    </row>
    <row r="15" spans="1:18" ht="18.600000000000001" thickBot="1" x14ac:dyDescent="0.4">
      <c r="A15" s="208" t="s">
        <v>117</v>
      </c>
      <c r="B15" s="243">
        <f t="shared" si="2"/>
        <v>10</v>
      </c>
      <c r="C15" s="42">
        <f t="shared" si="3"/>
        <v>6.1895336926856821</v>
      </c>
      <c r="D15" s="1355">
        <f t="shared" si="4"/>
        <v>3.0722420970165225</v>
      </c>
      <c r="E15" s="741">
        <f t="shared" si="1"/>
        <v>510.60581218580307</v>
      </c>
      <c r="F15" s="552">
        <v>510.377657052247</v>
      </c>
      <c r="G15" s="541">
        <v>0.22815513355605399</v>
      </c>
      <c r="H15" s="540">
        <v>0</v>
      </c>
      <c r="I15" s="46"/>
      <c r="J15" s="51">
        <v>1.4514375738479715</v>
      </c>
      <c r="K15" s="44">
        <v>0.5</v>
      </c>
      <c r="L15" s="1137"/>
      <c r="M15" s="46"/>
      <c r="N15" s="1152">
        <f t="shared" si="5"/>
        <v>352.44090133762711</v>
      </c>
      <c r="O15" s="851">
        <v>351.98459107051502</v>
      </c>
      <c r="P15" s="540">
        <v>0.45631026711210698</v>
      </c>
      <c r="Q15" s="539">
        <v>0</v>
      </c>
      <c r="R15" s="31"/>
    </row>
    <row r="16" spans="1:18" ht="18.600000000000001" thickBot="1" x14ac:dyDescent="0.4">
      <c r="A16" s="208" t="s">
        <v>9</v>
      </c>
      <c r="B16" s="243">
        <f t="shared" si="2"/>
        <v>11</v>
      </c>
      <c r="C16" s="42">
        <f t="shared" si="3"/>
        <v>5.5655533943911708</v>
      </c>
      <c r="D16" s="1355">
        <f t="shared" si="4"/>
        <v>2.7625227166382058</v>
      </c>
      <c r="E16" s="741">
        <f t="shared" si="1"/>
        <v>282.94316743981096</v>
      </c>
      <c r="F16" s="553">
        <v>155.704510563638</v>
      </c>
      <c r="G16" s="544">
        <v>105.78640478892299</v>
      </c>
      <c r="H16" s="543">
        <v>21.452252087249999</v>
      </c>
      <c r="I16" s="125"/>
      <c r="J16" s="558">
        <v>1.1414343928280359</v>
      </c>
      <c r="K16" s="557">
        <v>1.5</v>
      </c>
      <c r="L16" s="1138">
        <v>0.75</v>
      </c>
      <c r="M16" s="125"/>
      <c r="N16" s="1152">
        <f t="shared" si="5"/>
        <v>235.71017664547279</v>
      </c>
      <c r="O16" s="852">
        <v>136.582904003191</v>
      </c>
      <c r="P16" s="543">
        <v>70.524269859281802</v>
      </c>
      <c r="Q16" s="542">
        <v>28.603002783000001</v>
      </c>
      <c r="R16" s="31"/>
    </row>
    <row r="17" spans="1:18" ht="18.600000000000001" thickBot="1" x14ac:dyDescent="0.4">
      <c r="A17" s="90" t="s">
        <v>99</v>
      </c>
      <c r="B17" s="243">
        <f t="shared" si="2"/>
        <v>7</v>
      </c>
      <c r="C17" s="42">
        <f t="shared" si="3"/>
        <v>6.7617436956895336</v>
      </c>
      <c r="D17" s="1355">
        <f t="shared" si="4"/>
        <v>3.3562647305211786</v>
      </c>
      <c r="E17" s="741">
        <f t="shared" si="1"/>
        <v>834.49431841495402</v>
      </c>
      <c r="F17" s="552">
        <v>834.49431841495402</v>
      </c>
      <c r="G17" s="541">
        <v>0</v>
      </c>
      <c r="H17" s="540">
        <v>0</v>
      </c>
      <c r="I17" s="46"/>
      <c r="J17" s="51">
        <v>2</v>
      </c>
      <c r="K17" s="48"/>
      <c r="L17" s="1137"/>
      <c r="M17" s="46"/>
      <c r="N17" s="1152">
        <f t="shared" si="5"/>
        <v>417.24715920747701</v>
      </c>
      <c r="O17" s="851">
        <v>417.24715920747701</v>
      </c>
      <c r="P17" s="540">
        <v>0</v>
      </c>
      <c r="Q17" s="539">
        <v>0</v>
      </c>
      <c r="R17" s="31"/>
    </row>
    <row r="18" spans="1:18" ht="18.600000000000001" thickBot="1" x14ac:dyDescent="0.4">
      <c r="A18" s="90" t="s">
        <v>428</v>
      </c>
      <c r="B18" s="243">
        <f t="shared" si="2"/>
        <v>9</v>
      </c>
      <c r="C18" s="42">
        <f t="shared" si="3"/>
        <v>6.6650644551654752</v>
      </c>
      <c r="D18" s="1355">
        <f t="shared" si="4"/>
        <v>3.3082769422009379</v>
      </c>
      <c r="E18" s="741">
        <f t="shared" si="1"/>
        <v>770.33031488303311</v>
      </c>
      <c r="F18" s="553">
        <v>406.94442560705602</v>
      </c>
      <c r="G18" s="544">
        <v>311.34751884557699</v>
      </c>
      <c r="H18" s="543">
        <v>52.038370430400001</v>
      </c>
      <c r="I18" s="125"/>
      <c r="J18" s="558">
        <v>1.78</v>
      </c>
      <c r="K18" s="557">
        <v>1.8</v>
      </c>
      <c r="L18" s="1138">
        <v>1.9</v>
      </c>
      <c r="M18" s="125"/>
      <c r="N18" s="1152">
        <f t="shared" si="5"/>
        <v>428.97992364328798</v>
      </c>
      <c r="O18" s="852">
        <v>228.62046382418899</v>
      </c>
      <c r="P18" s="543">
        <v>172.970843803099</v>
      </c>
      <c r="Q18" s="542">
        <v>27.388616016</v>
      </c>
      <c r="R18" s="31"/>
    </row>
    <row r="19" spans="1:18" ht="18.600000000000001" thickBot="1" x14ac:dyDescent="0.4">
      <c r="A19" s="90" t="s">
        <v>109</v>
      </c>
      <c r="B19" s="243">
        <f t="shared" si="2"/>
        <v>27</v>
      </c>
      <c r="C19" s="42">
        <f t="shared" si="3"/>
        <v>3.6094088780762541</v>
      </c>
      <c r="D19" s="1355">
        <f t="shared" si="4"/>
        <v>1.7915691958628728</v>
      </c>
      <c r="E19" s="741">
        <f t="shared" si="1"/>
        <v>25.518389317875201</v>
      </c>
      <c r="F19" s="552">
        <v>25.518389317875201</v>
      </c>
      <c r="G19" s="541">
        <v>0</v>
      </c>
      <c r="H19" s="540">
        <v>0</v>
      </c>
      <c r="I19" s="46"/>
      <c r="J19" s="51">
        <v>1.6</v>
      </c>
      <c r="K19" s="48"/>
      <c r="L19" s="1137"/>
      <c r="M19" s="46"/>
      <c r="N19" s="1152">
        <f t="shared" si="5"/>
        <v>16.012834879227555</v>
      </c>
      <c r="O19" s="851">
        <v>15.948993323671999</v>
      </c>
      <c r="P19" s="540">
        <v>6.3841555555555596E-2</v>
      </c>
      <c r="Q19" s="539">
        <v>0</v>
      </c>
      <c r="R19" s="31"/>
    </row>
    <row r="20" spans="1:18" ht="18.600000000000001" thickBot="1" x14ac:dyDescent="0.4">
      <c r="A20" s="208" t="s">
        <v>112</v>
      </c>
      <c r="B20" s="243">
        <f t="shared" si="2"/>
        <v>18</v>
      </c>
      <c r="C20" s="42">
        <f t="shared" si="3"/>
        <v>4.4411624389622686</v>
      </c>
      <c r="D20" s="1355">
        <f t="shared" si="4"/>
        <v>2.2044190858500818</v>
      </c>
      <c r="E20" s="741">
        <f t="shared" si="1"/>
        <v>80.758787819304032</v>
      </c>
      <c r="F20" s="552">
        <v>67.320771118976793</v>
      </c>
      <c r="G20" s="541">
        <v>7.6979444293272401</v>
      </c>
      <c r="H20" s="540">
        <v>5.7400722709999998</v>
      </c>
      <c r="I20" s="46"/>
      <c r="J20" s="51">
        <v>1.06</v>
      </c>
      <c r="K20" s="50">
        <v>1</v>
      </c>
      <c r="L20" s="1136">
        <v>1</v>
      </c>
      <c r="M20" s="46"/>
      <c r="N20" s="1152">
        <f t="shared" si="5"/>
        <v>76.948178133324248</v>
      </c>
      <c r="O20" s="851">
        <v>63.510161432997002</v>
      </c>
      <c r="P20" s="540">
        <v>7.6979444293272401</v>
      </c>
      <c r="Q20" s="539">
        <v>5.7400722709999998</v>
      </c>
      <c r="R20" s="31"/>
    </row>
    <row r="21" spans="1:18" ht="18.600000000000001" thickBot="1" x14ac:dyDescent="0.4">
      <c r="A21" s="208" t="s">
        <v>118</v>
      </c>
      <c r="B21" s="243">
        <f t="shared" si="2"/>
        <v>5</v>
      </c>
      <c r="C21" s="42">
        <f t="shared" si="3"/>
        <v>7.3585966636466793</v>
      </c>
      <c r="D21" s="1355">
        <f t="shared" si="4"/>
        <v>3.6525191666274228</v>
      </c>
      <c r="E21" s="741">
        <f t="shared" si="1"/>
        <v>1335.1003469351108</v>
      </c>
      <c r="F21" s="552">
        <v>1301.9929255064601</v>
      </c>
      <c r="G21" s="541">
        <v>26.1896343596507</v>
      </c>
      <c r="H21" s="540">
        <v>6.9177870690000001</v>
      </c>
      <c r="I21" s="46"/>
      <c r="J21" s="51">
        <v>1.6546696696696699</v>
      </c>
      <c r="K21" s="50">
        <v>1</v>
      </c>
      <c r="L21" s="1136">
        <v>1</v>
      </c>
      <c r="M21" s="46"/>
      <c r="N21" s="1152">
        <f t="shared" si="5"/>
        <v>822.19404294771766</v>
      </c>
      <c r="O21" s="851">
        <v>789.08662151906697</v>
      </c>
      <c r="P21" s="540">
        <v>26.1896343596507</v>
      </c>
      <c r="Q21" s="539">
        <v>6.9177870690000001</v>
      </c>
      <c r="R21" s="31"/>
    </row>
    <row r="22" spans="1:18" ht="18.600000000000001" thickBot="1" x14ac:dyDescent="0.4">
      <c r="A22" s="90" t="s">
        <v>102</v>
      </c>
      <c r="B22" s="243">
        <f t="shared" si="2"/>
        <v>39</v>
      </c>
      <c r="C22" s="42">
        <f t="shared" si="3"/>
        <v>1.8763705310950614</v>
      </c>
      <c r="D22" s="1355">
        <f t="shared" si="4"/>
        <v>0.93135683905295452</v>
      </c>
      <c r="E22" s="741">
        <f t="shared" si="1"/>
        <v>0.673632174601</v>
      </c>
      <c r="F22" s="552">
        <v>0.673632174601</v>
      </c>
      <c r="G22" s="541">
        <v>0</v>
      </c>
      <c r="H22" s="540">
        <v>0</v>
      </c>
      <c r="I22" s="46"/>
      <c r="J22" s="49">
        <v>1.9</v>
      </c>
      <c r="K22" s="48"/>
      <c r="L22" s="1137"/>
      <c r="M22" s="46"/>
      <c r="N22" s="1152">
        <f t="shared" si="5"/>
        <v>0.36914804978999999</v>
      </c>
      <c r="O22" s="853">
        <v>0.35454324979000001</v>
      </c>
      <c r="P22" s="538">
        <v>1.4604799999999999E-2</v>
      </c>
      <c r="Q22" s="537">
        <v>0</v>
      </c>
      <c r="R22" s="31"/>
    </row>
    <row r="23" spans="1:18" ht="18.600000000000001" thickBot="1" x14ac:dyDescent="0.4">
      <c r="A23" s="90" t="s">
        <v>22</v>
      </c>
      <c r="B23" s="243">
        <f t="shared" si="2"/>
        <v>44</v>
      </c>
      <c r="C23" s="42">
        <f t="shared" si="3"/>
        <v>0</v>
      </c>
      <c r="D23" s="1355">
        <f t="shared" si="4"/>
        <v>0</v>
      </c>
      <c r="E23" s="741">
        <f t="shared" si="1"/>
        <v>0</v>
      </c>
      <c r="F23" s="552">
        <v>0</v>
      </c>
      <c r="G23" s="541">
        <v>0</v>
      </c>
      <c r="H23" s="540">
        <v>0</v>
      </c>
      <c r="I23" s="46"/>
      <c r="J23" s="49"/>
      <c r="K23" s="48"/>
      <c r="L23" s="1137"/>
      <c r="M23" s="46"/>
      <c r="N23" s="1152"/>
      <c r="O23" s="853">
        <v>0</v>
      </c>
      <c r="P23" s="538">
        <v>0</v>
      </c>
      <c r="Q23" s="537">
        <v>0</v>
      </c>
      <c r="R23" s="31"/>
    </row>
    <row r="24" spans="1:18" ht="18.600000000000001" thickBot="1" x14ac:dyDescent="0.4">
      <c r="A24" s="90" t="s">
        <v>13</v>
      </c>
      <c r="B24" s="243">
        <f t="shared" si="2"/>
        <v>44</v>
      </c>
      <c r="C24" s="42">
        <f t="shared" si="3"/>
        <v>0</v>
      </c>
      <c r="D24" s="1355">
        <f t="shared" si="4"/>
        <v>0</v>
      </c>
      <c r="E24" s="741">
        <f t="shared" si="1"/>
        <v>0</v>
      </c>
      <c r="F24" s="552">
        <v>0</v>
      </c>
      <c r="G24" s="541">
        <v>0</v>
      </c>
      <c r="H24" s="540">
        <v>0</v>
      </c>
      <c r="I24" s="46"/>
      <c r="J24" s="49"/>
      <c r="K24" s="48"/>
      <c r="L24" s="1137"/>
      <c r="M24" s="46"/>
      <c r="N24" s="1152">
        <f t="shared" si="5"/>
        <v>4.4099999999999999E-3</v>
      </c>
      <c r="O24" s="853">
        <v>0</v>
      </c>
      <c r="P24" s="538">
        <v>4.4099999999999999E-3</v>
      </c>
      <c r="Q24" s="537">
        <v>0</v>
      </c>
      <c r="R24" s="31"/>
    </row>
    <row r="25" spans="1:18" ht="18.600000000000001" thickBot="1" x14ac:dyDescent="0.4">
      <c r="A25" s="90" t="s">
        <v>6</v>
      </c>
      <c r="B25" s="243">
        <f t="shared" si="2"/>
        <v>42</v>
      </c>
      <c r="C25" s="42">
        <f t="shared" si="3"/>
        <v>1.3637010661504583</v>
      </c>
      <c r="D25" s="1355">
        <f t="shared" si="4"/>
        <v>0.67688779659196685</v>
      </c>
      <c r="E25" s="741">
        <f t="shared" si="1"/>
        <v>0.1144</v>
      </c>
      <c r="F25" s="552">
        <v>0</v>
      </c>
      <c r="G25" s="541">
        <v>0.1144</v>
      </c>
      <c r="H25" s="540">
        <v>0</v>
      </c>
      <c r="I25" s="46"/>
      <c r="J25" s="51">
        <v>0.5</v>
      </c>
      <c r="K25" s="50">
        <v>0.7</v>
      </c>
      <c r="L25" s="1136">
        <v>0.5</v>
      </c>
      <c r="M25" s="46"/>
      <c r="N25" s="1152">
        <f t="shared" si="5"/>
        <v>0.16342857142857101</v>
      </c>
      <c r="O25" s="853">
        <v>0</v>
      </c>
      <c r="P25" s="538">
        <v>0.16342857142857101</v>
      </c>
      <c r="Q25" s="537">
        <v>0</v>
      </c>
      <c r="R25" s="31"/>
    </row>
    <row r="26" spans="1:18" ht="18.600000000000001" thickBot="1" x14ac:dyDescent="0.4">
      <c r="A26" s="90" t="s">
        <v>16</v>
      </c>
      <c r="B26" s="243">
        <f t="shared" si="2"/>
        <v>43</v>
      </c>
      <c r="C26" s="42">
        <f t="shared" si="3"/>
        <v>0.83351239774091856</v>
      </c>
      <c r="D26" s="1355">
        <f t="shared" si="4"/>
        <v>0.41372290771289127</v>
      </c>
      <c r="E26" s="741">
        <f t="shared" si="1"/>
        <v>7.4235000000000004E-3</v>
      </c>
      <c r="F26" s="553">
        <v>0</v>
      </c>
      <c r="G26" s="544">
        <v>7.4235000000000004E-3</v>
      </c>
      <c r="H26" s="543">
        <v>0</v>
      </c>
      <c r="I26" s="125"/>
      <c r="J26" s="558">
        <v>0.5</v>
      </c>
      <c r="K26" s="557">
        <v>0.7</v>
      </c>
      <c r="L26" s="1138">
        <v>0.5</v>
      </c>
      <c r="M26" s="125"/>
      <c r="N26" s="1152">
        <f t="shared" si="5"/>
        <v>1.0605E-2</v>
      </c>
      <c r="O26" s="854">
        <v>0</v>
      </c>
      <c r="P26" s="546">
        <v>1.0605E-2</v>
      </c>
      <c r="Q26" s="545">
        <v>0</v>
      </c>
      <c r="R26" s="31"/>
    </row>
    <row r="27" spans="1:18" ht="18.600000000000001" thickBot="1" x14ac:dyDescent="0.4">
      <c r="A27" s="208" t="s">
        <v>119</v>
      </c>
      <c r="B27" s="243">
        <f t="shared" si="2"/>
        <v>21</v>
      </c>
      <c r="C27" s="42">
        <f t="shared" si="3"/>
        <v>4.2782868806890608</v>
      </c>
      <c r="D27" s="1355">
        <f t="shared" si="4"/>
        <v>2.1235740381377894</v>
      </c>
      <c r="E27" s="741">
        <f t="shared" si="1"/>
        <v>65.620744169802606</v>
      </c>
      <c r="F27" s="552">
        <v>65.620744169802606</v>
      </c>
      <c r="G27" s="541">
        <v>0</v>
      </c>
      <c r="H27" s="540">
        <v>0</v>
      </c>
      <c r="I27" s="46"/>
      <c r="J27" s="51">
        <v>1.476923076923077</v>
      </c>
      <c r="K27" s="48"/>
      <c r="L27" s="1137"/>
      <c r="M27" s="46"/>
      <c r="N27" s="1152">
        <f t="shared" si="5"/>
        <v>44.376354940986282</v>
      </c>
      <c r="O27" s="851">
        <v>44.338340655271999</v>
      </c>
      <c r="P27" s="540">
        <v>3.8014285714285702E-2</v>
      </c>
      <c r="Q27" s="539">
        <v>0</v>
      </c>
      <c r="R27" s="31"/>
    </row>
    <row r="28" spans="1:18" ht="18.600000000000001" thickBot="1" x14ac:dyDescent="0.4">
      <c r="A28" s="208" t="s">
        <v>23</v>
      </c>
      <c r="B28" s="243">
        <f t="shared" si="2"/>
        <v>44</v>
      </c>
      <c r="C28" s="42">
        <f t="shared" si="3"/>
        <v>0</v>
      </c>
      <c r="D28" s="1355">
        <f t="shared" si="4"/>
        <v>0</v>
      </c>
      <c r="E28" s="741">
        <f t="shared" si="1"/>
        <v>0</v>
      </c>
      <c r="F28" s="552">
        <v>0</v>
      </c>
      <c r="G28" s="541">
        <v>0</v>
      </c>
      <c r="H28" s="540">
        <v>0</v>
      </c>
      <c r="I28" s="46"/>
      <c r="J28" s="51"/>
      <c r="K28" s="50">
        <v>0.7</v>
      </c>
      <c r="L28" s="1136">
        <v>0.5</v>
      </c>
      <c r="M28" s="46"/>
      <c r="N28" s="1152">
        <f t="shared" si="5"/>
        <v>0</v>
      </c>
      <c r="O28" s="853">
        <v>0</v>
      </c>
      <c r="P28" s="538">
        <v>0</v>
      </c>
      <c r="Q28" s="537">
        <v>0</v>
      </c>
      <c r="R28" s="31"/>
    </row>
    <row r="29" spans="1:18" ht="18.600000000000001" thickBot="1" x14ac:dyDescent="0.4">
      <c r="A29" s="208" t="s">
        <v>425</v>
      </c>
      <c r="B29" s="243">
        <f t="shared" si="2"/>
        <v>12</v>
      </c>
      <c r="C29" s="42">
        <f t="shared" si="3"/>
        <v>5.5407256284111082</v>
      </c>
      <c r="D29" s="1355">
        <f t="shared" si="4"/>
        <v>2.7501991860451076</v>
      </c>
      <c r="E29" s="741">
        <f t="shared" si="1"/>
        <v>276.00181626308199</v>
      </c>
      <c r="F29" s="552">
        <v>276.00181626308199</v>
      </c>
      <c r="G29" s="541">
        <v>0</v>
      </c>
      <c r="H29" s="540">
        <v>0</v>
      </c>
      <c r="I29" s="46"/>
      <c r="J29" s="51">
        <v>1.1299999999999999</v>
      </c>
      <c r="K29" s="48"/>
      <c r="L29" s="1137"/>
      <c r="M29" s="46"/>
      <c r="N29" s="1152">
        <f t="shared" si="5"/>
        <v>244.33844358379531</v>
      </c>
      <c r="O29" s="851">
        <v>244.24939492308101</v>
      </c>
      <c r="P29" s="540">
        <v>8.9048660714285702E-2</v>
      </c>
      <c r="Q29" s="539">
        <v>0</v>
      </c>
      <c r="R29" s="31"/>
    </row>
    <row r="30" spans="1:18" ht="18.600000000000001" thickBot="1" x14ac:dyDescent="0.4">
      <c r="A30" s="208" t="s">
        <v>120</v>
      </c>
      <c r="B30" s="243">
        <f t="shared" si="2"/>
        <v>29</v>
      </c>
      <c r="C30" s="42">
        <f t="shared" si="3"/>
        <v>3.2990870779938382</v>
      </c>
      <c r="D30" s="1355">
        <f t="shared" si="4"/>
        <v>1.637537608804581</v>
      </c>
      <c r="E30" s="741">
        <f t="shared" si="1"/>
        <v>15.486439230383001</v>
      </c>
      <c r="F30" s="552">
        <v>15.486439230383001</v>
      </c>
      <c r="G30" s="541">
        <v>0</v>
      </c>
      <c r="H30" s="540">
        <v>0</v>
      </c>
      <c r="I30" s="46"/>
      <c r="J30" s="51">
        <v>0.90936170212765954</v>
      </c>
      <c r="K30" s="48"/>
      <c r="L30" s="1137"/>
      <c r="M30" s="46"/>
      <c r="N30" s="1152">
        <f t="shared" si="5"/>
        <v>17.18100449511266</v>
      </c>
      <c r="O30" s="851">
        <v>17.018065088333</v>
      </c>
      <c r="P30" s="540">
        <v>0.16293940677966101</v>
      </c>
      <c r="Q30" s="539">
        <v>0</v>
      </c>
      <c r="R30" s="31"/>
    </row>
    <row r="31" spans="1:18" ht="18.600000000000001" thickBot="1" x14ac:dyDescent="0.4">
      <c r="A31" s="208" t="s">
        <v>113</v>
      </c>
      <c r="B31" s="243">
        <f t="shared" si="2"/>
        <v>17</v>
      </c>
      <c r="C31" s="42">
        <f t="shared" si="3"/>
        <v>4.4892936782077753</v>
      </c>
      <c r="D31" s="1355">
        <f t="shared" si="4"/>
        <v>2.2283095478353463</v>
      </c>
      <c r="E31" s="741">
        <f t="shared" si="1"/>
        <v>85.742736434811405</v>
      </c>
      <c r="F31" s="553">
        <v>85.742736434811405</v>
      </c>
      <c r="G31" s="544">
        <v>0</v>
      </c>
      <c r="H31" s="543">
        <v>0</v>
      </c>
      <c r="I31" s="125"/>
      <c r="J31" s="558">
        <v>1.3667590027700829</v>
      </c>
      <c r="K31" s="559"/>
      <c r="L31" s="1139"/>
      <c r="M31" s="125"/>
      <c r="N31" s="1152">
        <f t="shared" si="5"/>
        <v>62.767207185330186</v>
      </c>
      <c r="O31" s="852">
        <v>62.585939003512003</v>
      </c>
      <c r="P31" s="543">
        <v>0.18126818181818199</v>
      </c>
      <c r="Q31" s="542">
        <v>0</v>
      </c>
      <c r="R31" s="31"/>
    </row>
    <row r="32" spans="1:18" ht="18.600000000000001" thickBot="1" x14ac:dyDescent="0.4">
      <c r="A32" s="208" t="s">
        <v>114</v>
      </c>
      <c r="B32" s="243">
        <f t="shared" si="2"/>
        <v>33</v>
      </c>
      <c r="C32" s="42">
        <f t="shared" si="3"/>
        <v>2.6169088225099846</v>
      </c>
      <c r="D32" s="1355">
        <f t="shared" si="4"/>
        <v>1.2989310419409961</v>
      </c>
      <c r="E32" s="741">
        <f t="shared" si="1"/>
        <v>4.275962276684</v>
      </c>
      <c r="F32" s="552">
        <v>4.275962276684</v>
      </c>
      <c r="G32" s="541">
        <v>0</v>
      </c>
      <c r="H32" s="540">
        <v>0</v>
      </c>
      <c r="I32" s="46"/>
      <c r="J32" s="49">
        <v>1</v>
      </c>
      <c r="K32" s="48"/>
      <c r="L32" s="1137"/>
      <c r="M32" s="46"/>
      <c r="N32" s="1152">
        <f t="shared" si="5"/>
        <v>4.5835904936551861</v>
      </c>
      <c r="O32" s="853">
        <v>4.275962276684</v>
      </c>
      <c r="P32" s="538">
        <v>0.30762821697118597</v>
      </c>
      <c r="Q32" s="537">
        <v>0</v>
      </c>
      <c r="R32" s="31"/>
    </row>
    <row r="33" spans="1:18" ht="18.600000000000001" thickBot="1" x14ac:dyDescent="0.4">
      <c r="A33" s="208" t="s">
        <v>121</v>
      </c>
      <c r="B33" s="243">
        <f t="shared" si="2"/>
        <v>26</v>
      </c>
      <c r="C33" s="42">
        <f t="shared" si="3"/>
        <v>3.7383590120243206</v>
      </c>
      <c r="D33" s="1355">
        <f t="shared" si="4"/>
        <v>1.8555749917113271</v>
      </c>
      <c r="E33" s="741">
        <f t="shared" si="1"/>
        <v>31.0132501296656</v>
      </c>
      <c r="F33" s="552">
        <v>31.0132501296656</v>
      </c>
      <c r="G33" s="541">
        <v>0</v>
      </c>
      <c r="H33" s="540">
        <v>0</v>
      </c>
      <c r="I33" s="46"/>
      <c r="J33" s="51">
        <v>1.6</v>
      </c>
      <c r="K33" s="48"/>
      <c r="L33" s="1137"/>
      <c r="M33" s="46"/>
      <c r="N33" s="1152">
        <f t="shared" si="5"/>
        <v>19.383281331041001</v>
      </c>
      <c r="O33" s="851">
        <v>19.383281331041001</v>
      </c>
      <c r="P33" s="540">
        <v>0</v>
      </c>
      <c r="Q33" s="539">
        <v>0</v>
      </c>
      <c r="R33" s="31"/>
    </row>
    <row r="34" spans="1:18" ht="18.600000000000001" thickBot="1" x14ac:dyDescent="0.4">
      <c r="A34" s="208" t="s">
        <v>308</v>
      </c>
      <c r="B34" s="243">
        <f t="shared" si="2"/>
        <v>23</v>
      </c>
      <c r="C34" s="42">
        <f t="shared" si="3"/>
        <v>4.09448469339734</v>
      </c>
      <c r="D34" s="1355">
        <f t="shared" si="4"/>
        <v>2.0323418314226629</v>
      </c>
      <c r="E34" s="741">
        <f t="shared" si="1"/>
        <v>51.415384794402698</v>
      </c>
      <c r="F34" s="553">
        <v>35.056659589637398</v>
      </c>
      <c r="G34" s="544">
        <v>11.5869817871653</v>
      </c>
      <c r="H34" s="543">
        <v>4.7717434175999998</v>
      </c>
      <c r="I34" s="125"/>
      <c r="J34" s="558">
        <v>1.1916528925619834</v>
      </c>
      <c r="K34" s="557">
        <v>0.8</v>
      </c>
      <c r="L34" s="1138">
        <v>0.8</v>
      </c>
      <c r="M34" s="125"/>
      <c r="N34" s="1152">
        <f t="shared" si="5"/>
        <v>49.907784312374602</v>
      </c>
      <c r="O34" s="852">
        <v>29.459377806418001</v>
      </c>
      <c r="P34" s="543">
        <v>14.4837272339566</v>
      </c>
      <c r="Q34" s="542">
        <v>5.9646792719999997</v>
      </c>
      <c r="R34" s="31"/>
    </row>
    <row r="35" spans="1:18" ht="18.600000000000001" thickBot="1" x14ac:dyDescent="0.4">
      <c r="A35" s="208" t="s">
        <v>290</v>
      </c>
      <c r="B35" s="243">
        <f t="shared" si="2"/>
        <v>24</v>
      </c>
      <c r="C35" s="42">
        <f t="shared" si="3"/>
        <v>3.9608130045718664</v>
      </c>
      <c r="D35" s="1355">
        <f t="shared" si="4"/>
        <v>1.9659924406641613</v>
      </c>
      <c r="E35" s="741">
        <f t="shared" si="1"/>
        <v>42.7572969825478</v>
      </c>
      <c r="F35" s="552">
        <v>42.7572969825478</v>
      </c>
      <c r="G35" s="541">
        <v>0</v>
      </c>
      <c r="H35" s="540">
        <v>0</v>
      </c>
      <c r="I35" s="46"/>
      <c r="J35" s="51">
        <v>1.138175046554935</v>
      </c>
      <c r="K35" s="48"/>
      <c r="L35" s="1140">
        <v>0.75</v>
      </c>
      <c r="M35" s="46"/>
      <c r="N35" s="1152">
        <f t="shared" si="5"/>
        <v>37.528842561884005</v>
      </c>
      <c r="O35" s="851">
        <v>37.506400861884003</v>
      </c>
      <c r="P35" s="540">
        <v>2.2441699999999998E-2</v>
      </c>
      <c r="Q35" s="539">
        <v>0</v>
      </c>
      <c r="R35" s="31"/>
    </row>
    <row r="36" spans="1:18" ht="18.600000000000001" thickBot="1" x14ac:dyDescent="0.4">
      <c r="A36" s="208" t="s">
        <v>442</v>
      </c>
      <c r="B36" s="243">
        <f t="shared" si="2"/>
        <v>44</v>
      </c>
      <c r="C36" s="42">
        <f t="shared" si="3"/>
        <v>0</v>
      </c>
      <c r="D36" s="1355">
        <f t="shared" si="4"/>
        <v>0</v>
      </c>
      <c r="E36" s="741">
        <f t="shared" si="1"/>
        <v>0</v>
      </c>
      <c r="F36" s="552">
        <v>0</v>
      </c>
      <c r="G36" s="541">
        <v>0</v>
      </c>
      <c r="H36" s="540">
        <v>0</v>
      </c>
      <c r="I36" s="46"/>
      <c r="J36" s="51"/>
      <c r="K36" s="48"/>
      <c r="L36" s="1140"/>
      <c r="M36" s="46"/>
      <c r="N36" s="1152"/>
      <c r="O36" s="851">
        <v>17.69494642203</v>
      </c>
      <c r="P36" s="540">
        <v>0</v>
      </c>
      <c r="Q36" s="539">
        <v>0</v>
      </c>
      <c r="R36" s="31"/>
    </row>
    <row r="37" spans="1:18" ht="18.600000000000001" thickBot="1" x14ac:dyDescent="0.4">
      <c r="A37" s="90" t="s">
        <v>98</v>
      </c>
      <c r="B37" s="243">
        <f t="shared" si="2"/>
        <v>1</v>
      </c>
      <c r="C37" s="42">
        <f t="shared" si="3"/>
        <v>10</v>
      </c>
      <c r="D37" s="1355">
        <f t="shared" si="4"/>
        <v>4.9636083258534702</v>
      </c>
      <c r="E37" s="741">
        <f t="shared" si="1"/>
        <v>7337.39147731922</v>
      </c>
      <c r="F37" s="552">
        <v>4100.0422491192903</v>
      </c>
      <c r="G37" s="541">
        <v>1709.78939576993</v>
      </c>
      <c r="H37" s="540">
        <v>1527.5598324299999</v>
      </c>
      <c r="I37" s="46"/>
      <c r="J37" s="51">
        <v>1.9669477982954542</v>
      </c>
      <c r="K37" s="50">
        <v>2</v>
      </c>
      <c r="L37" s="1136">
        <v>2</v>
      </c>
      <c r="M37" s="46"/>
      <c r="N37" s="1152">
        <f t="shared" si="5"/>
        <v>3699.9143344650861</v>
      </c>
      <c r="O37" s="851">
        <v>2081.2397203651199</v>
      </c>
      <c r="P37" s="540">
        <v>854.89469788496604</v>
      </c>
      <c r="Q37" s="539">
        <v>763.77991621499996</v>
      </c>
      <c r="R37" s="31"/>
    </row>
    <row r="38" spans="1:18" ht="18.600000000000001" thickBot="1" x14ac:dyDescent="0.4">
      <c r="A38" s="91" t="s">
        <v>110</v>
      </c>
      <c r="B38" s="243">
        <f t="shared" si="2"/>
        <v>40</v>
      </c>
      <c r="C38" s="42">
        <f t="shared" si="3"/>
        <v>1.6086065735683588</v>
      </c>
      <c r="D38" s="1355">
        <f t="shared" si="4"/>
        <v>0.79844929815865284</v>
      </c>
      <c r="E38" s="741">
        <f t="shared" si="1"/>
        <v>0.286371428571429</v>
      </c>
      <c r="F38" s="552">
        <v>0</v>
      </c>
      <c r="G38" s="541">
        <v>0.286371428571429</v>
      </c>
      <c r="H38" s="540">
        <v>0</v>
      </c>
      <c r="I38" s="46"/>
      <c r="J38" s="49"/>
      <c r="K38" s="50">
        <v>0.5</v>
      </c>
      <c r="L38" s="1137"/>
      <c r="M38" s="46"/>
      <c r="N38" s="1152">
        <f t="shared" si="5"/>
        <v>0.572742857142857</v>
      </c>
      <c r="O38" s="853">
        <v>0</v>
      </c>
      <c r="P38" s="538">
        <v>0.572742857142857</v>
      </c>
      <c r="Q38" s="537">
        <v>0</v>
      </c>
      <c r="R38" s="31"/>
    </row>
    <row r="39" spans="1:18" ht="18.600000000000001" thickBot="1" x14ac:dyDescent="0.4">
      <c r="A39" s="90" t="s">
        <v>95</v>
      </c>
      <c r="B39" s="243">
        <f t="shared" si="2"/>
        <v>44</v>
      </c>
      <c r="C39" s="42">
        <f t="shared" si="3"/>
        <v>0</v>
      </c>
      <c r="D39" s="1355">
        <f t="shared" si="4"/>
        <v>0</v>
      </c>
      <c r="E39" s="741">
        <f t="shared" si="1"/>
        <v>0</v>
      </c>
      <c r="F39" s="552">
        <v>0</v>
      </c>
      <c r="G39" s="541">
        <v>0</v>
      </c>
      <c r="H39" s="540">
        <v>0</v>
      </c>
      <c r="I39" s="46"/>
      <c r="J39" s="49"/>
      <c r="K39" s="48"/>
      <c r="L39" s="1137"/>
      <c r="M39" s="46"/>
      <c r="N39" s="1152">
        <f t="shared" si="5"/>
        <v>0</v>
      </c>
      <c r="O39" s="853">
        <v>0</v>
      </c>
      <c r="P39" s="538">
        <v>0</v>
      </c>
      <c r="Q39" s="537">
        <v>0</v>
      </c>
      <c r="R39" s="31"/>
    </row>
    <row r="40" spans="1:18" ht="18.600000000000001" thickBot="1" x14ac:dyDescent="0.4">
      <c r="A40" s="208" t="s">
        <v>122</v>
      </c>
      <c r="B40" s="243">
        <f t="shared" si="2"/>
        <v>13</v>
      </c>
      <c r="C40" s="42">
        <f t="shared" si="3"/>
        <v>5.489187628937751</v>
      </c>
      <c r="D40" s="1355">
        <f t="shared" si="4"/>
        <v>2.7246177417167292</v>
      </c>
      <c r="E40" s="741">
        <f t="shared" si="1"/>
        <v>262.0380354508867</v>
      </c>
      <c r="F40" s="552">
        <v>261.99978478422003</v>
      </c>
      <c r="G40" s="541">
        <v>3.8250666666666697E-2</v>
      </c>
      <c r="H40" s="540">
        <v>0</v>
      </c>
      <c r="I40" s="46"/>
      <c r="J40" s="51">
        <v>1.1553153153153153</v>
      </c>
      <c r="K40" s="48">
        <v>0.8</v>
      </c>
      <c r="L40" s="1137"/>
      <c r="M40" s="46"/>
      <c r="N40" s="1152">
        <f t="shared" si="5"/>
        <v>225.90969676800532</v>
      </c>
      <c r="O40" s="851">
        <v>225.861883434672</v>
      </c>
      <c r="P40" s="540">
        <v>4.7813333333333298E-2</v>
      </c>
      <c r="Q40" s="539">
        <v>0</v>
      </c>
      <c r="R40" s="31"/>
    </row>
    <row r="41" spans="1:18" ht="18.600000000000001" thickBot="1" x14ac:dyDescent="0.4">
      <c r="A41" s="90" t="s">
        <v>103</v>
      </c>
      <c r="B41" s="243">
        <f t="shared" si="2"/>
        <v>37</v>
      </c>
      <c r="C41" s="42">
        <f t="shared" si="3"/>
        <v>2.1475626147451341</v>
      </c>
      <c r="D41" s="1355">
        <f t="shared" si="4"/>
        <v>1.0659659674840596</v>
      </c>
      <c r="E41" s="741">
        <f t="shared" ref="E41:E71" si="6">SUM(F41:H41)</f>
        <v>1.4260332882857141</v>
      </c>
      <c r="F41" s="553">
        <v>0</v>
      </c>
      <c r="G41" s="544">
        <v>0.19403196428571401</v>
      </c>
      <c r="H41" s="543">
        <v>1.2320013240000001</v>
      </c>
      <c r="I41" s="125"/>
      <c r="J41" s="558"/>
      <c r="K41" s="557">
        <v>0.5</v>
      </c>
      <c r="L41" s="1138">
        <v>0.6</v>
      </c>
      <c r="M41" s="125"/>
      <c r="N41" s="1152">
        <f t="shared" si="5"/>
        <v>2.4413994685714289</v>
      </c>
      <c r="O41" s="854">
        <v>0</v>
      </c>
      <c r="P41" s="546">
        <v>0.38806392857142902</v>
      </c>
      <c r="Q41" s="545">
        <v>2.05333554</v>
      </c>
      <c r="R41" s="31"/>
    </row>
    <row r="42" spans="1:18" ht="18.600000000000001" thickBot="1" x14ac:dyDescent="0.4">
      <c r="A42" s="90" t="s">
        <v>17</v>
      </c>
      <c r="B42" s="243">
        <f t="shared" si="2"/>
        <v>44</v>
      </c>
      <c r="C42" s="42">
        <f t="shared" si="3"/>
        <v>0</v>
      </c>
      <c r="D42" s="1355">
        <f t="shared" si="4"/>
        <v>0</v>
      </c>
      <c r="E42" s="741">
        <f t="shared" si="6"/>
        <v>0</v>
      </c>
      <c r="F42" s="552">
        <v>0</v>
      </c>
      <c r="G42" s="541">
        <v>0</v>
      </c>
      <c r="H42" s="540">
        <v>0</v>
      </c>
      <c r="I42" s="46"/>
      <c r="J42" s="49"/>
      <c r="K42" s="48"/>
      <c r="L42" s="1137"/>
      <c r="M42" s="46"/>
      <c r="N42" s="1152">
        <f t="shared" si="5"/>
        <v>0</v>
      </c>
      <c r="O42" s="853">
        <v>0</v>
      </c>
      <c r="P42" s="538">
        <v>0</v>
      </c>
      <c r="Q42" s="537">
        <v>0</v>
      </c>
      <c r="R42" s="31"/>
    </row>
    <row r="43" spans="1:18" ht="18.600000000000001" thickBot="1" x14ac:dyDescent="0.4">
      <c r="A43" s="208" t="s">
        <v>123</v>
      </c>
      <c r="B43" s="243">
        <f t="shared" si="2"/>
        <v>16</v>
      </c>
      <c r="C43" s="42">
        <f t="shared" si="3"/>
        <v>4.6676051953440671</v>
      </c>
      <c r="D43" s="1355">
        <f t="shared" si="4"/>
        <v>2.3168164009406724</v>
      </c>
      <c r="E43" s="741">
        <f t="shared" si="6"/>
        <v>106.45735232864848</v>
      </c>
      <c r="F43" s="552">
        <v>104.436186212474</v>
      </c>
      <c r="G43" s="541">
        <v>2.02116611617449</v>
      </c>
      <c r="H43" s="540">
        <v>0</v>
      </c>
      <c r="I43" s="46"/>
      <c r="J43" s="51">
        <v>0.8171940298507463</v>
      </c>
      <c r="K43" s="44">
        <v>0.5</v>
      </c>
      <c r="L43" s="1137"/>
      <c r="M43" s="46"/>
      <c r="N43" s="1152">
        <f t="shared" si="5"/>
        <v>131.40353493048798</v>
      </c>
      <c r="O43" s="851">
        <v>127.361202698139</v>
      </c>
      <c r="P43" s="540">
        <v>4.0423322323489801</v>
      </c>
      <c r="Q43" s="539">
        <v>0</v>
      </c>
      <c r="R43" s="31"/>
    </row>
    <row r="44" spans="1:18" ht="18.600000000000001" thickBot="1" x14ac:dyDescent="0.4">
      <c r="A44" s="208" t="s">
        <v>294</v>
      </c>
      <c r="B44" s="243">
        <f t="shared" si="2"/>
        <v>32</v>
      </c>
      <c r="C44" s="42">
        <f t="shared" si="3"/>
        <v>2.7461000527396506</v>
      </c>
      <c r="D44" s="1355">
        <f t="shared" si="4"/>
        <v>1.3630565085405184</v>
      </c>
      <c r="E44" s="741">
        <f t="shared" si="6"/>
        <v>5.5885511079060004</v>
      </c>
      <c r="F44" s="552">
        <v>5.5885511079060004</v>
      </c>
      <c r="G44" s="541">
        <v>0</v>
      </c>
      <c r="H44" s="540">
        <v>0</v>
      </c>
      <c r="I44" s="46"/>
      <c r="J44" s="51">
        <v>0.3</v>
      </c>
      <c r="K44" s="48"/>
      <c r="L44" s="1137"/>
      <c r="M44" s="46"/>
      <c r="N44" s="1152">
        <f t="shared" si="5"/>
        <v>18.695486861020001</v>
      </c>
      <c r="O44" s="853">
        <v>18.628503693020001</v>
      </c>
      <c r="P44" s="538">
        <v>6.6983167999999996E-2</v>
      </c>
      <c r="Q44" s="537">
        <v>0</v>
      </c>
      <c r="R44" s="31"/>
    </row>
    <row r="45" spans="1:18" ht="18.600000000000001" thickBot="1" x14ac:dyDescent="0.4">
      <c r="A45" s="90" t="s">
        <v>7</v>
      </c>
      <c r="B45" s="243">
        <f t="shared" si="2"/>
        <v>28</v>
      </c>
      <c r="C45" s="42">
        <f t="shared" si="3"/>
        <v>3.4393268323190775</v>
      </c>
      <c r="D45" s="1355">
        <f t="shared" si="4"/>
        <v>1.7071471300230214</v>
      </c>
      <c r="E45" s="741">
        <f t="shared" si="6"/>
        <v>19.516151434966041</v>
      </c>
      <c r="F45" s="552">
        <v>9.0343067064617397</v>
      </c>
      <c r="G45" s="541">
        <v>10.481844728504299</v>
      </c>
      <c r="H45" s="540">
        <v>0</v>
      </c>
      <c r="I45" s="46"/>
      <c r="J45" s="51">
        <v>0.62444444444444458</v>
      </c>
      <c r="K45" s="50">
        <v>0.7</v>
      </c>
      <c r="L45" s="1136">
        <v>0.5</v>
      </c>
      <c r="M45" s="46"/>
      <c r="N45" s="1152">
        <f t="shared" si="5"/>
        <v>29.5455263276402</v>
      </c>
      <c r="O45" s="853">
        <v>14.571462429777</v>
      </c>
      <c r="P45" s="538">
        <v>14.9740638978632</v>
      </c>
      <c r="Q45" s="537">
        <v>0</v>
      </c>
      <c r="R45" s="31"/>
    </row>
    <row r="46" spans="1:18" ht="18.600000000000001" thickBot="1" x14ac:dyDescent="0.4">
      <c r="A46" s="208" t="s">
        <v>124</v>
      </c>
      <c r="B46" s="243">
        <f t="shared" si="2"/>
        <v>20</v>
      </c>
      <c r="C46" s="42">
        <f t="shared" si="3"/>
        <v>4.3662328149163532</v>
      </c>
      <c r="D46" s="1355">
        <f t="shared" si="4"/>
        <v>2.1672269552733447</v>
      </c>
      <c r="E46" s="741">
        <f t="shared" si="6"/>
        <v>73.474310697631807</v>
      </c>
      <c r="F46" s="552">
        <v>39.047939425560301</v>
      </c>
      <c r="G46" s="541">
        <v>26.6497900230715</v>
      </c>
      <c r="H46" s="540">
        <v>7.7765812490000004</v>
      </c>
      <c r="I46" s="46"/>
      <c r="J46" s="51">
        <v>0.82000000000000006</v>
      </c>
      <c r="K46" s="50">
        <v>1</v>
      </c>
      <c r="L46" s="1136">
        <v>1</v>
      </c>
      <c r="M46" s="46"/>
      <c r="N46" s="1152">
        <f t="shared" si="5"/>
        <v>82.045809595925505</v>
      </c>
      <c r="O46" s="851">
        <v>47.619438323853998</v>
      </c>
      <c r="P46" s="540">
        <v>26.6497900230715</v>
      </c>
      <c r="Q46" s="539">
        <v>7.7765812490000004</v>
      </c>
      <c r="R46" s="31"/>
    </row>
    <row r="47" spans="1:18" ht="18.600000000000001" thickBot="1" x14ac:dyDescent="0.4">
      <c r="A47" s="208" t="s">
        <v>125</v>
      </c>
      <c r="B47" s="243">
        <f t="shared" si="2"/>
        <v>44</v>
      </c>
      <c r="C47" s="42">
        <f t="shared" si="3"/>
        <v>0</v>
      </c>
      <c r="D47" s="1355">
        <f t="shared" si="4"/>
        <v>0</v>
      </c>
      <c r="E47" s="741">
        <f t="shared" si="6"/>
        <v>0</v>
      </c>
      <c r="F47" s="552">
        <v>0</v>
      </c>
      <c r="G47" s="541">
        <v>0</v>
      </c>
      <c r="H47" s="540">
        <v>0</v>
      </c>
      <c r="I47" s="46"/>
      <c r="J47" s="51">
        <v>0.8</v>
      </c>
      <c r="K47" s="48"/>
      <c r="L47" s="1137"/>
      <c r="M47" s="46"/>
      <c r="N47" s="1152">
        <f t="shared" si="5"/>
        <v>1.31235555555556E-2</v>
      </c>
      <c r="O47" s="853">
        <v>0</v>
      </c>
      <c r="P47" s="538">
        <v>1.31235555555556E-2</v>
      </c>
      <c r="Q47" s="537">
        <v>0</v>
      </c>
      <c r="R47" s="31"/>
    </row>
    <row r="48" spans="1:18" ht="18.600000000000001" thickBot="1" x14ac:dyDescent="0.4">
      <c r="A48" s="208" t="s">
        <v>447</v>
      </c>
      <c r="B48" s="243">
        <f t="shared" si="2"/>
        <v>44</v>
      </c>
      <c r="C48" s="42">
        <f t="shared" si="3"/>
        <v>0</v>
      </c>
      <c r="D48" s="1355">
        <f t="shared" si="4"/>
        <v>0</v>
      </c>
      <c r="E48" s="741">
        <f t="shared" si="6"/>
        <v>0</v>
      </c>
      <c r="F48" s="552">
        <v>0</v>
      </c>
      <c r="G48" s="541">
        <v>0</v>
      </c>
      <c r="H48" s="540">
        <v>0</v>
      </c>
      <c r="I48" s="46"/>
      <c r="J48" s="51"/>
      <c r="K48" s="48"/>
      <c r="L48" s="1137"/>
      <c r="M48" s="46"/>
      <c r="N48" s="1152"/>
      <c r="O48" s="853">
        <v>0</v>
      </c>
      <c r="P48" s="538">
        <v>0.11408291497975701</v>
      </c>
      <c r="Q48" s="537">
        <v>0</v>
      </c>
      <c r="R48" s="31"/>
    </row>
    <row r="49" spans="1:18" ht="18.600000000000001" thickBot="1" x14ac:dyDescent="0.4">
      <c r="A49" s="208" t="s">
        <v>460</v>
      </c>
      <c r="B49" s="243">
        <f t="shared" si="2"/>
        <v>44</v>
      </c>
      <c r="C49" s="42">
        <f t="shared" si="3"/>
        <v>0</v>
      </c>
      <c r="D49" s="1355">
        <f t="shared" si="4"/>
        <v>0</v>
      </c>
      <c r="E49" s="741">
        <f t="shared" si="6"/>
        <v>0</v>
      </c>
      <c r="F49" s="552">
        <v>0</v>
      </c>
      <c r="G49" s="541">
        <v>0</v>
      </c>
      <c r="H49" s="540">
        <v>0</v>
      </c>
      <c r="I49" s="46"/>
      <c r="J49" s="51">
        <v>0.5</v>
      </c>
      <c r="K49" s="50">
        <v>0.7</v>
      </c>
      <c r="L49" s="1136">
        <v>0.5</v>
      </c>
      <c r="M49" s="46"/>
      <c r="N49" s="1152">
        <f t="shared" si="5"/>
        <v>0</v>
      </c>
      <c r="O49" s="853">
        <v>0</v>
      </c>
      <c r="P49" s="538">
        <v>0</v>
      </c>
      <c r="Q49" s="537">
        <v>0</v>
      </c>
      <c r="R49" s="31"/>
    </row>
    <row r="50" spans="1:18" ht="18.600000000000001" thickBot="1" x14ac:dyDescent="0.4">
      <c r="A50" s="208" t="s">
        <v>461</v>
      </c>
      <c r="B50" s="243">
        <f t="shared" si="2"/>
        <v>34</v>
      </c>
      <c r="C50" s="42">
        <f t="shared" si="3"/>
        <v>2.5920820881734534</v>
      </c>
      <c r="D50" s="1355">
        <f t="shared" si="4"/>
        <v>1.2866080234153403</v>
      </c>
      <c r="E50" s="741">
        <f t="shared" si="6"/>
        <v>4.0554098539595334</v>
      </c>
      <c r="F50" s="552">
        <v>3.9823975206262001</v>
      </c>
      <c r="G50" s="541">
        <v>7.3012333333333304E-2</v>
      </c>
      <c r="H50" s="540">
        <v>0</v>
      </c>
      <c r="I50" s="46"/>
      <c r="J50" s="51">
        <v>0.64799999999999991</v>
      </c>
      <c r="K50" s="50">
        <v>0.7</v>
      </c>
      <c r="L50" s="1136">
        <v>0.5</v>
      </c>
      <c r="M50" s="46"/>
      <c r="N50" s="1152">
        <f t="shared" si="5"/>
        <v>6.2310687496813335</v>
      </c>
      <c r="O50" s="853">
        <v>6.1267654163480003</v>
      </c>
      <c r="P50" s="538">
        <v>0.104303333333333</v>
      </c>
      <c r="Q50" s="537">
        <v>0</v>
      </c>
      <c r="R50" s="31"/>
    </row>
    <row r="51" spans="1:18" ht="18.600000000000001" thickBot="1" x14ac:dyDescent="0.4">
      <c r="A51" s="208" t="s">
        <v>448</v>
      </c>
      <c r="B51" s="243">
        <f t="shared" si="2"/>
        <v>44</v>
      </c>
      <c r="C51" s="42">
        <f t="shared" si="3"/>
        <v>0</v>
      </c>
      <c r="D51" s="1355">
        <f t="shared" si="4"/>
        <v>0</v>
      </c>
      <c r="E51" s="741">
        <f t="shared" si="6"/>
        <v>0</v>
      </c>
      <c r="F51" s="552">
        <v>0</v>
      </c>
      <c r="G51" s="541">
        <v>0</v>
      </c>
      <c r="H51" s="540">
        <v>0</v>
      </c>
      <c r="I51" s="46"/>
      <c r="J51" s="51"/>
      <c r="K51" s="50"/>
      <c r="L51" s="1136"/>
      <c r="M51" s="46"/>
      <c r="N51" s="1152"/>
      <c r="O51" s="853">
        <v>0</v>
      </c>
      <c r="P51" s="538">
        <v>0.22432966887400099</v>
      </c>
      <c r="Q51" s="537">
        <v>0</v>
      </c>
      <c r="R51" s="31"/>
    </row>
    <row r="52" spans="1:18" ht="18.600000000000001" thickBot="1" x14ac:dyDescent="0.4">
      <c r="A52" s="208" t="s">
        <v>449</v>
      </c>
      <c r="B52" s="243">
        <f t="shared" si="2"/>
        <v>44</v>
      </c>
      <c r="C52" s="42">
        <f t="shared" si="3"/>
        <v>0</v>
      </c>
      <c r="D52" s="1355">
        <f t="shared" si="4"/>
        <v>0</v>
      </c>
      <c r="E52" s="741">
        <f t="shared" si="6"/>
        <v>0</v>
      </c>
      <c r="F52" s="552">
        <v>0</v>
      </c>
      <c r="G52" s="541">
        <v>0</v>
      </c>
      <c r="H52" s="540">
        <v>0</v>
      </c>
      <c r="I52" s="46"/>
      <c r="J52" s="51"/>
      <c r="K52" s="50"/>
      <c r="L52" s="1136"/>
      <c r="M52" s="46"/>
      <c r="N52" s="1152"/>
      <c r="O52" s="853">
        <v>41.436582750611002</v>
      </c>
      <c r="P52" s="538">
        <v>4.4586926829268299E-2</v>
      </c>
      <c r="Q52" s="537">
        <v>0</v>
      </c>
      <c r="R52" s="31"/>
    </row>
    <row r="53" spans="1:18" ht="18.600000000000001" thickBot="1" x14ac:dyDescent="0.4">
      <c r="A53" s="208" t="s">
        <v>421</v>
      </c>
      <c r="B53" s="243">
        <f t="shared" si="2"/>
        <v>44</v>
      </c>
      <c r="C53" s="42">
        <f t="shared" si="3"/>
        <v>0</v>
      </c>
      <c r="D53" s="1355">
        <f t="shared" si="4"/>
        <v>0</v>
      </c>
      <c r="E53" s="741">
        <f t="shared" si="6"/>
        <v>0</v>
      </c>
      <c r="F53" s="552">
        <v>0</v>
      </c>
      <c r="G53" s="541">
        <v>0</v>
      </c>
      <c r="H53" s="540">
        <v>0</v>
      </c>
      <c r="I53" s="46"/>
      <c r="J53" s="49"/>
      <c r="K53" s="48"/>
      <c r="L53" s="1137"/>
      <c r="M53" s="46"/>
      <c r="N53" s="1152">
        <f t="shared" si="5"/>
        <v>0</v>
      </c>
      <c r="O53" s="853">
        <v>0</v>
      </c>
      <c r="P53" s="538">
        <v>0</v>
      </c>
      <c r="Q53" s="537">
        <v>0</v>
      </c>
      <c r="R53" s="31"/>
    </row>
    <row r="54" spans="1:18" ht="18.600000000000001" thickBot="1" x14ac:dyDescent="0.4">
      <c r="A54" s="91" t="s">
        <v>100</v>
      </c>
      <c r="B54" s="243">
        <f t="shared" si="2"/>
        <v>31</v>
      </c>
      <c r="C54" s="42">
        <f t="shared" si="3"/>
        <v>2.9048727277800404</v>
      </c>
      <c r="D54" s="1355">
        <f t="shared" si="4"/>
        <v>1.441865045715369</v>
      </c>
      <c r="E54" s="741">
        <f t="shared" si="6"/>
        <v>7.6368545653466597</v>
      </c>
      <c r="F54" s="552">
        <v>0</v>
      </c>
      <c r="G54" s="541">
        <v>7.6368545653466597</v>
      </c>
      <c r="H54" s="540">
        <v>0</v>
      </c>
      <c r="I54" s="46"/>
      <c r="J54" s="52">
        <v>0.5</v>
      </c>
      <c r="K54" s="52">
        <v>0.7</v>
      </c>
      <c r="L54" s="1140">
        <v>0.7</v>
      </c>
      <c r="M54" s="46"/>
      <c r="N54" s="1152">
        <f t="shared" si="5"/>
        <v>10.909792236209499</v>
      </c>
      <c r="O54" s="853">
        <v>0</v>
      </c>
      <c r="P54" s="538">
        <v>10.909792236209499</v>
      </c>
      <c r="Q54" s="537">
        <v>0</v>
      </c>
      <c r="R54" s="31"/>
    </row>
    <row r="55" spans="1:18" ht="18.600000000000001" thickBot="1" x14ac:dyDescent="0.4">
      <c r="A55" s="208" t="s">
        <v>462</v>
      </c>
      <c r="B55" s="243">
        <f t="shared" si="2"/>
        <v>38</v>
      </c>
      <c r="C55" s="42">
        <f t="shared" si="3"/>
        <v>2.1422597983679901</v>
      </c>
      <c r="D55" s="1355">
        <f t="shared" si="4"/>
        <v>1.0633338571320532</v>
      </c>
      <c r="E55" s="741">
        <f t="shared" si="6"/>
        <v>1.4065807816670202</v>
      </c>
      <c r="F55" s="553">
        <v>0.38879401941120001</v>
      </c>
      <c r="G55" s="544">
        <v>1.0177867622558201</v>
      </c>
      <c r="H55" s="543">
        <v>0</v>
      </c>
      <c r="I55" s="125"/>
      <c r="J55" s="558">
        <v>0.65</v>
      </c>
      <c r="K55" s="557">
        <v>0.7</v>
      </c>
      <c r="L55" s="1138">
        <v>0.5</v>
      </c>
      <c r="M55" s="125"/>
      <c r="N55" s="1152">
        <f t="shared" si="5"/>
        <v>2.0521257341848802</v>
      </c>
      <c r="O55" s="854">
        <v>0.59814464524800004</v>
      </c>
      <c r="P55" s="546">
        <v>1.4539810889368801</v>
      </c>
      <c r="Q55" s="545">
        <v>0</v>
      </c>
      <c r="R55" s="31"/>
    </row>
    <row r="56" spans="1:18" ht="18.600000000000001" thickBot="1" x14ac:dyDescent="0.4">
      <c r="A56" s="208" t="s">
        <v>176</v>
      </c>
      <c r="B56" s="243">
        <f t="shared" si="2"/>
        <v>44</v>
      </c>
      <c r="C56" s="42">
        <f t="shared" si="3"/>
        <v>0</v>
      </c>
      <c r="D56" s="1355">
        <f t="shared" si="4"/>
        <v>0</v>
      </c>
      <c r="E56" s="741">
        <f t="shared" si="6"/>
        <v>0</v>
      </c>
      <c r="F56" s="552">
        <v>0</v>
      </c>
      <c r="G56" s="541">
        <v>0</v>
      </c>
      <c r="H56" s="540">
        <v>0</v>
      </c>
      <c r="I56" s="46"/>
      <c r="J56" s="49"/>
      <c r="K56" s="48"/>
      <c r="L56" s="1137"/>
      <c r="M56" s="46"/>
      <c r="N56" s="1152">
        <f t="shared" si="5"/>
        <v>0</v>
      </c>
      <c r="O56" s="853">
        <v>0</v>
      </c>
      <c r="P56" s="538">
        <v>0</v>
      </c>
      <c r="Q56" s="537">
        <v>0</v>
      </c>
      <c r="R56" s="31"/>
    </row>
    <row r="57" spans="1:18" ht="18.600000000000001" thickBot="1" x14ac:dyDescent="0.4">
      <c r="A57" s="208" t="s">
        <v>450</v>
      </c>
      <c r="B57" s="243">
        <f t="shared" si="2"/>
        <v>44</v>
      </c>
      <c r="C57" s="42">
        <f t="shared" si="3"/>
        <v>0</v>
      </c>
      <c r="D57" s="1355">
        <f t="shared" si="4"/>
        <v>0</v>
      </c>
      <c r="E57" s="741">
        <f t="shared" si="6"/>
        <v>0</v>
      </c>
      <c r="F57" s="552">
        <v>0</v>
      </c>
      <c r="G57" s="541">
        <v>0</v>
      </c>
      <c r="H57" s="540">
        <v>0</v>
      </c>
      <c r="I57" s="46"/>
      <c r="J57" s="49"/>
      <c r="K57" s="48"/>
      <c r="L57" s="1137"/>
      <c r="M57" s="46"/>
      <c r="N57" s="1152"/>
      <c r="O57" s="853">
        <v>0</v>
      </c>
      <c r="P57" s="538">
        <v>0</v>
      </c>
      <c r="Q57" s="537">
        <v>0</v>
      </c>
      <c r="R57" s="31"/>
    </row>
    <row r="58" spans="1:18" ht="18.600000000000001" thickBot="1" x14ac:dyDescent="0.4">
      <c r="A58" s="208" t="s">
        <v>126</v>
      </c>
      <c r="B58" s="243">
        <f t="shared" si="2"/>
        <v>44</v>
      </c>
      <c r="C58" s="42">
        <f t="shared" si="3"/>
        <v>0</v>
      </c>
      <c r="D58" s="1355">
        <f t="shared" si="4"/>
        <v>0</v>
      </c>
      <c r="E58" s="741">
        <f t="shared" si="6"/>
        <v>0</v>
      </c>
      <c r="F58" s="552">
        <v>0</v>
      </c>
      <c r="G58" s="541">
        <v>0</v>
      </c>
      <c r="H58" s="540">
        <v>0</v>
      </c>
      <c r="I58" s="46"/>
      <c r="J58" s="49"/>
      <c r="K58" s="48"/>
      <c r="L58" s="1137"/>
      <c r="M58" s="46"/>
      <c r="N58" s="1152">
        <f t="shared" si="5"/>
        <v>0</v>
      </c>
      <c r="O58" s="853">
        <v>0</v>
      </c>
      <c r="P58" s="538">
        <v>0</v>
      </c>
      <c r="Q58" s="537">
        <v>0</v>
      </c>
      <c r="R58" s="31"/>
    </row>
    <row r="59" spans="1:18" ht="18.600000000000001" thickBot="1" x14ac:dyDescent="0.4">
      <c r="A59" s="90" t="s">
        <v>96</v>
      </c>
      <c r="B59" s="243">
        <f t="shared" si="2"/>
        <v>44</v>
      </c>
      <c r="C59" s="42">
        <f t="shared" si="3"/>
        <v>0</v>
      </c>
      <c r="D59" s="1355">
        <f t="shared" si="4"/>
        <v>0</v>
      </c>
      <c r="E59" s="741">
        <f t="shared" si="6"/>
        <v>0</v>
      </c>
      <c r="F59" s="553">
        <v>0</v>
      </c>
      <c r="G59" s="544">
        <v>0</v>
      </c>
      <c r="H59" s="543">
        <v>0</v>
      </c>
      <c r="I59" s="125"/>
      <c r="J59" s="560"/>
      <c r="K59" s="559"/>
      <c r="L59" s="1139"/>
      <c r="M59" s="125"/>
      <c r="N59" s="1152">
        <f t="shared" si="5"/>
        <v>0.62007775051613601</v>
      </c>
      <c r="O59" s="854">
        <v>0</v>
      </c>
      <c r="P59" s="546">
        <v>0.62007775051613601</v>
      </c>
      <c r="Q59" s="545">
        <v>0</v>
      </c>
      <c r="R59" s="31"/>
    </row>
    <row r="60" spans="1:18" ht="18.600000000000001" thickBot="1" x14ac:dyDescent="0.4">
      <c r="A60" s="208" t="s">
        <v>127</v>
      </c>
      <c r="B60" s="243">
        <f t="shared" si="2"/>
        <v>22</v>
      </c>
      <c r="C60" s="42">
        <f t="shared" si="3"/>
        <v>4.2473801571754377</v>
      </c>
      <c r="D60" s="1355">
        <f t="shared" si="4"/>
        <v>2.1082331511220822</v>
      </c>
      <c r="E60" s="741">
        <f t="shared" si="6"/>
        <v>63.030099071907202</v>
      </c>
      <c r="F60" s="553">
        <v>63.030099071907202</v>
      </c>
      <c r="G60" s="544">
        <v>0</v>
      </c>
      <c r="H60" s="543">
        <v>0</v>
      </c>
      <c r="I60" s="125"/>
      <c r="J60" s="558">
        <v>1.6</v>
      </c>
      <c r="K60" s="559"/>
      <c r="L60" s="1139"/>
      <c r="M60" s="125"/>
      <c r="N60" s="1152">
        <f t="shared" si="5"/>
        <v>39.397261919942004</v>
      </c>
      <c r="O60" s="852">
        <v>39.393811919942003</v>
      </c>
      <c r="P60" s="543">
        <v>3.4499999999999999E-3</v>
      </c>
      <c r="Q60" s="542">
        <v>0</v>
      </c>
      <c r="R60" s="31"/>
    </row>
    <row r="61" spans="1:18" ht="18.600000000000001" thickBot="1" x14ac:dyDescent="0.4">
      <c r="A61" s="208" t="s">
        <v>178</v>
      </c>
      <c r="B61" s="243">
        <f t="shared" si="2"/>
        <v>44</v>
      </c>
      <c r="C61" s="42">
        <f t="shared" si="3"/>
        <v>0</v>
      </c>
      <c r="D61" s="1355">
        <f t="shared" si="4"/>
        <v>0</v>
      </c>
      <c r="E61" s="741">
        <f t="shared" si="6"/>
        <v>0</v>
      </c>
      <c r="F61" s="552">
        <v>0</v>
      </c>
      <c r="G61" s="541">
        <v>0</v>
      </c>
      <c r="H61" s="540">
        <v>0</v>
      </c>
      <c r="I61" s="46"/>
      <c r="J61" s="49"/>
      <c r="K61" s="48"/>
      <c r="L61" s="1137"/>
      <c r="M61" s="46"/>
      <c r="N61" s="1152">
        <f t="shared" si="5"/>
        <v>0</v>
      </c>
      <c r="O61" s="853">
        <v>0</v>
      </c>
      <c r="P61" s="538">
        <v>0</v>
      </c>
      <c r="Q61" s="537">
        <v>0</v>
      </c>
      <c r="R61" s="31"/>
    </row>
    <row r="62" spans="1:18" ht="18.600000000000001" thickBot="1" x14ac:dyDescent="0.4">
      <c r="A62" s="208" t="s">
        <v>128</v>
      </c>
      <c r="B62" s="243">
        <f t="shared" si="2"/>
        <v>15</v>
      </c>
      <c r="C62" s="42">
        <f t="shared" si="3"/>
        <v>4.9554365537253595</v>
      </c>
      <c r="D62" s="1355">
        <f t="shared" si="4"/>
        <v>2.4596846136309822</v>
      </c>
      <c r="E62" s="741">
        <f t="shared" si="6"/>
        <v>148.440482735503</v>
      </c>
      <c r="F62" s="552">
        <v>148.440482735503</v>
      </c>
      <c r="G62" s="541">
        <v>0</v>
      </c>
      <c r="H62" s="540">
        <v>0</v>
      </c>
      <c r="I62" s="46"/>
      <c r="J62" s="51">
        <v>1.8</v>
      </c>
      <c r="K62" s="48"/>
      <c r="L62" s="1137"/>
      <c r="M62" s="46"/>
      <c r="N62" s="1152">
        <f t="shared" si="5"/>
        <v>82.466934853056998</v>
      </c>
      <c r="O62" s="851">
        <v>82.466934853056998</v>
      </c>
      <c r="P62" s="540">
        <v>0</v>
      </c>
      <c r="Q62" s="539">
        <v>0</v>
      </c>
      <c r="R62" s="31"/>
    </row>
    <row r="63" spans="1:18" ht="18.600000000000001" thickBot="1" x14ac:dyDescent="0.4">
      <c r="A63" s="90" t="s">
        <v>18</v>
      </c>
      <c r="B63" s="243">
        <f t="shared" si="2"/>
        <v>36</v>
      </c>
      <c r="C63" s="42">
        <f t="shared" si="3"/>
        <v>2.447011996948226</v>
      </c>
      <c r="D63" s="1355">
        <f t="shared" si="4"/>
        <v>1.2146009121515542</v>
      </c>
      <c r="E63" s="741">
        <f t="shared" si="6"/>
        <v>2.9449340391469501</v>
      </c>
      <c r="F63" s="552">
        <v>2.8387300391469501</v>
      </c>
      <c r="G63" s="541">
        <v>0.10620400000000001</v>
      </c>
      <c r="H63" s="540">
        <v>0</v>
      </c>
      <c r="I63" s="46"/>
      <c r="J63" s="51">
        <v>0.65</v>
      </c>
      <c r="K63" s="50">
        <v>0.7</v>
      </c>
      <c r="L63" s="1136">
        <v>0.5</v>
      </c>
      <c r="M63" s="46"/>
      <c r="N63" s="1152">
        <f t="shared" si="5"/>
        <v>4.5189969833030004</v>
      </c>
      <c r="O63" s="853">
        <v>4.3672769833030003</v>
      </c>
      <c r="P63" s="538">
        <v>0.15171999999999999</v>
      </c>
      <c r="Q63" s="537">
        <v>0</v>
      </c>
      <c r="R63" s="31"/>
    </row>
    <row r="64" spans="1:18" ht="18.600000000000001" thickBot="1" x14ac:dyDescent="0.4">
      <c r="A64" s="208" t="s">
        <v>129</v>
      </c>
      <c r="B64" s="243">
        <f t="shared" si="2"/>
        <v>14</v>
      </c>
      <c r="C64" s="42">
        <f t="shared" si="3"/>
        <v>5.1442296477140141</v>
      </c>
      <c r="D64" s="1355">
        <f t="shared" si="4"/>
        <v>2.5533941109495544</v>
      </c>
      <c r="E64" s="741">
        <f t="shared" si="6"/>
        <v>182.71148471642999</v>
      </c>
      <c r="F64" s="552">
        <v>182.71148471642999</v>
      </c>
      <c r="G64" s="541">
        <v>0</v>
      </c>
      <c r="H64" s="540">
        <v>0</v>
      </c>
      <c r="I64" s="46"/>
      <c r="J64" s="49">
        <v>1.1000000000000001</v>
      </c>
      <c r="K64" s="48"/>
      <c r="L64" s="1137"/>
      <c r="M64" s="46"/>
      <c r="N64" s="1152">
        <f t="shared" si="5"/>
        <v>166.10134974220901</v>
      </c>
      <c r="O64" s="851">
        <v>166.10134974220901</v>
      </c>
      <c r="P64" s="540">
        <v>0</v>
      </c>
      <c r="Q64" s="539">
        <v>0</v>
      </c>
      <c r="R64" s="31"/>
    </row>
    <row r="65" spans="1:20" ht="18.600000000000001" thickBot="1" x14ac:dyDescent="0.4">
      <c r="A65" s="208" t="s">
        <v>451</v>
      </c>
      <c r="B65" s="243">
        <f t="shared" si="2"/>
        <v>44</v>
      </c>
      <c r="C65" s="42">
        <f t="shared" si="3"/>
        <v>0</v>
      </c>
      <c r="D65" s="1355">
        <f t="shared" si="4"/>
        <v>0</v>
      </c>
      <c r="E65" s="741">
        <f t="shared" si="6"/>
        <v>0</v>
      </c>
      <c r="F65" s="552">
        <v>0</v>
      </c>
      <c r="G65" s="541">
        <v>0</v>
      </c>
      <c r="H65" s="540">
        <v>0</v>
      </c>
      <c r="I65" s="46"/>
      <c r="J65" s="49"/>
      <c r="K65" s="48"/>
      <c r="L65" s="1137"/>
      <c r="M65" s="46"/>
      <c r="N65" s="1152"/>
      <c r="O65" s="851">
        <v>0</v>
      </c>
      <c r="P65" s="540">
        <v>0</v>
      </c>
      <c r="Q65" s="539">
        <v>0</v>
      </c>
      <c r="R65" s="31"/>
    </row>
    <row r="66" spans="1:20" ht="18.600000000000001" thickBot="1" x14ac:dyDescent="0.4">
      <c r="A66" s="208" t="s">
        <v>291</v>
      </c>
      <c r="B66" s="243">
        <f t="shared" si="2"/>
        <v>25</v>
      </c>
      <c r="C66" s="42">
        <f t="shared" si="3"/>
        <v>3.8345323870782666</v>
      </c>
      <c r="D66" s="1355">
        <f t="shared" si="4"/>
        <v>1.9033116882256467</v>
      </c>
      <c r="E66" s="741">
        <f t="shared" si="6"/>
        <v>35.713536583095703</v>
      </c>
      <c r="F66" s="552">
        <v>35.713536583095703</v>
      </c>
      <c r="G66" s="541">
        <v>0</v>
      </c>
      <c r="H66" s="540">
        <v>0</v>
      </c>
      <c r="I66" s="46"/>
      <c r="J66" s="51">
        <v>0.7</v>
      </c>
      <c r="K66" s="48"/>
      <c r="L66" s="1137"/>
      <c r="M66" s="46"/>
      <c r="N66" s="1152">
        <f t="shared" si="5"/>
        <v>51.019337975851002</v>
      </c>
      <c r="O66" s="853">
        <v>51.019337975851002</v>
      </c>
      <c r="P66" s="538">
        <v>0</v>
      </c>
      <c r="Q66" s="537">
        <v>0</v>
      </c>
      <c r="R66" s="31"/>
    </row>
    <row r="67" spans="1:20" ht="18.600000000000001" thickBot="1" x14ac:dyDescent="0.4">
      <c r="A67" s="208" t="s">
        <v>335</v>
      </c>
      <c r="B67" s="243">
        <f t="shared" si="2"/>
        <v>3</v>
      </c>
      <c r="C67" s="42">
        <f t="shared" si="3"/>
        <v>8.400410664692604</v>
      </c>
      <c r="D67" s="1355">
        <f t="shared" si="4"/>
        <v>4.1696348315856495</v>
      </c>
      <c r="E67" s="741">
        <f t="shared" si="6"/>
        <v>2786.0506721033325</v>
      </c>
      <c r="F67" s="553">
        <v>2736.7773365452399</v>
      </c>
      <c r="G67" s="544">
        <v>43.209837841592702</v>
      </c>
      <c r="H67" s="543">
        <v>6.0634977164999997</v>
      </c>
      <c r="I67" s="125"/>
      <c r="J67" s="51">
        <v>1.8972652218782251</v>
      </c>
      <c r="K67" s="50">
        <v>1.1499999999999999</v>
      </c>
      <c r="L67" s="1136">
        <v>1.1499999999999999</v>
      </c>
      <c r="M67" s="125"/>
      <c r="N67" s="1152">
        <f t="shared" si="5"/>
        <v>1483.2555032436574</v>
      </c>
      <c r="O67" s="852">
        <v>1440.40912449749</v>
      </c>
      <c r="P67" s="543">
        <v>37.573772036167497</v>
      </c>
      <c r="Q67" s="537">
        <v>5.2726067099999998</v>
      </c>
      <c r="R67" s="31"/>
      <c r="T67" s="1" t="s">
        <v>31</v>
      </c>
    </row>
    <row r="68" spans="1:20" ht="18.600000000000001" thickBot="1" x14ac:dyDescent="0.4">
      <c r="A68" s="90" t="s">
        <v>111</v>
      </c>
      <c r="B68" s="243">
        <f t="shared" si="2"/>
        <v>19</v>
      </c>
      <c r="C68" s="42">
        <f t="shared" si="3"/>
        <v>4.3790794009400651</v>
      </c>
      <c r="D68" s="1355">
        <f t="shared" si="4"/>
        <v>2.1736034974079534</v>
      </c>
      <c r="E68" s="741">
        <f t="shared" si="6"/>
        <v>74.6833900539105</v>
      </c>
      <c r="F68" s="552">
        <v>60.390254984491897</v>
      </c>
      <c r="G68" s="541">
        <v>14.2931350694186</v>
      </c>
      <c r="H68" s="540">
        <v>0</v>
      </c>
      <c r="I68" s="46"/>
      <c r="J68" s="49">
        <v>1.1527894736842106</v>
      </c>
      <c r="K68" s="52">
        <v>0.7</v>
      </c>
      <c r="L68" s="1136">
        <v>0.5</v>
      </c>
      <c r="M68" s="46"/>
      <c r="N68" s="1152">
        <f t="shared" si="5"/>
        <v>72.932029588789703</v>
      </c>
      <c r="O68" s="851">
        <v>52.513265203906002</v>
      </c>
      <c r="P68" s="540">
        <v>20.418764384883701</v>
      </c>
      <c r="Q68" s="539">
        <v>0</v>
      </c>
      <c r="R68" s="31"/>
    </row>
    <row r="69" spans="1:20" ht="18.600000000000001" thickBot="1" x14ac:dyDescent="0.4">
      <c r="A69" s="90" t="s">
        <v>179</v>
      </c>
      <c r="B69" s="243">
        <f t="shared" si="2"/>
        <v>30</v>
      </c>
      <c r="C69" s="42">
        <f t="shared" si="3"/>
        <v>2.9228134789117233</v>
      </c>
      <c r="D69" s="1355">
        <f t="shared" si="4"/>
        <v>1.4507701318842976</v>
      </c>
      <c r="E69" s="741">
        <f t="shared" si="6"/>
        <v>7.9026005886371102</v>
      </c>
      <c r="F69" s="552">
        <v>5.3113355578946999</v>
      </c>
      <c r="G69" s="541">
        <v>2.0753664127424098</v>
      </c>
      <c r="H69" s="540">
        <v>0.51589861800000003</v>
      </c>
      <c r="I69" s="46"/>
      <c r="J69" s="51">
        <v>1.9</v>
      </c>
      <c r="K69" s="50">
        <v>1.8</v>
      </c>
      <c r="L69" s="1136">
        <v>2</v>
      </c>
      <c r="M69" s="46"/>
      <c r="N69" s="1152">
        <f t="shared" si="5"/>
        <v>4.2063704167254494</v>
      </c>
      <c r="O69" s="853">
        <v>2.7954397673129998</v>
      </c>
      <c r="P69" s="538">
        <v>1.15298134041245</v>
      </c>
      <c r="Q69" s="537">
        <v>0.25794930900000002</v>
      </c>
      <c r="R69" s="31"/>
    </row>
    <row r="70" spans="1:20" ht="18.600000000000001" thickBot="1" x14ac:dyDescent="0.4">
      <c r="A70" s="1270" t="s">
        <v>454</v>
      </c>
      <c r="B70" s="243">
        <f t="shared" si="2"/>
        <v>44</v>
      </c>
      <c r="C70" s="42">
        <f t="shared" si="3"/>
        <v>0</v>
      </c>
      <c r="D70" s="1355">
        <f t="shared" si="4"/>
        <v>0</v>
      </c>
      <c r="E70" s="741">
        <f t="shared" si="6"/>
        <v>0</v>
      </c>
      <c r="F70" s="541">
        <v>0</v>
      </c>
      <c r="G70" s="541">
        <v>0</v>
      </c>
      <c r="H70" s="541">
        <v>0</v>
      </c>
      <c r="I70" s="125"/>
      <c r="J70" s="558"/>
      <c r="K70" s="557"/>
      <c r="L70" s="1138"/>
      <c r="M70" s="125"/>
      <c r="N70" s="1152"/>
      <c r="O70" s="854">
        <v>0</v>
      </c>
      <c r="P70" s="546">
        <v>0.105066666666667</v>
      </c>
      <c r="Q70" s="545">
        <v>0</v>
      </c>
      <c r="R70" s="31"/>
    </row>
    <row r="71" spans="1:20" ht="18.600000000000001" thickBot="1" x14ac:dyDescent="0.4">
      <c r="A71" s="159" t="s">
        <v>180</v>
      </c>
      <c r="B71" s="243">
        <f t="shared" si="2"/>
        <v>8</v>
      </c>
      <c r="C71" s="42">
        <f t="shared" si="3"/>
        <v>6.6925867798470557</v>
      </c>
      <c r="D71" s="1355">
        <f t="shared" si="4"/>
        <v>3.3219379461945713</v>
      </c>
      <c r="E71" s="741">
        <f t="shared" si="6"/>
        <v>788.16932957694007</v>
      </c>
      <c r="F71" s="554">
        <v>288.397055055816</v>
      </c>
      <c r="G71" s="548">
        <v>161.806319780124</v>
      </c>
      <c r="H71" s="547">
        <v>337.96595474100002</v>
      </c>
      <c r="I71" s="313"/>
      <c r="J71" s="1149">
        <v>1</v>
      </c>
      <c r="K71" s="1150">
        <v>1.3</v>
      </c>
      <c r="L71" s="1151">
        <v>1.5</v>
      </c>
      <c r="M71" s="313"/>
      <c r="N71" s="1152">
        <f t="shared" si="5"/>
        <v>638.17409138068001</v>
      </c>
      <c r="O71" s="1155">
        <v>288.397055055816</v>
      </c>
      <c r="P71" s="547">
        <v>124.46639983086401</v>
      </c>
      <c r="Q71" s="1153">
        <v>225.31063649399999</v>
      </c>
      <c r="R71" s="31"/>
    </row>
  </sheetData>
  <sortState ref="A7:R63">
    <sortCondition ref="B7:B63"/>
  </sortState>
  <conditionalFormatting sqref="F7:H71">
    <cfRule type="cellIs" dxfId="5" priority="29" operator="equal">
      <formula>0</formula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5 J27:L30 J32:L33 J35:L40 J42:L54 J56:L58 J61:L66 J68:L70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71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2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J288"/>
  <sheetViews>
    <sheetView tabSelected="1" zoomScaleNormal="100" workbookViewId="0">
      <pane xSplit="1" ySplit="6" topLeftCell="B46" activePane="bottomRight" state="frozen"/>
      <selection activeCell="A22" sqref="A22"/>
      <selection pane="topRight" activeCell="A22" sqref="A22"/>
      <selection pane="bottomLeft" activeCell="A22" sqref="A22"/>
      <selection pane="bottomRight" activeCell="E45" sqref="E45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66" customWidth="1"/>
    <col min="7" max="7" width="13" style="3" customWidth="1"/>
    <col min="8" max="8" width="28.44140625" style="1" customWidth="1"/>
    <col min="9" max="16384" width="8.88671875" style="1"/>
  </cols>
  <sheetData>
    <row r="1" spans="1:8" ht="21" x14ac:dyDescent="0.4">
      <c r="A1" s="108" t="s">
        <v>293</v>
      </c>
      <c r="B1" s="34"/>
      <c r="C1" s="34"/>
      <c r="D1" s="34"/>
      <c r="E1" s="30"/>
      <c r="F1" s="31"/>
      <c r="G1" s="31"/>
      <c r="H1" s="31"/>
    </row>
    <row r="2" spans="1:8" x14ac:dyDescent="0.35">
      <c r="A2" s="397"/>
      <c r="B2" s="34"/>
      <c r="C2" s="34"/>
      <c r="D2" s="34"/>
      <c r="E2" s="30"/>
      <c r="F2" s="31"/>
      <c r="G2" s="31"/>
      <c r="H2" s="31"/>
    </row>
    <row r="3" spans="1:8" x14ac:dyDescent="0.35">
      <c r="A3" s="70"/>
      <c r="B3" s="192"/>
      <c r="C3" s="630"/>
      <c r="D3" s="1142"/>
      <c r="E3" s="214" t="s">
        <v>71</v>
      </c>
      <c r="F3" s="483"/>
      <c r="G3" s="112"/>
      <c r="H3" s="483"/>
    </row>
    <row r="4" spans="1:8" x14ac:dyDescent="0.35">
      <c r="A4" s="70"/>
      <c r="B4" s="439"/>
      <c r="C4" s="214" t="s">
        <v>47</v>
      </c>
      <c r="D4" s="1143"/>
      <c r="E4" s="33" t="s">
        <v>419</v>
      </c>
      <c r="F4" s="439" t="s">
        <v>73</v>
      </c>
      <c r="G4" s="484">
        <v>0.18</v>
      </c>
      <c r="H4" s="1141" t="s">
        <v>72</v>
      </c>
    </row>
    <row r="5" spans="1:8" x14ac:dyDescent="0.35">
      <c r="A5" s="70"/>
      <c r="B5" s="1183"/>
      <c r="C5" s="1133" t="s">
        <v>54</v>
      </c>
      <c r="D5" s="1148"/>
      <c r="E5" s="214" t="s">
        <v>418</v>
      </c>
      <c r="F5" s="33" t="s">
        <v>54</v>
      </c>
      <c r="G5" s="131" t="s">
        <v>420</v>
      </c>
      <c r="H5" s="1141" t="s">
        <v>407</v>
      </c>
    </row>
    <row r="6" spans="1:8" ht="18.600000000000001" thickBot="1" x14ac:dyDescent="0.4">
      <c r="A6" s="565" t="s">
        <v>4</v>
      </c>
      <c r="B6" s="1184" t="s">
        <v>3</v>
      </c>
      <c r="C6" s="37" t="s">
        <v>2</v>
      </c>
      <c r="D6" s="1144"/>
      <c r="E6" s="73" t="s">
        <v>184</v>
      </c>
      <c r="F6" s="37" t="s">
        <v>2</v>
      </c>
      <c r="G6" s="485">
        <f>MAX(G7:G71)</f>
        <v>18.74149026257567</v>
      </c>
      <c r="H6" s="73" t="s">
        <v>74</v>
      </c>
    </row>
    <row r="7" spans="1:8" x14ac:dyDescent="0.35">
      <c r="A7" s="158" t="s">
        <v>10</v>
      </c>
      <c r="B7" s="1170">
        <f>RANK(C7,C$7:C$71)</f>
        <v>39</v>
      </c>
      <c r="C7" s="59">
        <f>SUM(E7:F7)</f>
        <v>1.1851718734724539</v>
      </c>
      <c r="D7" s="1145"/>
      <c r="E7" s="58">
        <v>0</v>
      </c>
      <c r="F7" s="57">
        <f>G7*7/G$6</f>
        <v>1.1851718734724539</v>
      </c>
      <c r="G7" s="56">
        <f>H7^G$4</f>
        <v>3.1731267323089369</v>
      </c>
      <c r="H7" s="9">
        <v>611</v>
      </c>
    </row>
    <row r="8" spans="1:8" x14ac:dyDescent="0.35">
      <c r="A8" s="208" t="s">
        <v>174</v>
      </c>
      <c r="B8" s="1170">
        <f>RANK(C8,C$7:C$71)</f>
        <v>48</v>
      </c>
      <c r="C8" s="59">
        <f t="shared" ref="C8:C71" si="0">SUM(E8:F8)</f>
        <v>0</v>
      </c>
      <c r="D8" s="1146"/>
      <c r="E8" s="60">
        <v>0</v>
      </c>
      <c r="F8" s="57">
        <f t="shared" ref="F8:F40" si="1">G8*7/G$6</f>
        <v>0</v>
      </c>
      <c r="G8" s="56">
        <f t="shared" ref="G8:G40" si="2">H8^G$4</f>
        <v>0</v>
      </c>
      <c r="H8" s="10">
        <v>0</v>
      </c>
    </row>
    <row r="9" spans="1:8" x14ac:dyDescent="0.35">
      <c r="A9" s="208" t="s">
        <v>115</v>
      </c>
      <c r="B9" s="1170">
        <f>RANK(C9,C$7:C$71)</f>
        <v>45</v>
      </c>
      <c r="C9" s="59">
        <f t="shared" si="0"/>
        <v>0.58417980941204062</v>
      </c>
      <c r="D9" s="1146"/>
      <c r="E9" s="60">
        <v>0</v>
      </c>
      <c r="F9" s="57">
        <f t="shared" si="1"/>
        <v>0.58417980941204062</v>
      </c>
      <c r="G9" s="56">
        <f t="shared" si="2"/>
        <v>1.5640571728127244</v>
      </c>
      <c r="H9" s="10">
        <v>12</v>
      </c>
    </row>
    <row r="10" spans="1:8" x14ac:dyDescent="0.35">
      <c r="A10" s="208" t="s">
        <v>116</v>
      </c>
      <c r="B10" s="1170">
        <f>RANK(C10,C$7:C$71)</f>
        <v>11</v>
      </c>
      <c r="C10" s="59">
        <f t="shared" si="0"/>
        <v>4.6536245798412406</v>
      </c>
      <c r="D10" s="1146"/>
      <c r="E10" s="60">
        <v>2.5</v>
      </c>
      <c r="F10" s="57">
        <f t="shared" si="1"/>
        <v>2.153624579841241</v>
      </c>
      <c r="G10" s="56">
        <f t="shared" si="2"/>
        <v>5.7660191560483192</v>
      </c>
      <c r="H10" s="10">
        <v>16869</v>
      </c>
    </row>
    <row r="11" spans="1:8" x14ac:dyDescent="0.35">
      <c r="A11" s="90" t="s">
        <v>5</v>
      </c>
      <c r="B11" s="1170">
        <f>RANK(C11,C$7:C$71)</f>
        <v>14</v>
      </c>
      <c r="C11" s="59">
        <f t="shared" si="0"/>
        <v>4.2860724393700362</v>
      </c>
      <c r="D11" s="1146"/>
      <c r="E11" s="60">
        <v>3</v>
      </c>
      <c r="F11" s="57">
        <f t="shared" si="1"/>
        <v>1.2860724393700358</v>
      </c>
      <c r="G11" s="56">
        <f t="shared" si="2"/>
        <v>3.4432734427743519</v>
      </c>
      <c r="H11" s="10">
        <v>962</v>
      </c>
    </row>
    <row r="12" spans="1:8" x14ac:dyDescent="0.35">
      <c r="A12" s="208" t="s">
        <v>175</v>
      </c>
      <c r="B12" s="1170">
        <f>RANK(C12,C$7:C$71)</f>
        <v>40</v>
      </c>
      <c r="C12" s="59">
        <f t="shared" si="0"/>
        <v>1.0775275143020195</v>
      </c>
      <c r="D12" s="1146"/>
      <c r="E12" s="60">
        <v>0</v>
      </c>
      <c r="F12" s="57">
        <f t="shared" si="1"/>
        <v>1.0775275143020195</v>
      </c>
      <c r="G12" s="56">
        <f t="shared" si="2"/>
        <v>2.8849244881355238</v>
      </c>
      <c r="H12" s="10">
        <v>360</v>
      </c>
    </row>
    <row r="13" spans="1:8" x14ac:dyDescent="0.35">
      <c r="A13" s="208" t="s">
        <v>292</v>
      </c>
      <c r="B13" s="1170">
        <f>RANK(C13,C$7:C$71)</f>
        <v>23</v>
      </c>
      <c r="C13" s="59">
        <f t="shared" si="0"/>
        <v>2.5</v>
      </c>
      <c r="D13" s="1146"/>
      <c r="E13" s="60">
        <v>2.5</v>
      </c>
      <c r="F13" s="57">
        <f t="shared" si="1"/>
        <v>0</v>
      </c>
      <c r="G13" s="56">
        <f t="shared" si="2"/>
        <v>0</v>
      </c>
      <c r="H13" s="10">
        <v>0</v>
      </c>
    </row>
    <row r="14" spans="1:8" x14ac:dyDescent="0.35">
      <c r="A14" s="90" t="s">
        <v>104</v>
      </c>
      <c r="B14" s="1170">
        <f>RANK(C14,C$7:C$71)</f>
        <v>33</v>
      </c>
      <c r="C14" s="59">
        <f t="shared" si="0"/>
        <v>1.9861869644245502</v>
      </c>
      <c r="D14" s="1146"/>
      <c r="E14" s="60">
        <v>0</v>
      </c>
      <c r="F14" s="57">
        <f t="shared" si="1"/>
        <v>1.9861869644245502</v>
      </c>
      <c r="G14" s="56">
        <f t="shared" si="2"/>
        <v>5.3177290933453483</v>
      </c>
      <c r="H14" s="10">
        <v>10760</v>
      </c>
    </row>
    <row r="15" spans="1:8" x14ac:dyDescent="0.35">
      <c r="A15" s="208" t="s">
        <v>117</v>
      </c>
      <c r="B15" s="1170">
        <f>RANK(C15,C$7:C$71)</f>
        <v>23</v>
      </c>
      <c r="C15" s="59">
        <f t="shared" si="0"/>
        <v>2.5</v>
      </c>
      <c r="D15" s="1146"/>
      <c r="E15" s="60">
        <v>2.5</v>
      </c>
      <c r="F15" s="57">
        <f t="shared" si="1"/>
        <v>0</v>
      </c>
      <c r="G15" s="56">
        <f t="shared" si="2"/>
        <v>0</v>
      </c>
      <c r="H15" s="10">
        <v>0</v>
      </c>
    </row>
    <row r="16" spans="1:8" x14ac:dyDescent="0.35">
      <c r="A16" s="208" t="s">
        <v>9</v>
      </c>
      <c r="B16" s="1170">
        <f>RANK(C16,C$7:C$71)</f>
        <v>29</v>
      </c>
      <c r="C16" s="59">
        <f t="shared" si="0"/>
        <v>2</v>
      </c>
      <c r="D16" s="1146"/>
      <c r="E16" s="60">
        <v>2</v>
      </c>
      <c r="F16" s="57">
        <f t="shared" si="1"/>
        <v>0</v>
      </c>
      <c r="G16" s="56">
        <f t="shared" si="2"/>
        <v>0</v>
      </c>
      <c r="H16" s="10">
        <v>0</v>
      </c>
    </row>
    <row r="17" spans="1:10" x14ac:dyDescent="0.35">
      <c r="A17" s="90" t="s">
        <v>99</v>
      </c>
      <c r="B17" s="1170">
        <f>RANK(C17,C$7:C$71)</f>
        <v>48</v>
      </c>
      <c r="C17" s="59">
        <f t="shared" si="0"/>
        <v>0</v>
      </c>
      <c r="D17" s="1146"/>
      <c r="E17" s="60">
        <v>0</v>
      </c>
      <c r="F17" s="57">
        <f t="shared" si="1"/>
        <v>0</v>
      </c>
      <c r="G17" s="56">
        <f t="shared" si="2"/>
        <v>0</v>
      </c>
      <c r="H17" s="10">
        <v>0</v>
      </c>
    </row>
    <row r="18" spans="1:10" x14ac:dyDescent="0.35">
      <c r="A18" s="90" t="s">
        <v>14</v>
      </c>
      <c r="B18" s="1170">
        <f>RANK(C18,C$7:C$71)</f>
        <v>6</v>
      </c>
      <c r="C18" s="59">
        <f t="shared" si="0"/>
        <v>5.6431955339837554</v>
      </c>
      <c r="D18" s="1146"/>
      <c r="E18" s="60">
        <v>3</v>
      </c>
      <c r="F18" s="57">
        <f t="shared" si="1"/>
        <v>2.6431955339837558</v>
      </c>
      <c r="G18" s="56">
        <f t="shared" si="2"/>
        <v>7.076774766034295</v>
      </c>
      <c r="H18" s="10">
        <v>52639</v>
      </c>
    </row>
    <row r="19" spans="1:10" x14ac:dyDescent="0.35">
      <c r="A19" s="90" t="s">
        <v>109</v>
      </c>
      <c r="B19" s="1170">
        <f>RANK(C19,C$7:C$71)</f>
        <v>47</v>
      </c>
      <c r="C19" s="59">
        <f t="shared" si="0"/>
        <v>0.49900916162059628</v>
      </c>
      <c r="D19" s="1146"/>
      <c r="E19" s="60">
        <v>0</v>
      </c>
      <c r="F19" s="57">
        <f t="shared" si="1"/>
        <v>0.49900916162059628</v>
      </c>
      <c r="G19" s="56">
        <f t="shared" si="2"/>
        <v>1.3360250490640651</v>
      </c>
      <c r="H19" s="10">
        <v>5</v>
      </c>
    </row>
    <row r="20" spans="1:10" x14ac:dyDescent="0.35">
      <c r="A20" s="208" t="s">
        <v>112</v>
      </c>
      <c r="B20" s="1170">
        <f>RANK(C20,C$7:C$71)</f>
        <v>23</v>
      </c>
      <c r="C20" s="59">
        <f t="shared" si="0"/>
        <v>2.5</v>
      </c>
      <c r="D20" s="1146"/>
      <c r="E20" s="60">
        <v>2.5</v>
      </c>
      <c r="F20" s="57">
        <f t="shared" si="1"/>
        <v>0</v>
      </c>
      <c r="G20" s="56">
        <f t="shared" si="2"/>
        <v>0</v>
      </c>
      <c r="H20" s="10">
        <v>0</v>
      </c>
      <c r="J20" s="659"/>
    </row>
    <row r="21" spans="1:10" x14ac:dyDescent="0.35">
      <c r="A21" s="208" t="s">
        <v>118</v>
      </c>
      <c r="B21" s="1170">
        <f>RANK(C21,C$7:C$71)</f>
        <v>18</v>
      </c>
      <c r="C21" s="59">
        <f t="shared" si="0"/>
        <v>3.054699239043805</v>
      </c>
      <c r="D21" s="1146"/>
      <c r="E21" s="60">
        <v>2.5</v>
      </c>
      <c r="F21" s="57">
        <f t="shared" si="1"/>
        <v>0.55469923904380503</v>
      </c>
      <c r="G21" s="56">
        <f t="shared" si="2"/>
        <v>1.4851271981710867</v>
      </c>
      <c r="H21" s="10">
        <v>9</v>
      </c>
    </row>
    <row r="22" spans="1:10" x14ac:dyDescent="0.35">
      <c r="A22" s="90" t="s">
        <v>102</v>
      </c>
      <c r="B22" s="1170">
        <f>RANK(C22,C$7:C$71)</f>
        <v>48</v>
      </c>
      <c r="C22" s="59">
        <f t="shared" si="0"/>
        <v>0</v>
      </c>
      <c r="D22" s="1146"/>
      <c r="E22" s="60">
        <v>0</v>
      </c>
      <c r="F22" s="57">
        <f t="shared" si="1"/>
        <v>0</v>
      </c>
      <c r="G22" s="56">
        <f t="shared" si="2"/>
        <v>0</v>
      </c>
      <c r="H22" s="10">
        <v>0</v>
      </c>
    </row>
    <row r="23" spans="1:10" x14ac:dyDescent="0.35">
      <c r="A23" s="90" t="s">
        <v>22</v>
      </c>
      <c r="B23" s="1170">
        <f>RANK(C23,C$7:C$71)</f>
        <v>42</v>
      </c>
      <c r="C23" s="59">
        <f t="shared" si="0"/>
        <v>1</v>
      </c>
      <c r="D23" s="1146"/>
      <c r="E23" s="60">
        <v>1</v>
      </c>
      <c r="F23" s="57">
        <f t="shared" ref="F23" si="3">G23*7/G$6</f>
        <v>0</v>
      </c>
      <c r="G23" s="56">
        <f t="shared" ref="G23" si="4">H23^G$4</f>
        <v>0</v>
      </c>
      <c r="H23" s="10">
        <v>0</v>
      </c>
    </row>
    <row r="24" spans="1:10" x14ac:dyDescent="0.35">
      <c r="A24" s="90" t="s">
        <v>13</v>
      </c>
      <c r="B24" s="1170">
        <f>RANK(C24,C$7:C$71)</f>
        <v>36</v>
      </c>
      <c r="C24" s="59">
        <f t="shared" si="0"/>
        <v>1.4852683221811402</v>
      </c>
      <c r="D24" s="1146"/>
      <c r="E24" s="60">
        <v>0</v>
      </c>
      <c r="F24" s="57">
        <f t="shared" si="1"/>
        <v>1.4852683221811402</v>
      </c>
      <c r="G24" s="56">
        <f t="shared" si="2"/>
        <v>3.9765916853528487</v>
      </c>
      <c r="H24" s="10">
        <v>2141</v>
      </c>
    </row>
    <row r="25" spans="1:10" x14ac:dyDescent="0.35">
      <c r="A25" s="90" t="s">
        <v>6</v>
      </c>
      <c r="B25" s="1170">
        <f>RANK(C25,C$7:C$71)</f>
        <v>8</v>
      </c>
      <c r="C25" s="59">
        <f t="shared" si="0"/>
        <v>5.1148126511596264</v>
      </c>
      <c r="D25" s="1146"/>
      <c r="E25" s="60">
        <v>1.5</v>
      </c>
      <c r="F25" s="57">
        <f t="shared" si="1"/>
        <v>3.6148126511596268</v>
      </c>
      <c r="G25" s="56">
        <f t="shared" si="2"/>
        <v>9.6781394432490693</v>
      </c>
      <c r="H25" s="10">
        <v>299655</v>
      </c>
    </row>
    <row r="26" spans="1:10" x14ac:dyDescent="0.35">
      <c r="A26" s="90" t="s">
        <v>16</v>
      </c>
      <c r="B26" s="1170">
        <f>RANK(C26,C$7:C$71)</f>
        <v>10</v>
      </c>
      <c r="C26" s="59">
        <f t="shared" si="0"/>
        <v>4.7630882431826631</v>
      </c>
      <c r="D26" s="1146"/>
      <c r="E26" s="60">
        <v>1.5</v>
      </c>
      <c r="F26" s="57">
        <f t="shared" si="1"/>
        <v>3.2630882431826636</v>
      </c>
      <c r="G26" s="56">
        <f t="shared" si="2"/>
        <v>8.7364480765047201</v>
      </c>
      <c r="H26" s="10">
        <v>169683</v>
      </c>
    </row>
    <row r="27" spans="1:10" x14ac:dyDescent="0.35">
      <c r="A27" s="208" t="s">
        <v>119</v>
      </c>
      <c r="B27" s="1170">
        <f>RANK(C27,C$7:C$71)</f>
        <v>48</v>
      </c>
      <c r="C27" s="59">
        <f t="shared" si="0"/>
        <v>0</v>
      </c>
      <c r="D27" s="1146"/>
      <c r="E27" s="60">
        <v>0</v>
      </c>
      <c r="F27" s="57">
        <f t="shared" si="1"/>
        <v>0</v>
      </c>
      <c r="G27" s="56">
        <f t="shared" si="2"/>
        <v>0</v>
      </c>
      <c r="H27" s="10">
        <v>0</v>
      </c>
    </row>
    <row r="28" spans="1:10" x14ac:dyDescent="0.35">
      <c r="A28" s="208" t="s">
        <v>23</v>
      </c>
      <c r="B28" s="1170">
        <f>RANK(C28,C$7:C$71)</f>
        <v>48</v>
      </c>
      <c r="C28" s="59">
        <f t="shared" si="0"/>
        <v>0</v>
      </c>
      <c r="D28" s="1146"/>
      <c r="E28" s="60">
        <v>0</v>
      </c>
      <c r="F28" s="57">
        <f t="shared" si="1"/>
        <v>0</v>
      </c>
      <c r="G28" s="56">
        <f t="shared" si="2"/>
        <v>0</v>
      </c>
      <c r="H28" s="10">
        <v>0</v>
      </c>
    </row>
    <row r="29" spans="1:10" x14ac:dyDescent="0.35">
      <c r="A29" s="208" t="s">
        <v>425</v>
      </c>
      <c r="B29" s="1170">
        <f>RANK(C29,C$7:C$71)</f>
        <v>48</v>
      </c>
      <c r="C29" s="59">
        <f t="shared" si="0"/>
        <v>0</v>
      </c>
      <c r="D29" s="1146"/>
      <c r="E29" s="60">
        <v>0</v>
      </c>
      <c r="F29" s="57">
        <f t="shared" si="1"/>
        <v>0</v>
      </c>
      <c r="G29" s="56">
        <f t="shared" si="2"/>
        <v>0</v>
      </c>
      <c r="H29" s="10">
        <v>0</v>
      </c>
    </row>
    <row r="30" spans="1:10" x14ac:dyDescent="0.35">
      <c r="A30" s="208" t="s">
        <v>120</v>
      </c>
      <c r="B30" s="1170">
        <f>RANK(C30,C$7:C$71)</f>
        <v>48</v>
      </c>
      <c r="C30" s="59">
        <f t="shared" si="0"/>
        <v>0</v>
      </c>
      <c r="D30" s="1146"/>
      <c r="E30" s="60">
        <v>0</v>
      </c>
      <c r="F30" s="57">
        <f t="shared" si="1"/>
        <v>0</v>
      </c>
      <c r="G30" s="56">
        <f t="shared" si="2"/>
        <v>0</v>
      </c>
      <c r="H30" s="10">
        <v>0</v>
      </c>
    </row>
    <row r="31" spans="1:10" x14ac:dyDescent="0.35">
      <c r="A31" s="208" t="s">
        <v>113</v>
      </c>
      <c r="B31" s="1170">
        <f>RANK(C31,C$7:C$71)</f>
        <v>45</v>
      </c>
      <c r="C31" s="59">
        <f t="shared" si="0"/>
        <v>0.58417980941204062</v>
      </c>
      <c r="D31" s="1146"/>
      <c r="E31" s="60">
        <v>0</v>
      </c>
      <c r="F31" s="57">
        <f t="shared" si="1"/>
        <v>0.58417980941204062</v>
      </c>
      <c r="G31" s="56">
        <f t="shared" si="2"/>
        <v>1.5640571728127244</v>
      </c>
      <c r="H31" s="10">
        <v>12</v>
      </c>
    </row>
    <row r="32" spans="1:10" x14ac:dyDescent="0.35">
      <c r="A32" s="208" t="s">
        <v>114</v>
      </c>
      <c r="B32" s="1170">
        <f>RANK(C32,C$7:C$71)</f>
        <v>38</v>
      </c>
      <c r="C32" s="59">
        <f t="shared" si="0"/>
        <v>1.2978557054857338</v>
      </c>
      <c r="D32" s="1146"/>
      <c r="E32" s="60">
        <v>0</v>
      </c>
      <c r="F32" s="57">
        <f t="shared" si="1"/>
        <v>1.2978557054857338</v>
      </c>
      <c r="G32" s="56">
        <f t="shared" si="2"/>
        <v>3.4748214380841649</v>
      </c>
      <c r="H32" s="10">
        <v>1012</v>
      </c>
    </row>
    <row r="33" spans="1:8" x14ac:dyDescent="0.35">
      <c r="A33" s="208" t="s">
        <v>121</v>
      </c>
      <c r="B33" s="1170">
        <f>RANK(C33,C$7:C$71)</f>
        <v>48</v>
      </c>
      <c r="C33" s="59">
        <f t="shared" si="0"/>
        <v>0</v>
      </c>
      <c r="D33" s="1146"/>
      <c r="E33" s="60">
        <v>0</v>
      </c>
      <c r="F33" s="57">
        <f t="shared" si="1"/>
        <v>0</v>
      </c>
      <c r="G33" s="56">
        <f t="shared" si="2"/>
        <v>0</v>
      </c>
      <c r="H33" s="10">
        <v>0</v>
      </c>
    </row>
    <row r="34" spans="1:8" x14ac:dyDescent="0.35">
      <c r="A34" s="208" t="s">
        <v>308</v>
      </c>
      <c r="B34" s="1170">
        <f>RANK(C34,C$7:C$71)</f>
        <v>29</v>
      </c>
      <c r="C34" s="59">
        <f t="shared" si="0"/>
        <v>2</v>
      </c>
      <c r="D34" s="1146"/>
      <c r="E34" s="60">
        <v>2</v>
      </c>
      <c r="F34" s="57">
        <f t="shared" si="1"/>
        <v>0</v>
      </c>
      <c r="G34" s="56">
        <f t="shared" si="2"/>
        <v>0</v>
      </c>
      <c r="H34" s="10">
        <v>0</v>
      </c>
    </row>
    <row r="35" spans="1:8" x14ac:dyDescent="0.35">
      <c r="A35" s="208" t="s">
        <v>290</v>
      </c>
      <c r="B35" s="1170">
        <f>RANK(C35,C$7:C$71)</f>
        <v>48</v>
      </c>
      <c r="C35" s="59">
        <f t="shared" si="0"/>
        <v>0</v>
      </c>
      <c r="D35" s="1146"/>
      <c r="E35" s="60">
        <v>0</v>
      </c>
      <c r="F35" s="57">
        <f t="shared" si="1"/>
        <v>0</v>
      </c>
      <c r="G35" s="56">
        <f t="shared" si="2"/>
        <v>0</v>
      </c>
      <c r="H35" s="10">
        <v>0</v>
      </c>
    </row>
    <row r="36" spans="1:8" x14ac:dyDescent="0.35">
      <c r="A36" s="208" t="s">
        <v>442</v>
      </c>
      <c r="B36" s="1170">
        <f>RANK(C36,C$7:C$71)</f>
        <v>48</v>
      </c>
      <c r="C36" s="59">
        <f t="shared" si="0"/>
        <v>0</v>
      </c>
      <c r="D36" s="1146"/>
      <c r="E36" s="60">
        <v>0</v>
      </c>
      <c r="F36" s="57">
        <f t="shared" ref="F36" si="5">G36*7/G$6</f>
        <v>0</v>
      </c>
      <c r="G36" s="56">
        <f t="shared" ref="G36" si="6">H36^G$4</f>
        <v>0</v>
      </c>
      <c r="H36" s="10">
        <v>0</v>
      </c>
    </row>
    <row r="37" spans="1:8" x14ac:dyDescent="0.35">
      <c r="A37" s="90" t="s">
        <v>98</v>
      </c>
      <c r="B37" s="1170">
        <f>RANK(C37,C$7:C$71)</f>
        <v>5</v>
      </c>
      <c r="C37" s="59">
        <f t="shared" si="0"/>
        <v>6.5980471260433582</v>
      </c>
      <c r="D37" s="1146"/>
      <c r="E37" s="60">
        <v>3</v>
      </c>
      <c r="F37" s="57">
        <f t="shared" si="1"/>
        <v>3.5980471260433577</v>
      </c>
      <c r="G37" s="56">
        <f t="shared" si="2"/>
        <v>9.6332521681471377</v>
      </c>
      <c r="H37" s="10">
        <v>292015</v>
      </c>
    </row>
    <row r="38" spans="1:8" x14ac:dyDescent="0.35">
      <c r="A38" s="91" t="s">
        <v>110</v>
      </c>
      <c r="B38" s="1170">
        <f>RANK(C38,C$7:C$71)</f>
        <v>12</v>
      </c>
      <c r="C38" s="59">
        <f t="shared" si="0"/>
        <v>4.4282538111655025</v>
      </c>
      <c r="D38" s="1146"/>
      <c r="E38" s="60">
        <v>2</v>
      </c>
      <c r="F38" s="57">
        <f t="shared" si="1"/>
        <v>2.4282538111655025</v>
      </c>
      <c r="G38" s="56">
        <f t="shared" si="2"/>
        <v>6.5012993081457893</v>
      </c>
      <c r="H38" s="10">
        <v>32860</v>
      </c>
    </row>
    <row r="39" spans="1:8" x14ac:dyDescent="0.35">
      <c r="A39" s="90" t="s">
        <v>95</v>
      </c>
      <c r="B39" s="1170">
        <f>RANK(C39,C$7:C$71)</f>
        <v>35</v>
      </c>
      <c r="C39" s="59">
        <f t="shared" si="0"/>
        <v>1.6561716645136388</v>
      </c>
      <c r="D39" s="1146"/>
      <c r="E39" s="60">
        <v>0</v>
      </c>
      <c r="F39" s="57">
        <f t="shared" si="1"/>
        <v>1.6561716645136388</v>
      </c>
      <c r="G39" s="56">
        <f t="shared" si="2"/>
        <v>4.4341607319480145</v>
      </c>
      <c r="H39" s="10">
        <v>3921</v>
      </c>
    </row>
    <row r="40" spans="1:8" x14ac:dyDescent="0.35">
      <c r="A40" s="208" t="s">
        <v>122</v>
      </c>
      <c r="B40" s="1170">
        <f>RANK(C40,C$7:C$71)</f>
        <v>48</v>
      </c>
      <c r="C40" s="59">
        <f t="shared" si="0"/>
        <v>0</v>
      </c>
      <c r="D40" s="1146"/>
      <c r="E40" s="60">
        <v>0</v>
      </c>
      <c r="F40" s="57">
        <f t="shared" si="1"/>
        <v>0</v>
      </c>
      <c r="G40" s="56">
        <f t="shared" si="2"/>
        <v>0</v>
      </c>
      <c r="H40" s="10">
        <v>0</v>
      </c>
    </row>
    <row r="41" spans="1:8" x14ac:dyDescent="0.35">
      <c r="A41" s="90" t="s">
        <v>103</v>
      </c>
      <c r="B41" s="1170">
        <f>RANK(C41,C$7:C$71)</f>
        <v>4</v>
      </c>
      <c r="C41" s="59">
        <f t="shared" si="0"/>
        <v>6.9564711915295252</v>
      </c>
      <c r="D41" s="1146"/>
      <c r="E41" s="60">
        <v>3</v>
      </c>
      <c r="F41" s="57">
        <f t="shared" ref="F41:F71" si="7">G41*7/G$6</f>
        <v>3.9564711915295248</v>
      </c>
      <c r="G41" s="56">
        <f t="shared" ref="G41:G71" si="8">H41^G$4</f>
        <v>10.59288090145882</v>
      </c>
      <c r="H41" s="10">
        <v>494906</v>
      </c>
    </row>
    <row r="42" spans="1:8" x14ac:dyDescent="0.35">
      <c r="A42" s="90" t="s">
        <v>309</v>
      </c>
      <c r="B42" s="1170">
        <f>RANK(C42,C$7:C$71)</f>
        <v>22</v>
      </c>
      <c r="C42" s="59">
        <f t="shared" si="0"/>
        <v>2.5736743349386773</v>
      </c>
      <c r="D42" s="1146"/>
      <c r="E42" s="60">
        <v>1</v>
      </c>
      <c r="F42" s="57">
        <f t="shared" si="7"/>
        <v>1.5736743349386775</v>
      </c>
      <c r="G42" s="56">
        <f t="shared" si="8"/>
        <v>4.213286032102638</v>
      </c>
      <c r="H42" s="10">
        <v>2952</v>
      </c>
    </row>
    <row r="43" spans="1:8" x14ac:dyDescent="0.35">
      <c r="A43" s="208" t="s">
        <v>123</v>
      </c>
      <c r="B43" s="1170">
        <f>RANK(C43,C$7:C$71)</f>
        <v>29</v>
      </c>
      <c r="C43" s="59">
        <f t="shared" si="0"/>
        <v>2</v>
      </c>
      <c r="D43" s="1146"/>
      <c r="E43" s="60">
        <v>2</v>
      </c>
      <c r="F43" s="57">
        <f t="shared" si="7"/>
        <v>0</v>
      </c>
      <c r="G43" s="56">
        <f t="shared" si="8"/>
        <v>0</v>
      </c>
      <c r="H43" s="10">
        <v>0</v>
      </c>
    </row>
    <row r="44" spans="1:8" x14ac:dyDescent="0.35">
      <c r="A44" s="208" t="s">
        <v>294</v>
      </c>
      <c r="B44" s="1170">
        <f>RANK(C44,C$7:C$71)</f>
        <v>28</v>
      </c>
      <c r="C44" s="59">
        <f t="shared" si="0"/>
        <v>2.008185232946853</v>
      </c>
      <c r="D44" s="1146"/>
      <c r="E44" s="60">
        <v>0</v>
      </c>
      <c r="F44" s="57">
        <f t="shared" si="7"/>
        <v>2.008185232946853</v>
      </c>
      <c r="G44" s="56">
        <f t="shared" si="8"/>
        <v>5.3766262841031001</v>
      </c>
      <c r="H44" s="10">
        <v>11439</v>
      </c>
    </row>
    <row r="45" spans="1:8" x14ac:dyDescent="0.35">
      <c r="A45" s="90" t="s">
        <v>7</v>
      </c>
      <c r="B45" s="1170">
        <f>RANK(C45,C$7:C$71)</f>
        <v>2</v>
      </c>
      <c r="C45" s="59">
        <f t="shared" si="0"/>
        <v>7.246455058400489</v>
      </c>
      <c r="D45" s="1146"/>
      <c r="E45" s="60">
        <v>2</v>
      </c>
      <c r="F45" s="57">
        <f t="shared" si="7"/>
        <v>5.246455058400489</v>
      </c>
      <c r="G45" s="56">
        <f t="shared" si="8"/>
        <v>14.046626627150518</v>
      </c>
      <c r="H45" s="10">
        <v>2373560</v>
      </c>
    </row>
    <row r="46" spans="1:8" x14ac:dyDescent="0.35">
      <c r="A46" s="208" t="s">
        <v>124</v>
      </c>
      <c r="B46" s="1170">
        <f>RANK(C46,C$7:C$71)</f>
        <v>19</v>
      </c>
      <c r="C46" s="59">
        <f t="shared" si="0"/>
        <v>2.8395712727537563</v>
      </c>
      <c r="D46" s="1146"/>
      <c r="E46" s="60">
        <v>2</v>
      </c>
      <c r="F46" s="57">
        <f t="shared" si="7"/>
        <v>0.83957127275375643</v>
      </c>
      <c r="G46" s="56">
        <f t="shared" si="8"/>
        <v>2.2478309761503983</v>
      </c>
      <c r="H46" s="10">
        <v>90</v>
      </c>
    </row>
    <row r="47" spans="1:8" x14ac:dyDescent="0.35">
      <c r="A47" s="208" t="s">
        <v>125</v>
      </c>
      <c r="B47" s="1170">
        <f>RANK(C47,C$7:C$71)</f>
        <v>20</v>
      </c>
      <c r="C47" s="59">
        <f t="shared" si="0"/>
        <v>2.6811591046134167</v>
      </c>
      <c r="D47" s="1146"/>
      <c r="E47" s="60">
        <v>0</v>
      </c>
      <c r="F47" s="57">
        <f t="shared" si="7"/>
        <v>2.6811591046134167</v>
      </c>
      <c r="G47" s="56">
        <f t="shared" si="8"/>
        <v>7.17841675021835</v>
      </c>
      <c r="H47" s="10">
        <v>56979</v>
      </c>
    </row>
    <row r="48" spans="1:8" x14ac:dyDescent="0.35">
      <c r="A48" s="208" t="s">
        <v>447</v>
      </c>
      <c r="B48" s="1170">
        <f>RANK(C48,C$7:C$71)</f>
        <v>26</v>
      </c>
      <c r="C48" s="59">
        <f t="shared" si="0"/>
        <v>2.1748436006599947</v>
      </c>
      <c r="D48" s="1146"/>
      <c r="E48" s="60">
        <v>1</v>
      </c>
      <c r="F48" s="57">
        <f t="shared" ref="F48" si="9">G48*7/G$6</f>
        <v>1.1748436006599949</v>
      </c>
      <c r="G48" s="56">
        <f t="shared" ref="G48" si="10">H48^G$4</f>
        <v>3.1454742716883763</v>
      </c>
      <c r="H48" s="10">
        <v>582</v>
      </c>
    </row>
    <row r="49" spans="1:8" x14ac:dyDescent="0.35">
      <c r="A49" s="208" t="s">
        <v>11</v>
      </c>
      <c r="B49" s="1170">
        <f>RANK(C49,C$7:C$71)</f>
        <v>7</v>
      </c>
      <c r="C49" s="59">
        <f t="shared" si="0"/>
        <v>5.2275511804899297</v>
      </c>
      <c r="D49" s="1146"/>
      <c r="E49" s="60">
        <v>2</v>
      </c>
      <c r="F49" s="57">
        <f t="shared" si="7"/>
        <v>3.2275511804899297</v>
      </c>
      <c r="G49" s="56">
        <f t="shared" si="8"/>
        <v>8.6413027173023753</v>
      </c>
      <c r="H49" s="10">
        <v>159668</v>
      </c>
    </row>
    <row r="50" spans="1:8" x14ac:dyDescent="0.35">
      <c r="A50" s="208" t="s">
        <v>20</v>
      </c>
      <c r="B50" s="1170">
        <f>RANK(C50,C$7:C$71)</f>
        <v>27</v>
      </c>
      <c r="C50" s="59">
        <f t="shared" si="0"/>
        <v>2.0771976302228232</v>
      </c>
      <c r="D50" s="1146"/>
      <c r="E50" s="60">
        <v>0</v>
      </c>
      <c r="F50" s="57">
        <f t="shared" si="7"/>
        <v>2.0771976302228232</v>
      </c>
      <c r="G50" s="56">
        <f t="shared" si="8"/>
        <v>5.5613970228951857</v>
      </c>
      <c r="H50" s="10">
        <v>13801</v>
      </c>
    </row>
    <row r="51" spans="1:8" x14ac:dyDescent="0.35">
      <c r="A51" s="208" t="s">
        <v>448</v>
      </c>
      <c r="B51" s="1170">
        <f>RANK(C51,C$7:C$71)</f>
        <v>37</v>
      </c>
      <c r="C51" s="59">
        <f t="shared" si="0"/>
        <v>1.3586381664699048</v>
      </c>
      <c r="D51" s="1146"/>
      <c r="E51" s="60">
        <v>0</v>
      </c>
      <c r="F51" s="57">
        <f t="shared" ref="F51:F52" si="11">G51*7/G$6</f>
        <v>1.3586381664699048</v>
      </c>
      <c r="G51" s="56">
        <f t="shared" ref="G51:G52" si="12">H51^G$4</f>
        <v>3.6375577096084832</v>
      </c>
      <c r="H51" s="10">
        <v>1305</v>
      </c>
    </row>
    <row r="52" spans="1:8" x14ac:dyDescent="0.35">
      <c r="A52" s="208" t="s">
        <v>449</v>
      </c>
      <c r="B52" s="1170">
        <f>RANK(C52,C$7:C$71)</f>
        <v>48</v>
      </c>
      <c r="C52" s="59">
        <f t="shared" si="0"/>
        <v>0</v>
      </c>
      <c r="D52" s="1146"/>
      <c r="E52" s="60">
        <v>0</v>
      </c>
      <c r="F52" s="57">
        <f t="shared" si="11"/>
        <v>0</v>
      </c>
      <c r="G52" s="56">
        <f t="shared" si="12"/>
        <v>0</v>
      </c>
      <c r="H52" s="10">
        <v>0</v>
      </c>
    </row>
    <row r="53" spans="1:8" x14ac:dyDescent="0.35">
      <c r="A53" s="208" t="s">
        <v>421</v>
      </c>
      <c r="B53" s="1170">
        <f>RANK(C53,C$7:C$71)</f>
        <v>29</v>
      </c>
      <c r="C53" s="59">
        <f t="shared" si="0"/>
        <v>2</v>
      </c>
      <c r="D53" s="1146"/>
      <c r="E53" s="60">
        <v>2</v>
      </c>
      <c r="F53" s="57">
        <f t="shared" si="7"/>
        <v>0</v>
      </c>
      <c r="G53" s="56">
        <f t="shared" si="8"/>
        <v>0</v>
      </c>
      <c r="H53" s="10">
        <v>0</v>
      </c>
    </row>
    <row r="54" spans="1:8" x14ac:dyDescent="0.35">
      <c r="A54" s="91" t="s">
        <v>100</v>
      </c>
      <c r="B54" s="1170">
        <f>RANK(C54,C$7:C$71)</f>
        <v>1</v>
      </c>
      <c r="C54" s="59">
        <f t="shared" si="0"/>
        <v>10</v>
      </c>
      <c r="D54" s="1146"/>
      <c r="E54" s="60">
        <v>3</v>
      </c>
      <c r="F54" s="57">
        <f t="shared" si="7"/>
        <v>7</v>
      </c>
      <c r="G54" s="56">
        <f t="shared" si="8"/>
        <v>18.74149026257567</v>
      </c>
      <c r="H54" s="10">
        <v>11779694</v>
      </c>
    </row>
    <row r="55" spans="1:8" x14ac:dyDescent="0.35">
      <c r="A55" s="208" t="s">
        <v>15</v>
      </c>
      <c r="B55" s="1170">
        <f>RANK(C55,C$7:C$71)</f>
        <v>9</v>
      </c>
      <c r="C55" s="59">
        <f t="shared" si="0"/>
        <v>4.7752314988646791</v>
      </c>
      <c r="D55" s="1146"/>
      <c r="E55" s="60">
        <v>2</v>
      </c>
      <c r="F55" s="57">
        <f t="shared" si="7"/>
        <v>2.7752314988646787</v>
      </c>
      <c r="G55" s="56">
        <f t="shared" si="8"/>
        <v>7.4302820160522369</v>
      </c>
      <c r="H55" s="10">
        <v>69011</v>
      </c>
    </row>
    <row r="56" spans="1:8" x14ac:dyDescent="0.35">
      <c r="A56" s="208" t="s">
        <v>176</v>
      </c>
      <c r="B56" s="1170">
        <f>RANK(C56,C$7:C$71)</f>
        <v>43</v>
      </c>
      <c r="C56" s="59">
        <f t="shared" si="0"/>
        <v>0.7982621228296366</v>
      </c>
      <c r="D56" s="1146"/>
      <c r="E56" s="60">
        <v>0</v>
      </c>
      <c r="F56" s="57">
        <f t="shared" si="7"/>
        <v>0.7982621228296366</v>
      </c>
      <c r="G56" s="56">
        <f t="shared" si="8"/>
        <v>2.1372316859992311</v>
      </c>
      <c r="H56" s="10">
        <v>68</v>
      </c>
    </row>
    <row r="57" spans="1:8" x14ac:dyDescent="0.35">
      <c r="A57" s="208" t="s">
        <v>126</v>
      </c>
      <c r="B57" s="1170">
        <f>RANK(C57,C$7:C$71)</f>
        <v>15</v>
      </c>
      <c r="C57" s="59">
        <f t="shared" si="0"/>
        <v>3.8160249694496433</v>
      </c>
      <c r="D57" s="1146"/>
      <c r="E57" s="60">
        <v>2</v>
      </c>
      <c r="F57" s="57">
        <f t="shared" si="7"/>
        <v>1.8160249694496433</v>
      </c>
      <c r="G57" s="56">
        <f t="shared" si="8"/>
        <v>4.8621448973621106</v>
      </c>
      <c r="H57" s="10">
        <v>6542</v>
      </c>
    </row>
    <row r="58" spans="1:8" x14ac:dyDescent="0.35">
      <c r="A58" s="90" t="s">
        <v>96</v>
      </c>
      <c r="B58" s="1170">
        <f>RANK(C58,C$7:C$71)</f>
        <v>17</v>
      </c>
      <c r="C58" s="59">
        <f t="shared" si="0"/>
        <v>3.403082182990194</v>
      </c>
      <c r="D58" s="1146"/>
      <c r="E58" s="60">
        <v>0</v>
      </c>
      <c r="F58" s="57">
        <f t="shared" si="7"/>
        <v>3.403082182990194</v>
      </c>
      <c r="G58" s="56">
        <f t="shared" si="8"/>
        <v>9.1112616564650679</v>
      </c>
      <c r="H58" s="10">
        <v>214285</v>
      </c>
    </row>
    <row r="59" spans="1:8" x14ac:dyDescent="0.35">
      <c r="A59" s="90" t="s">
        <v>450</v>
      </c>
      <c r="B59" s="1170">
        <f>RANK(C59,C$7:C$71)</f>
        <v>34</v>
      </c>
      <c r="C59" s="59">
        <f t="shared" ref="C59" si="13">SUM(E59:F59)</f>
        <v>1.8908469644147663</v>
      </c>
      <c r="D59" s="1146"/>
      <c r="E59" s="60">
        <v>0</v>
      </c>
      <c r="F59" s="57">
        <f t="shared" ref="F59" si="14">G59*7/G$6</f>
        <v>1.8908469644147663</v>
      </c>
      <c r="G59" s="56">
        <f t="shared" ref="G59" si="15">H59^G$4</f>
        <v>5.0624699959428723</v>
      </c>
      <c r="H59" s="10">
        <v>8187</v>
      </c>
    </row>
    <row r="60" spans="1:8" x14ac:dyDescent="0.35">
      <c r="A60" s="208" t="s">
        <v>127</v>
      </c>
      <c r="B60" s="1170">
        <f>RANK(C60,C$7:C$71)</f>
        <v>48</v>
      </c>
      <c r="C60" s="59">
        <f t="shared" si="0"/>
        <v>0</v>
      </c>
      <c r="D60" s="1146"/>
      <c r="E60" s="60">
        <v>0</v>
      </c>
      <c r="F60" s="57">
        <f t="shared" si="7"/>
        <v>0</v>
      </c>
      <c r="G60" s="56">
        <f t="shared" si="8"/>
        <v>0</v>
      </c>
      <c r="H60" s="10">
        <v>0</v>
      </c>
    </row>
    <row r="61" spans="1:8" x14ac:dyDescent="0.35">
      <c r="A61" s="208" t="s">
        <v>178</v>
      </c>
      <c r="B61" s="1170">
        <f>RANK(C61,C$7:C$71)</f>
        <v>41</v>
      </c>
      <c r="C61" s="59">
        <f t="shared" si="0"/>
        <v>1.0421128049010688</v>
      </c>
      <c r="D61" s="1146"/>
      <c r="E61" s="60">
        <v>0</v>
      </c>
      <c r="F61" s="57">
        <f t="shared" si="7"/>
        <v>1.0421128049010688</v>
      </c>
      <c r="G61" s="56">
        <f t="shared" si="8"/>
        <v>2.7901067122226859</v>
      </c>
      <c r="H61" s="10">
        <v>299</v>
      </c>
    </row>
    <row r="62" spans="1:8" x14ac:dyDescent="0.35">
      <c r="A62" s="208" t="s">
        <v>128</v>
      </c>
      <c r="B62" s="1170">
        <f>RANK(C62,C$7:C$71)</f>
        <v>48</v>
      </c>
      <c r="C62" s="59">
        <f t="shared" si="0"/>
        <v>0</v>
      </c>
      <c r="D62" s="1146"/>
      <c r="E62" s="60">
        <v>0</v>
      </c>
      <c r="F62" s="57">
        <f t="shared" si="7"/>
        <v>0</v>
      </c>
      <c r="G62" s="56">
        <f t="shared" si="8"/>
        <v>0</v>
      </c>
      <c r="H62" s="10">
        <v>0</v>
      </c>
    </row>
    <row r="63" spans="1:8" x14ac:dyDescent="0.35">
      <c r="A63" s="90" t="s">
        <v>18</v>
      </c>
      <c r="B63" s="1170">
        <f>RANK(C63,C$7:C$71)</f>
        <v>21</v>
      </c>
      <c r="C63" s="59">
        <f t="shared" si="0"/>
        <v>2.5841798094120407</v>
      </c>
      <c r="D63" s="1146"/>
      <c r="E63" s="60">
        <v>2</v>
      </c>
      <c r="F63" s="57">
        <f t="shared" si="7"/>
        <v>0.58417980941204062</v>
      </c>
      <c r="G63" s="56">
        <f t="shared" si="8"/>
        <v>1.5640571728127244</v>
      </c>
      <c r="H63" s="10">
        <v>12</v>
      </c>
    </row>
    <row r="64" spans="1:8" x14ac:dyDescent="0.35">
      <c r="A64" s="208" t="s">
        <v>129</v>
      </c>
      <c r="B64" s="1170">
        <f>RANK(C64,C$7:C$71)</f>
        <v>48</v>
      </c>
      <c r="C64" s="59">
        <f t="shared" si="0"/>
        <v>0</v>
      </c>
      <c r="D64" s="1146"/>
      <c r="E64" s="60">
        <v>0</v>
      </c>
      <c r="F64" s="57">
        <f t="shared" si="7"/>
        <v>0</v>
      </c>
      <c r="G64" s="56">
        <f t="shared" si="8"/>
        <v>0</v>
      </c>
      <c r="H64" s="10">
        <v>0</v>
      </c>
    </row>
    <row r="65" spans="1:8" x14ac:dyDescent="0.35">
      <c r="A65" s="208" t="s">
        <v>451</v>
      </c>
      <c r="B65" s="1170">
        <f>RANK(C65,C$7:C$71)</f>
        <v>48</v>
      </c>
      <c r="C65" s="59">
        <f t="shared" si="0"/>
        <v>0</v>
      </c>
      <c r="D65" s="1146"/>
      <c r="E65" s="60">
        <v>0</v>
      </c>
      <c r="F65" s="57">
        <f t="shared" ref="F65" si="16">G65*7/G$6</f>
        <v>0</v>
      </c>
      <c r="G65" s="56">
        <f t="shared" ref="G65" si="17">H65^G$4</f>
        <v>0</v>
      </c>
      <c r="H65" s="10">
        <v>0</v>
      </c>
    </row>
    <row r="66" spans="1:8" x14ac:dyDescent="0.35">
      <c r="A66" s="208" t="s">
        <v>291</v>
      </c>
      <c r="B66" s="1170">
        <f>RANK(C66,C$7:C$71)</f>
        <v>48</v>
      </c>
      <c r="C66" s="59">
        <f t="shared" si="0"/>
        <v>0</v>
      </c>
      <c r="D66" s="1146"/>
      <c r="E66" s="60">
        <v>0</v>
      </c>
      <c r="F66" s="57">
        <f t="shared" si="7"/>
        <v>0</v>
      </c>
      <c r="G66" s="56">
        <f t="shared" si="8"/>
        <v>0</v>
      </c>
      <c r="H66" s="10">
        <v>0</v>
      </c>
    </row>
    <row r="67" spans="1:8" x14ac:dyDescent="0.35">
      <c r="A67" s="208" t="s">
        <v>335</v>
      </c>
      <c r="B67" s="1170">
        <f>RANK(C67,C$7:C$71)</f>
        <v>48</v>
      </c>
      <c r="C67" s="59">
        <f t="shared" si="0"/>
        <v>0</v>
      </c>
      <c r="D67" s="1146"/>
      <c r="E67" s="60">
        <v>0</v>
      </c>
      <c r="F67" s="57">
        <f t="shared" si="7"/>
        <v>0</v>
      </c>
      <c r="G67" s="56">
        <f t="shared" si="8"/>
        <v>0</v>
      </c>
      <c r="H67" s="10">
        <v>0</v>
      </c>
    </row>
    <row r="68" spans="1:8" x14ac:dyDescent="0.35">
      <c r="A68" s="90" t="s">
        <v>111</v>
      </c>
      <c r="B68" s="1170">
        <f>RANK(C68,C$7:C$71)</f>
        <v>13</v>
      </c>
      <c r="C68" s="59">
        <f t="shared" si="0"/>
        <v>4.4185624773641772</v>
      </c>
      <c r="D68" s="1146"/>
      <c r="E68" s="60">
        <v>2</v>
      </c>
      <c r="F68" s="57">
        <f t="shared" si="7"/>
        <v>2.4185624773641772</v>
      </c>
      <c r="G68" s="56">
        <f t="shared" si="8"/>
        <v>6.4753521598502308</v>
      </c>
      <c r="H68" s="10">
        <v>32138</v>
      </c>
    </row>
    <row r="69" spans="1:8" x14ac:dyDescent="0.35">
      <c r="A69" s="90" t="s">
        <v>179</v>
      </c>
      <c r="B69" s="1170">
        <f>RANK(C69,C$7:C$71)</f>
        <v>16</v>
      </c>
      <c r="C69" s="59">
        <f t="shared" si="0"/>
        <v>3.7979308041851887</v>
      </c>
      <c r="D69" s="1146"/>
      <c r="E69" s="60">
        <v>2</v>
      </c>
      <c r="F69" s="57">
        <f t="shared" si="7"/>
        <v>1.7979308041851889</v>
      </c>
      <c r="G69" s="56">
        <f t="shared" si="8"/>
        <v>4.8137003799173659</v>
      </c>
      <c r="H69" s="10">
        <v>6188</v>
      </c>
    </row>
    <row r="70" spans="1:8" x14ac:dyDescent="0.35">
      <c r="A70" s="1270" t="s">
        <v>454</v>
      </c>
      <c r="B70" s="1170">
        <f>RANK(C70,C$7:C$71)</f>
        <v>44</v>
      </c>
      <c r="C70" s="59">
        <f t="shared" si="0"/>
        <v>0.77330602240743562</v>
      </c>
      <c r="D70" s="1281"/>
      <c r="E70" s="1282">
        <v>0</v>
      </c>
      <c r="F70" s="57">
        <f t="shared" ref="F70" si="18">G70*7/G$6</f>
        <v>0.77330602240743562</v>
      </c>
      <c r="G70" s="56">
        <f t="shared" ref="G70" si="19">H70^G$4</f>
        <v>2.0704153269914398</v>
      </c>
      <c r="H70" s="1283">
        <v>57</v>
      </c>
    </row>
    <row r="71" spans="1:8" ht="18.600000000000001" thickBot="1" x14ac:dyDescent="0.4">
      <c r="A71" s="159" t="s">
        <v>180</v>
      </c>
      <c r="B71" s="1170">
        <f>RANK(C71,C$7:C$71)</f>
        <v>3</v>
      </c>
      <c r="C71" s="59">
        <f t="shared" si="0"/>
        <v>7.1808768012513919</v>
      </c>
      <c r="D71" s="1147"/>
      <c r="E71" s="61">
        <v>3</v>
      </c>
      <c r="F71" s="57">
        <f t="shared" si="7"/>
        <v>4.1808768012513919</v>
      </c>
      <c r="G71" s="56">
        <f t="shared" si="8"/>
        <v>11.193694551383068</v>
      </c>
      <c r="H71" s="11">
        <v>672404</v>
      </c>
    </row>
    <row r="72" spans="1:8" s="62" customFormat="1" x14ac:dyDescent="0.35">
      <c r="B72" s="65"/>
      <c r="C72" s="65"/>
      <c r="D72" s="65"/>
      <c r="E72" s="63"/>
      <c r="F72" s="64"/>
      <c r="G72" s="63"/>
    </row>
    <row r="73" spans="1:8" s="62" customFormat="1" x14ac:dyDescent="0.35">
      <c r="B73" s="65"/>
      <c r="C73" s="65"/>
      <c r="D73" s="65"/>
      <c r="E73" s="63"/>
      <c r="F73" s="64"/>
      <c r="G73" s="63"/>
    </row>
    <row r="74" spans="1:8" s="62" customFormat="1" x14ac:dyDescent="0.35">
      <c r="B74" s="65"/>
      <c r="C74" s="65"/>
      <c r="D74" s="65"/>
      <c r="E74" s="63"/>
      <c r="F74" s="64"/>
      <c r="G74" s="63"/>
    </row>
    <row r="75" spans="1:8" s="62" customFormat="1" x14ac:dyDescent="0.35">
      <c r="B75" s="65"/>
      <c r="C75" s="65"/>
      <c r="D75" s="65"/>
      <c r="E75" s="63"/>
      <c r="F75" s="64"/>
      <c r="G75" s="63"/>
    </row>
    <row r="76" spans="1:8" s="62" customFormat="1" x14ac:dyDescent="0.35">
      <c r="B76" s="65"/>
      <c r="C76" s="65"/>
      <c r="D76" s="65"/>
      <c r="E76" s="63"/>
      <c r="F76" s="64"/>
      <c r="G76" s="63"/>
    </row>
    <row r="77" spans="1:8" s="62" customFormat="1" x14ac:dyDescent="0.35">
      <c r="B77" s="65"/>
      <c r="C77" s="65"/>
      <c r="D77" s="65"/>
      <c r="E77" s="63"/>
      <c r="F77" s="64"/>
      <c r="G77" s="63"/>
    </row>
    <row r="78" spans="1:8" s="62" customFormat="1" x14ac:dyDescent="0.35">
      <c r="B78" s="65"/>
      <c r="C78" s="65"/>
      <c r="D78" s="65"/>
      <c r="E78" s="63"/>
      <c r="F78" s="64"/>
      <c r="G78" s="63"/>
    </row>
    <row r="79" spans="1:8" s="62" customFormat="1" x14ac:dyDescent="0.35">
      <c r="B79" s="65"/>
      <c r="C79" s="65"/>
      <c r="D79" s="65"/>
      <c r="E79" s="63"/>
      <c r="F79" s="64"/>
      <c r="G79" s="63"/>
    </row>
    <row r="80" spans="1:8" s="62" customFormat="1" x14ac:dyDescent="0.35">
      <c r="B80" s="65"/>
      <c r="C80" s="65"/>
      <c r="D80" s="65"/>
      <c r="E80" s="63"/>
      <c r="F80" s="64"/>
      <c r="G80" s="63"/>
    </row>
    <row r="81" spans="2:7" s="62" customFormat="1" x14ac:dyDescent="0.35">
      <c r="B81" s="65"/>
      <c r="C81" s="65"/>
      <c r="D81" s="65"/>
      <c r="E81" s="63"/>
      <c r="F81" s="64"/>
      <c r="G81" s="63"/>
    </row>
    <row r="82" spans="2:7" s="62" customFormat="1" x14ac:dyDescent="0.35">
      <c r="B82" s="65"/>
      <c r="C82" s="65"/>
      <c r="D82" s="65"/>
      <c r="E82" s="63"/>
      <c r="F82" s="64"/>
      <c r="G82" s="63"/>
    </row>
    <row r="83" spans="2:7" s="62" customFormat="1" x14ac:dyDescent="0.35">
      <c r="B83" s="65"/>
      <c r="C83" s="65"/>
      <c r="D83" s="65"/>
      <c r="E83" s="63"/>
      <c r="F83" s="64"/>
      <c r="G83" s="63"/>
    </row>
    <row r="84" spans="2:7" s="62" customFormat="1" x14ac:dyDescent="0.35">
      <c r="B84" s="65"/>
      <c r="C84" s="65"/>
      <c r="D84" s="65"/>
      <c r="E84" s="63"/>
      <c r="F84" s="64"/>
      <c r="G84" s="63"/>
    </row>
    <row r="85" spans="2:7" s="62" customFormat="1" x14ac:dyDescent="0.35">
      <c r="B85" s="65"/>
      <c r="C85" s="65"/>
      <c r="D85" s="65"/>
      <c r="E85" s="63"/>
      <c r="F85" s="64"/>
      <c r="G85" s="63"/>
    </row>
    <row r="86" spans="2:7" s="62" customFormat="1" x14ac:dyDescent="0.35">
      <c r="B86" s="65"/>
      <c r="C86" s="65"/>
      <c r="D86" s="65"/>
      <c r="E86" s="63"/>
      <c r="F86" s="64"/>
      <c r="G86" s="63"/>
    </row>
    <row r="87" spans="2:7" s="62" customFormat="1" x14ac:dyDescent="0.35">
      <c r="B87" s="65"/>
      <c r="C87" s="65"/>
      <c r="D87" s="65"/>
      <c r="E87" s="63"/>
      <c r="F87" s="64"/>
      <c r="G87" s="63"/>
    </row>
    <row r="88" spans="2:7" s="62" customFormat="1" x14ac:dyDescent="0.35">
      <c r="B88" s="65"/>
      <c r="C88" s="65"/>
      <c r="D88" s="65"/>
      <c r="E88" s="63"/>
      <c r="F88" s="64"/>
      <c r="G88" s="63"/>
    </row>
    <row r="89" spans="2:7" s="62" customFormat="1" x14ac:dyDescent="0.35">
      <c r="B89" s="65"/>
      <c r="C89" s="65"/>
      <c r="D89" s="65"/>
      <c r="E89" s="63"/>
      <c r="F89" s="64"/>
      <c r="G89" s="63"/>
    </row>
    <row r="90" spans="2:7" s="62" customFormat="1" x14ac:dyDescent="0.35">
      <c r="B90" s="65"/>
      <c r="C90" s="65"/>
      <c r="D90" s="65"/>
      <c r="E90" s="63"/>
      <c r="F90" s="64"/>
      <c r="G90" s="63"/>
    </row>
    <row r="91" spans="2:7" s="62" customFormat="1" x14ac:dyDescent="0.35">
      <c r="B91" s="65"/>
      <c r="C91" s="65"/>
      <c r="D91" s="65"/>
      <c r="E91" s="63"/>
      <c r="F91" s="64"/>
      <c r="G91" s="63"/>
    </row>
    <row r="92" spans="2:7" s="62" customFormat="1" x14ac:dyDescent="0.35">
      <c r="B92" s="65"/>
      <c r="C92" s="65"/>
      <c r="D92" s="65"/>
      <c r="E92" s="63"/>
      <c r="F92" s="64"/>
      <c r="G92" s="63"/>
    </row>
    <row r="93" spans="2:7" s="62" customFormat="1" x14ac:dyDescent="0.35">
      <c r="B93" s="65"/>
      <c r="C93" s="65"/>
      <c r="D93" s="65"/>
      <c r="E93" s="63"/>
      <c r="F93" s="64"/>
      <c r="G93" s="63"/>
    </row>
    <row r="94" spans="2:7" s="62" customFormat="1" x14ac:dyDescent="0.35">
      <c r="B94" s="65"/>
      <c r="C94" s="65"/>
      <c r="D94" s="65"/>
      <c r="E94" s="63"/>
      <c r="F94" s="64"/>
      <c r="G94" s="63"/>
    </row>
    <row r="95" spans="2:7" s="62" customFormat="1" x14ac:dyDescent="0.35">
      <c r="B95" s="65"/>
      <c r="C95" s="65"/>
      <c r="D95" s="65"/>
      <c r="E95" s="63"/>
      <c r="F95" s="64"/>
      <c r="G95" s="63"/>
    </row>
    <row r="96" spans="2:7" s="62" customFormat="1" x14ac:dyDescent="0.35">
      <c r="B96" s="65"/>
      <c r="C96" s="65"/>
      <c r="D96" s="65"/>
      <c r="E96" s="63"/>
      <c r="F96" s="64"/>
      <c r="G96" s="63"/>
    </row>
    <row r="97" spans="2:7" s="62" customFormat="1" x14ac:dyDescent="0.35">
      <c r="B97" s="65"/>
      <c r="C97" s="65"/>
      <c r="D97" s="65"/>
      <c r="E97" s="63"/>
      <c r="F97" s="64"/>
      <c r="G97" s="63"/>
    </row>
    <row r="98" spans="2:7" s="62" customFormat="1" x14ac:dyDescent="0.35">
      <c r="B98" s="65"/>
      <c r="C98" s="65"/>
      <c r="D98" s="65"/>
      <c r="E98" s="63"/>
      <c r="F98" s="64"/>
      <c r="G98" s="63"/>
    </row>
    <row r="99" spans="2:7" s="62" customFormat="1" x14ac:dyDescent="0.35">
      <c r="B99" s="65"/>
      <c r="C99" s="65"/>
      <c r="D99" s="65"/>
      <c r="E99" s="63"/>
      <c r="F99" s="64"/>
      <c r="G99" s="63"/>
    </row>
    <row r="100" spans="2:7" s="62" customFormat="1" x14ac:dyDescent="0.35">
      <c r="B100" s="65"/>
      <c r="C100" s="65"/>
      <c r="D100" s="65"/>
      <c r="E100" s="63"/>
      <c r="F100" s="64"/>
      <c r="G100" s="63"/>
    </row>
    <row r="101" spans="2:7" s="62" customFormat="1" x14ac:dyDescent="0.35">
      <c r="B101" s="65"/>
      <c r="C101" s="65"/>
      <c r="D101" s="65"/>
      <c r="E101" s="63"/>
      <c r="F101" s="64"/>
      <c r="G101" s="63"/>
    </row>
    <row r="102" spans="2:7" s="62" customFormat="1" x14ac:dyDescent="0.35">
      <c r="B102" s="65"/>
      <c r="C102" s="65"/>
      <c r="D102" s="65"/>
      <c r="E102" s="63"/>
      <c r="F102" s="64"/>
      <c r="G102" s="63"/>
    </row>
    <row r="103" spans="2:7" s="62" customFormat="1" x14ac:dyDescent="0.35">
      <c r="B103" s="65"/>
      <c r="C103" s="65"/>
      <c r="D103" s="65"/>
      <c r="E103" s="63"/>
      <c r="F103" s="64"/>
      <c r="G103" s="63"/>
    </row>
    <row r="104" spans="2:7" s="62" customFormat="1" x14ac:dyDescent="0.35">
      <c r="B104" s="65"/>
      <c r="C104" s="65"/>
      <c r="D104" s="65"/>
      <c r="E104" s="63"/>
      <c r="F104" s="64"/>
      <c r="G104" s="63"/>
    </row>
    <row r="105" spans="2:7" s="62" customFormat="1" x14ac:dyDescent="0.35">
      <c r="B105" s="65"/>
      <c r="C105" s="65"/>
      <c r="D105" s="65"/>
      <c r="E105" s="63"/>
      <c r="F105" s="64"/>
      <c r="G105" s="63"/>
    </row>
    <row r="106" spans="2:7" s="62" customFormat="1" x14ac:dyDescent="0.35">
      <c r="B106" s="65"/>
      <c r="C106" s="65"/>
      <c r="D106" s="65"/>
      <c r="E106" s="63"/>
      <c r="F106" s="64"/>
      <c r="G106" s="63"/>
    </row>
    <row r="107" spans="2:7" s="62" customFormat="1" x14ac:dyDescent="0.35">
      <c r="B107" s="65"/>
      <c r="C107" s="65"/>
      <c r="D107" s="65"/>
      <c r="E107" s="63"/>
      <c r="F107" s="64"/>
      <c r="G107" s="63"/>
    </row>
    <row r="108" spans="2:7" s="62" customFormat="1" x14ac:dyDescent="0.35">
      <c r="B108" s="65"/>
      <c r="C108" s="65"/>
      <c r="D108" s="65"/>
      <c r="E108" s="63"/>
      <c r="F108" s="64"/>
      <c r="G108" s="63"/>
    </row>
    <row r="109" spans="2:7" s="62" customFormat="1" x14ac:dyDescent="0.35">
      <c r="B109" s="65"/>
      <c r="C109" s="65"/>
      <c r="D109" s="65"/>
      <c r="E109" s="63"/>
      <c r="F109" s="64"/>
      <c r="G109" s="63"/>
    </row>
    <row r="110" spans="2:7" s="62" customFormat="1" x14ac:dyDescent="0.35">
      <c r="B110" s="65"/>
      <c r="C110" s="65"/>
      <c r="D110" s="65"/>
      <c r="E110" s="63"/>
      <c r="F110" s="64"/>
      <c r="G110" s="63"/>
    </row>
    <row r="111" spans="2:7" s="62" customFormat="1" x14ac:dyDescent="0.35">
      <c r="B111" s="65"/>
      <c r="C111" s="65"/>
      <c r="D111" s="65"/>
      <c r="E111" s="63"/>
      <c r="F111" s="64"/>
      <c r="G111" s="63"/>
    </row>
    <row r="112" spans="2:7" s="62" customFormat="1" x14ac:dyDescent="0.35">
      <c r="B112" s="65"/>
      <c r="C112" s="65"/>
      <c r="D112" s="65"/>
      <c r="E112" s="63"/>
      <c r="F112" s="64"/>
      <c r="G112" s="63"/>
    </row>
    <row r="113" spans="2:7" s="62" customFormat="1" x14ac:dyDescent="0.35">
      <c r="B113" s="65"/>
      <c r="C113" s="65"/>
      <c r="D113" s="65"/>
      <c r="E113" s="63"/>
      <c r="F113" s="64"/>
      <c r="G113" s="63"/>
    </row>
    <row r="114" spans="2:7" s="62" customFormat="1" x14ac:dyDescent="0.35">
      <c r="B114" s="65"/>
      <c r="C114" s="65"/>
      <c r="D114" s="65"/>
      <c r="E114" s="63"/>
      <c r="F114" s="64"/>
      <c r="G114" s="63"/>
    </row>
    <row r="115" spans="2:7" s="62" customFormat="1" x14ac:dyDescent="0.35">
      <c r="B115" s="65"/>
      <c r="C115" s="65"/>
      <c r="D115" s="65"/>
      <c r="E115" s="63"/>
      <c r="F115" s="64"/>
      <c r="G115" s="63"/>
    </row>
    <row r="116" spans="2:7" s="62" customFormat="1" x14ac:dyDescent="0.35">
      <c r="B116" s="65"/>
      <c r="C116" s="65"/>
      <c r="D116" s="65"/>
      <c r="E116" s="63"/>
      <c r="F116" s="64"/>
      <c r="G116" s="63"/>
    </row>
    <row r="117" spans="2:7" s="62" customFormat="1" x14ac:dyDescent="0.35">
      <c r="B117" s="65"/>
      <c r="C117" s="65"/>
      <c r="D117" s="65"/>
      <c r="E117" s="63"/>
      <c r="F117" s="64"/>
      <c r="G117" s="63"/>
    </row>
    <row r="118" spans="2:7" s="62" customFormat="1" x14ac:dyDescent="0.35">
      <c r="B118" s="65"/>
      <c r="C118" s="65"/>
      <c r="D118" s="65"/>
      <c r="E118" s="63"/>
      <c r="F118" s="64"/>
      <c r="G118" s="63"/>
    </row>
    <row r="119" spans="2:7" s="62" customFormat="1" x14ac:dyDescent="0.35">
      <c r="B119" s="65"/>
      <c r="C119" s="65"/>
      <c r="D119" s="65"/>
      <c r="E119" s="63"/>
      <c r="F119" s="64"/>
      <c r="G119" s="63"/>
    </row>
    <row r="120" spans="2:7" s="62" customFormat="1" x14ac:dyDescent="0.35">
      <c r="B120" s="65"/>
      <c r="C120" s="65"/>
      <c r="D120" s="65"/>
      <c r="E120" s="63"/>
      <c r="F120" s="64"/>
      <c r="G120" s="63"/>
    </row>
    <row r="121" spans="2:7" s="62" customFormat="1" x14ac:dyDescent="0.35">
      <c r="B121" s="65"/>
      <c r="C121" s="65"/>
      <c r="D121" s="65"/>
      <c r="E121" s="63"/>
      <c r="F121" s="64"/>
      <c r="G121" s="63"/>
    </row>
    <row r="122" spans="2:7" s="62" customFormat="1" x14ac:dyDescent="0.35">
      <c r="B122" s="65"/>
      <c r="C122" s="65"/>
      <c r="D122" s="65"/>
      <c r="E122" s="63"/>
      <c r="F122" s="64"/>
      <c r="G122" s="63"/>
    </row>
    <row r="123" spans="2:7" s="62" customFormat="1" x14ac:dyDescent="0.35">
      <c r="B123" s="65"/>
      <c r="C123" s="65"/>
      <c r="D123" s="65"/>
      <c r="E123" s="63"/>
      <c r="F123" s="64"/>
      <c r="G123" s="63"/>
    </row>
    <row r="124" spans="2:7" s="62" customFormat="1" x14ac:dyDescent="0.35">
      <c r="B124" s="65"/>
      <c r="C124" s="65"/>
      <c r="D124" s="65"/>
      <c r="E124" s="63"/>
      <c r="F124" s="64"/>
      <c r="G124" s="63"/>
    </row>
    <row r="125" spans="2:7" s="62" customFormat="1" x14ac:dyDescent="0.35">
      <c r="B125" s="65"/>
      <c r="C125" s="65"/>
      <c r="D125" s="65"/>
      <c r="E125" s="63"/>
      <c r="F125" s="64"/>
      <c r="G125" s="63"/>
    </row>
    <row r="126" spans="2:7" s="62" customFormat="1" x14ac:dyDescent="0.35">
      <c r="B126" s="65"/>
      <c r="C126" s="65"/>
      <c r="D126" s="65"/>
      <c r="E126" s="63"/>
      <c r="F126" s="64"/>
      <c r="G126" s="63"/>
    </row>
    <row r="127" spans="2:7" s="62" customFormat="1" x14ac:dyDescent="0.35">
      <c r="B127" s="65"/>
      <c r="C127" s="65"/>
      <c r="D127" s="65"/>
      <c r="E127" s="63"/>
      <c r="F127" s="64"/>
      <c r="G127" s="63"/>
    </row>
    <row r="128" spans="2:7" s="62" customFormat="1" x14ac:dyDescent="0.35">
      <c r="B128" s="65"/>
      <c r="C128" s="65"/>
      <c r="D128" s="65"/>
      <c r="E128" s="63"/>
      <c r="F128" s="64"/>
      <c r="G128" s="63"/>
    </row>
    <row r="129" spans="2:7" s="62" customFormat="1" x14ac:dyDescent="0.35">
      <c r="B129" s="65"/>
      <c r="C129" s="65"/>
      <c r="D129" s="65"/>
      <c r="E129" s="63"/>
      <c r="F129" s="64"/>
      <c r="G129" s="63"/>
    </row>
    <row r="130" spans="2:7" s="62" customFormat="1" x14ac:dyDescent="0.35">
      <c r="B130" s="65"/>
      <c r="C130" s="65"/>
      <c r="D130" s="65"/>
      <c r="E130" s="63"/>
      <c r="F130" s="64"/>
      <c r="G130" s="63"/>
    </row>
    <row r="131" spans="2:7" s="62" customFormat="1" x14ac:dyDescent="0.35">
      <c r="B131" s="65"/>
      <c r="C131" s="65"/>
      <c r="D131" s="65"/>
      <c r="E131" s="63"/>
      <c r="F131" s="64"/>
      <c r="G131" s="63"/>
    </row>
    <row r="132" spans="2:7" s="62" customFormat="1" x14ac:dyDescent="0.35">
      <c r="B132" s="65"/>
      <c r="C132" s="65"/>
      <c r="D132" s="65"/>
      <c r="E132" s="63"/>
      <c r="F132" s="64"/>
      <c r="G132" s="63"/>
    </row>
    <row r="133" spans="2:7" s="62" customFormat="1" x14ac:dyDescent="0.35">
      <c r="B133" s="65"/>
      <c r="C133" s="65"/>
      <c r="D133" s="65"/>
      <c r="E133" s="63"/>
      <c r="F133" s="64"/>
      <c r="G133" s="63"/>
    </row>
    <row r="134" spans="2:7" s="62" customFormat="1" x14ac:dyDescent="0.35">
      <c r="B134" s="65"/>
      <c r="C134" s="65"/>
      <c r="D134" s="65"/>
      <c r="E134" s="63"/>
      <c r="F134" s="64"/>
      <c r="G134" s="63"/>
    </row>
    <row r="135" spans="2:7" s="62" customFormat="1" x14ac:dyDescent="0.35">
      <c r="B135" s="65"/>
      <c r="C135" s="65"/>
      <c r="D135" s="65"/>
      <c r="E135" s="63"/>
      <c r="F135" s="64"/>
      <c r="G135" s="63"/>
    </row>
    <row r="136" spans="2:7" s="62" customFormat="1" x14ac:dyDescent="0.35">
      <c r="B136" s="65"/>
      <c r="C136" s="65"/>
      <c r="D136" s="65"/>
      <c r="E136" s="63"/>
      <c r="F136" s="64"/>
      <c r="G136" s="63"/>
    </row>
    <row r="137" spans="2:7" s="62" customFormat="1" x14ac:dyDescent="0.35">
      <c r="B137" s="65"/>
      <c r="C137" s="65"/>
      <c r="D137" s="65"/>
      <c r="E137" s="63"/>
      <c r="F137" s="64"/>
      <c r="G137" s="63"/>
    </row>
    <row r="138" spans="2:7" s="62" customFormat="1" x14ac:dyDescent="0.35">
      <c r="B138" s="65"/>
      <c r="C138" s="65"/>
      <c r="D138" s="65"/>
      <c r="E138" s="63"/>
      <c r="F138" s="64"/>
      <c r="G138" s="63"/>
    </row>
    <row r="139" spans="2:7" s="62" customFormat="1" x14ac:dyDescent="0.35">
      <c r="B139" s="65"/>
      <c r="C139" s="65"/>
      <c r="D139" s="65"/>
      <c r="E139" s="63"/>
      <c r="F139" s="64"/>
      <c r="G139" s="63"/>
    </row>
    <row r="140" spans="2:7" s="62" customFormat="1" x14ac:dyDescent="0.35">
      <c r="B140" s="65"/>
      <c r="C140" s="65"/>
      <c r="D140" s="65"/>
      <c r="E140" s="63"/>
      <c r="F140" s="64"/>
      <c r="G140" s="63"/>
    </row>
    <row r="141" spans="2:7" s="62" customFormat="1" x14ac:dyDescent="0.35">
      <c r="B141" s="65"/>
      <c r="C141" s="65"/>
      <c r="D141" s="65"/>
      <c r="E141" s="63"/>
      <c r="F141" s="64"/>
      <c r="G141" s="63"/>
    </row>
    <row r="142" spans="2:7" s="62" customFormat="1" x14ac:dyDescent="0.35">
      <c r="B142" s="65"/>
      <c r="C142" s="65"/>
      <c r="D142" s="65"/>
      <c r="E142" s="63"/>
      <c r="F142" s="64"/>
      <c r="G142" s="63"/>
    </row>
    <row r="143" spans="2:7" s="62" customFormat="1" x14ac:dyDescent="0.35">
      <c r="B143" s="65"/>
      <c r="C143" s="65"/>
      <c r="D143" s="65"/>
      <c r="E143" s="63"/>
      <c r="F143" s="64"/>
      <c r="G143" s="63"/>
    </row>
    <row r="144" spans="2:7" s="62" customFormat="1" x14ac:dyDescent="0.35">
      <c r="B144" s="65"/>
      <c r="C144" s="65"/>
      <c r="D144" s="65"/>
      <c r="E144" s="63"/>
      <c r="F144" s="64"/>
      <c r="G144" s="63"/>
    </row>
    <row r="145" spans="2:7" s="62" customFormat="1" x14ac:dyDescent="0.35">
      <c r="B145" s="65"/>
      <c r="C145" s="65"/>
      <c r="D145" s="65"/>
      <c r="E145" s="63"/>
      <c r="F145" s="64"/>
      <c r="G145" s="63"/>
    </row>
    <row r="146" spans="2:7" s="62" customFormat="1" x14ac:dyDescent="0.35">
      <c r="B146" s="65"/>
      <c r="C146" s="65"/>
      <c r="D146" s="65"/>
      <c r="E146" s="63"/>
      <c r="F146" s="64"/>
      <c r="G146" s="63"/>
    </row>
    <row r="147" spans="2:7" s="62" customFormat="1" x14ac:dyDescent="0.35">
      <c r="B147" s="65"/>
      <c r="C147" s="65"/>
      <c r="D147" s="65"/>
      <c r="E147" s="63"/>
      <c r="F147" s="64"/>
      <c r="G147" s="63"/>
    </row>
    <row r="148" spans="2:7" s="62" customFormat="1" x14ac:dyDescent="0.35">
      <c r="B148" s="65"/>
      <c r="C148" s="65"/>
      <c r="D148" s="65"/>
      <c r="E148" s="63"/>
      <c r="F148" s="64"/>
      <c r="G148" s="63"/>
    </row>
    <row r="149" spans="2:7" s="62" customFormat="1" x14ac:dyDescent="0.35">
      <c r="B149" s="65"/>
      <c r="C149" s="65"/>
      <c r="D149" s="65"/>
      <c r="E149" s="63"/>
      <c r="F149" s="64"/>
      <c r="G149" s="63"/>
    </row>
    <row r="150" spans="2:7" s="62" customFormat="1" x14ac:dyDescent="0.35">
      <c r="B150" s="65"/>
      <c r="C150" s="65"/>
      <c r="D150" s="65"/>
      <c r="E150" s="63"/>
      <c r="F150" s="64"/>
      <c r="G150" s="63"/>
    </row>
    <row r="151" spans="2:7" s="62" customFormat="1" x14ac:dyDescent="0.35">
      <c r="B151" s="65"/>
      <c r="C151" s="65"/>
      <c r="D151" s="65"/>
      <c r="E151" s="63"/>
      <c r="F151" s="64"/>
      <c r="G151" s="63"/>
    </row>
    <row r="152" spans="2:7" s="62" customFormat="1" x14ac:dyDescent="0.35">
      <c r="B152" s="65"/>
      <c r="C152" s="65"/>
      <c r="D152" s="65"/>
      <c r="E152" s="63"/>
      <c r="F152" s="64"/>
      <c r="G152" s="63"/>
    </row>
    <row r="153" spans="2:7" s="62" customFormat="1" x14ac:dyDescent="0.35">
      <c r="B153" s="65"/>
      <c r="C153" s="65"/>
      <c r="D153" s="65"/>
      <c r="E153" s="63"/>
      <c r="F153" s="64"/>
      <c r="G153" s="63"/>
    </row>
    <row r="154" spans="2:7" s="62" customFormat="1" x14ac:dyDescent="0.35">
      <c r="B154" s="65"/>
      <c r="C154" s="65"/>
      <c r="D154" s="65"/>
      <c r="E154" s="63"/>
      <c r="F154" s="64"/>
      <c r="G154" s="63"/>
    </row>
    <row r="155" spans="2:7" s="62" customFormat="1" x14ac:dyDescent="0.35">
      <c r="B155" s="65"/>
      <c r="C155" s="65"/>
      <c r="D155" s="65"/>
      <c r="E155" s="63"/>
      <c r="F155" s="64"/>
      <c r="G155" s="63"/>
    </row>
    <row r="156" spans="2:7" s="62" customFormat="1" x14ac:dyDescent="0.35">
      <c r="B156" s="65"/>
      <c r="C156" s="65"/>
      <c r="D156" s="65"/>
      <c r="E156" s="63"/>
      <c r="F156" s="64"/>
      <c r="G156" s="63"/>
    </row>
    <row r="157" spans="2:7" s="62" customFormat="1" x14ac:dyDescent="0.35">
      <c r="B157" s="65"/>
      <c r="C157" s="65"/>
      <c r="D157" s="65"/>
      <c r="E157" s="63"/>
      <c r="F157" s="64"/>
      <c r="G157" s="63"/>
    </row>
    <row r="158" spans="2:7" s="62" customFormat="1" x14ac:dyDescent="0.35">
      <c r="B158" s="65"/>
      <c r="C158" s="65"/>
      <c r="D158" s="65"/>
      <c r="E158" s="63"/>
      <c r="F158" s="64"/>
      <c r="G158" s="63"/>
    </row>
    <row r="159" spans="2:7" s="62" customFormat="1" x14ac:dyDescent="0.35">
      <c r="B159" s="65"/>
      <c r="C159" s="65"/>
      <c r="D159" s="65"/>
      <c r="E159" s="63"/>
      <c r="F159" s="64"/>
      <c r="G159" s="63"/>
    </row>
    <row r="160" spans="2:7" s="62" customFormat="1" x14ac:dyDescent="0.35">
      <c r="B160" s="65"/>
      <c r="C160" s="65"/>
      <c r="D160" s="65"/>
      <c r="E160" s="63"/>
      <c r="F160" s="64"/>
      <c r="G160" s="63"/>
    </row>
    <row r="161" spans="2:7" s="62" customFormat="1" x14ac:dyDescent="0.35">
      <c r="B161" s="65"/>
      <c r="C161" s="65"/>
      <c r="D161" s="65"/>
      <c r="E161" s="63"/>
      <c r="F161" s="64"/>
      <c r="G161" s="63"/>
    </row>
    <row r="162" spans="2:7" s="62" customFormat="1" x14ac:dyDescent="0.35">
      <c r="B162" s="65"/>
      <c r="C162" s="65"/>
      <c r="D162" s="65"/>
      <c r="E162" s="63"/>
      <c r="F162" s="64"/>
      <c r="G162" s="63"/>
    </row>
    <row r="163" spans="2:7" s="62" customFormat="1" x14ac:dyDescent="0.35">
      <c r="B163" s="65"/>
      <c r="C163" s="65"/>
      <c r="D163" s="65"/>
      <c r="E163" s="63"/>
      <c r="F163" s="64"/>
      <c r="G163" s="63"/>
    </row>
    <row r="164" spans="2:7" s="62" customFormat="1" x14ac:dyDescent="0.35">
      <c r="B164" s="65"/>
      <c r="C164" s="65"/>
      <c r="D164" s="65"/>
      <c r="E164" s="63"/>
      <c r="F164" s="64"/>
      <c r="G164" s="63"/>
    </row>
    <row r="165" spans="2:7" s="62" customFormat="1" x14ac:dyDescent="0.35">
      <c r="B165" s="65"/>
      <c r="C165" s="65"/>
      <c r="D165" s="65"/>
      <c r="E165" s="63"/>
      <c r="F165" s="64"/>
      <c r="G165" s="63"/>
    </row>
    <row r="166" spans="2:7" s="62" customFormat="1" x14ac:dyDescent="0.35">
      <c r="B166" s="65"/>
      <c r="C166" s="65"/>
      <c r="D166" s="65"/>
      <c r="E166" s="63"/>
      <c r="F166" s="64"/>
      <c r="G166" s="63"/>
    </row>
    <row r="167" spans="2:7" s="62" customFormat="1" x14ac:dyDescent="0.35">
      <c r="B167" s="65"/>
      <c r="C167" s="65"/>
      <c r="D167" s="65"/>
      <c r="E167" s="63"/>
      <c r="F167" s="64"/>
      <c r="G167" s="63"/>
    </row>
    <row r="168" spans="2:7" s="62" customFormat="1" x14ac:dyDescent="0.35">
      <c r="B168" s="65"/>
      <c r="C168" s="65"/>
      <c r="D168" s="65"/>
      <c r="E168" s="63"/>
      <c r="F168" s="64"/>
      <c r="G168" s="63"/>
    </row>
    <row r="169" spans="2:7" s="62" customFormat="1" x14ac:dyDescent="0.35">
      <c r="B169" s="65"/>
      <c r="C169" s="65"/>
      <c r="D169" s="65"/>
      <c r="E169" s="63"/>
      <c r="F169" s="64"/>
      <c r="G169" s="63"/>
    </row>
    <row r="170" spans="2:7" s="62" customFormat="1" x14ac:dyDescent="0.35">
      <c r="B170" s="65"/>
      <c r="C170" s="65"/>
      <c r="D170" s="65"/>
      <c r="E170" s="63"/>
      <c r="F170" s="64"/>
      <c r="G170" s="63"/>
    </row>
    <row r="171" spans="2:7" s="62" customFormat="1" x14ac:dyDescent="0.35">
      <c r="B171" s="65"/>
      <c r="C171" s="65"/>
      <c r="D171" s="65"/>
      <c r="E171" s="63"/>
      <c r="F171" s="64"/>
      <c r="G171" s="63"/>
    </row>
    <row r="172" spans="2:7" s="62" customFormat="1" x14ac:dyDescent="0.35">
      <c r="B172" s="65"/>
      <c r="C172" s="65"/>
      <c r="D172" s="65"/>
      <c r="E172" s="63"/>
      <c r="F172" s="64"/>
      <c r="G172" s="63"/>
    </row>
    <row r="173" spans="2:7" s="62" customFormat="1" x14ac:dyDescent="0.35">
      <c r="B173" s="65"/>
      <c r="C173" s="65"/>
      <c r="D173" s="65"/>
      <c r="E173" s="63"/>
      <c r="F173" s="64"/>
      <c r="G173" s="63"/>
    </row>
    <row r="174" spans="2:7" s="62" customFormat="1" x14ac:dyDescent="0.35">
      <c r="B174" s="65"/>
      <c r="C174" s="65"/>
      <c r="D174" s="65"/>
      <c r="E174" s="63"/>
      <c r="F174" s="64"/>
      <c r="G174" s="63"/>
    </row>
    <row r="175" spans="2:7" s="62" customFormat="1" x14ac:dyDescent="0.35">
      <c r="B175" s="65"/>
      <c r="C175" s="65"/>
      <c r="D175" s="65"/>
      <c r="E175" s="63"/>
      <c r="F175" s="64"/>
      <c r="G175" s="63"/>
    </row>
    <row r="176" spans="2:7" s="62" customFormat="1" x14ac:dyDescent="0.35">
      <c r="B176" s="65"/>
      <c r="C176" s="65"/>
      <c r="D176" s="65"/>
      <c r="E176" s="63"/>
      <c r="F176" s="64"/>
      <c r="G176" s="63"/>
    </row>
    <row r="177" spans="2:7" s="62" customFormat="1" x14ac:dyDescent="0.35">
      <c r="B177" s="65"/>
      <c r="C177" s="65"/>
      <c r="D177" s="65"/>
      <c r="E177" s="63"/>
      <c r="F177" s="64"/>
      <c r="G177" s="63"/>
    </row>
    <row r="178" spans="2:7" s="62" customFormat="1" x14ac:dyDescent="0.35">
      <c r="B178" s="65"/>
      <c r="C178" s="65"/>
      <c r="D178" s="65"/>
      <c r="E178" s="63"/>
      <c r="F178" s="64"/>
      <c r="G178" s="63"/>
    </row>
    <row r="179" spans="2:7" s="62" customFormat="1" x14ac:dyDescent="0.35">
      <c r="B179" s="65"/>
      <c r="C179" s="65"/>
      <c r="D179" s="65"/>
      <c r="E179" s="63"/>
      <c r="F179" s="64"/>
      <c r="G179" s="63"/>
    </row>
    <row r="180" spans="2:7" s="62" customFormat="1" x14ac:dyDescent="0.35">
      <c r="B180" s="65"/>
      <c r="C180" s="65"/>
      <c r="D180" s="65"/>
      <c r="E180" s="63"/>
      <c r="F180" s="64"/>
      <c r="G180" s="63"/>
    </row>
    <row r="181" spans="2:7" s="62" customFormat="1" x14ac:dyDescent="0.35">
      <c r="B181" s="65"/>
      <c r="C181" s="65"/>
      <c r="D181" s="65"/>
      <c r="E181" s="63"/>
      <c r="F181" s="64"/>
      <c r="G181" s="63"/>
    </row>
    <row r="182" spans="2:7" s="62" customFormat="1" x14ac:dyDescent="0.35">
      <c r="B182" s="65"/>
      <c r="C182" s="65"/>
      <c r="D182" s="65"/>
      <c r="E182" s="63"/>
      <c r="F182" s="64"/>
      <c r="G182" s="63"/>
    </row>
    <row r="183" spans="2:7" s="62" customFormat="1" x14ac:dyDescent="0.35">
      <c r="B183" s="65"/>
      <c r="C183" s="65"/>
      <c r="D183" s="65"/>
      <c r="E183" s="63"/>
      <c r="F183" s="64"/>
      <c r="G183" s="63"/>
    </row>
    <row r="184" spans="2:7" s="62" customFormat="1" x14ac:dyDescent="0.35">
      <c r="B184" s="65"/>
      <c r="C184" s="65"/>
      <c r="D184" s="65"/>
      <c r="E184" s="63"/>
      <c r="F184" s="64"/>
      <c r="G184" s="63"/>
    </row>
    <row r="185" spans="2:7" s="62" customFormat="1" x14ac:dyDescent="0.35">
      <c r="B185" s="65"/>
      <c r="C185" s="65"/>
      <c r="D185" s="65"/>
      <c r="E185" s="63"/>
      <c r="F185" s="64"/>
      <c r="G185" s="63"/>
    </row>
    <row r="186" spans="2:7" s="62" customFormat="1" x14ac:dyDescent="0.35">
      <c r="B186" s="65"/>
      <c r="C186" s="65"/>
      <c r="D186" s="65"/>
      <c r="E186" s="63"/>
      <c r="F186" s="64"/>
      <c r="G186" s="63"/>
    </row>
    <row r="187" spans="2:7" s="62" customFormat="1" x14ac:dyDescent="0.35">
      <c r="B187" s="65"/>
      <c r="C187" s="65"/>
      <c r="D187" s="65"/>
      <c r="E187" s="63"/>
      <c r="F187" s="64"/>
      <c r="G187" s="63"/>
    </row>
    <row r="188" spans="2:7" s="62" customFormat="1" x14ac:dyDescent="0.35">
      <c r="B188" s="65"/>
      <c r="C188" s="65"/>
      <c r="D188" s="65"/>
      <c r="E188" s="63"/>
      <c r="F188" s="64"/>
      <c r="G188" s="63"/>
    </row>
    <row r="189" spans="2:7" s="62" customFormat="1" x14ac:dyDescent="0.35">
      <c r="B189" s="65"/>
      <c r="C189" s="65"/>
      <c r="D189" s="65"/>
      <c r="E189" s="63"/>
      <c r="F189" s="64"/>
      <c r="G189" s="63"/>
    </row>
    <row r="190" spans="2:7" s="62" customFormat="1" x14ac:dyDescent="0.35">
      <c r="B190" s="65"/>
      <c r="C190" s="65"/>
      <c r="D190" s="65"/>
      <c r="E190" s="63"/>
      <c r="F190" s="64"/>
      <c r="G190" s="63"/>
    </row>
    <row r="191" spans="2:7" s="62" customFormat="1" x14ac:dyDescent="0.35">
      <c r="B191" s="65"/>
      <c r="C191" s="65"/>
      <c r="D191" s="65"/>
      <c r="E191" s="63"/>
      <c r="F191" s="64"/>
      <c r="G191" s="63"/>
    </row>
    <row r="192" spans="2:7" s="62" customFormat="1" x14ac:dyDescent="0.35">
      <c r="B192" s="65"/>
      <c r="C192" s="65"/>
      <c r="D192" s="65"/>
      <c r="E192" s="63"/>
      <c r="F192" s="64"/>
      <c r="G192" s="63"/>
    </row>
    <row r="193" spans="2:7" s="62" customFormat="1" x14ac:dyDescent="0.35">
      <c r="B193" s="65"/>
      <c r="C193" s="65"/>
      <c r="D193" s="65"/>
      <c r="E193" s="63"/>
      <c r="F193" s="64"/>
      <c r="G193" s="63"/>
    </row>
    <row r="194" spans="2:7" s="62" customFormat="1" x14ac:dyDescent="0.35">
      <c r="B194" s="65"/>
      <c r="C194" s="65"/>
      <c r="D194" s="65"/>
      <c r="E194" s="63"/>
      <c r="F194" s="64"/>
      <c r="G194" s="63"/>
    </row>
    <row r="195" spans="2:7" s="62" customFormat="1" x14ac:dyDescent="0.35">
      <c r="B195" s="65"/>
      <c r="C195" s="65"/>
      <c r="D195" s="65"/>
      <c r="E195" s="63"/>
      <c r="F195" s="64"/>
      <c r="G195" s="63"/>
    </row>
    <row r="196" spans="2:7" s="62" customFormat="1" x14ac:dyDescent="0.35">
      <c r="B196" s="65"/>
      <c r="C196" s="65"/>
      <c r="D196" s="65"/>
      <c r="E196" s="63"/>
      <c r="F196" s="64"/>
      <c r="G196" s="63"/>
    </row>
    <row r="197" spans="2:7" s="62" customFormat="1" x14ac:dyDescent="0.35">
      <c r="B197" s="65"/>
      <c r="C197" s="65"/>
      <c r="D197" s="65"/>
      <c r="E197" s="63"/>
      <c r="F197" s="64"/>
      <c r="G197" s="63"/>
    </row>
    <row r="198" spans="2:7" s="62" customFormat="1" x14ac:dyDescent="0.35">
      <c r="B198" s="65"/>
      <c r="C198" s="65"/>
      <c r="D198" s="65"/>
      <c r="E198" s="63"/>
      <c r="F198" s="64"/>
      <c r="G198" s="63"/>
    </row>
    <row r="199" spans="2:7" s="62" customFormat="1" x14ac:dyDescent="0.35">
      <c r="B199" s="65"/>
      <c r="C199" s="65"/>
      <c r="D199" s="65"/>
      <c r="E199" s="63"/>
      <c r="F199" s="64"/>
      <c r="G199" s="63"/>
    </row>
    <row r="200" spans="2:7" s="62" customFormat="1" x14ac:dyDescent="0.35">
      <c r="B200" s="65"/>
      <c r="C200" s="65"/>
      <c r="D200" s="65"/>
      <c r="E200" s="63"/>
      <c r="F200" s="64"/>
      <c r="G200" s="63"/>
    </row>
    <row r="201" spans="2:7" s="62" customFormat="1" x14ac:dyDescent="0.35">
      <c r="B201" s="65"/>
      <c r="C201" s="65"/>
      <c r="D201" s="65"/>
      <c r="E201" s="63"/>
      <c r="F201" s="64"/>
      <c r="G201" s="63"/>
    </row>
    <row r="202" spans="2:7" s="62" customFormat="1" x14ac:dyDescent="0.35">
      <c r="B202" s="65"/>
      <c r="C202" s="65"/>
      <c r="D202" s="65"/>
      <c r="E202" s="63"/>
      <c r="F202" s="64"/>
      <c r="G202" s="63"/>
    </row>
    <row r="203" spans="2:7" s="62" customFormat="1" x14ac:dyDescent="0.35">
      <c r="B203" s="65"/>
      <c r="C203" s="65"/>
      <c r="D203" s="65"/>
      <c r="E203" s="63"/>
      <c r="F203" s="64"/>
      <c r="G203" s="63"/>
    </row>
    <row r="204" spans="2:7" s="62" customFormat="1" x14ac:dyDescent="0.35">
      <c r="B204" s="65"/>
      <c r="C204" s="65"/>
      <c r="D204" s="65"/>
      <c r="E204" s="63"/>
      <c r="F204" s="64"/>
      <c r="G204" s="63"/>
    </row>
    <row r="205" spans="2:7" s="62" customFormat="1" x14ac:dyDescent="0.35">
      <c r="B205" s="65"/>
      <c r="C205" s="65"/>
      <c r="D205" s="65"/>
      <c r="E205" s="63"/>
      <c r="F205" s="64"/>
      <c r="G205" s="63"/>
    </row>
    <row r="206" spans="2:7" s="62" customFormat="1" x14ac:dyDescent="0.35">
      <c r="B206" s="65"/>
      <c r="C206" s="65"/>
      <c r="D206" s="65"/>
      <c r="E206" s="63"/>
      <c r="F206" s="64"/>
      <c r="G206" s="63"/>
    </row>
    <row r="207" spans="2:7" s="62" customFormat="1" x14ac:dyDescent="0.35">
      <c r="B207" s="65"/>
      <c r="C207" s="65"/>
      <c r="D207" s="65"/>
      <c r="E207" s="63"/>
      <c r="F207" s="64"/>
      <c r="G207" s="63"/>
    </row>
    <row r="208" spans="2:7" s="62" customFormat="1" x14ac:dyDescent="0.35">
      <c r="B208" s="65"/>
      <c r="C208" s="65"/>
      <c r="D208" s="65"/>
      <c r="E208" s="63"/>
      <c r="F208" s="64"/>
      <c r="G208" s="63"/>
    </row>
    <row r="209" spans="2:7" s="62" customFormat="1" x14ac:dyDescent="0.35">
      <c r="B209" s="65"/>
      <c r="C209" s="65"/>
      <c r="D209" s="65"/>
      <c r="E209" s="63"/>
      <c r="F209" s="64"/>
      <c r="G209" s="63"/>
    </row>
    <row r="210" spans="2:7" s="62" customFormat="1" x14ac:dyDescent="0.35">
      <c r="B210" s="65"/>
      <c r="C210" s="65"/>
      <c r="D210" s="65"/>
      <c r="E210" s="63"/>
      <c r="F210" s="64"/>
      <c r="G210" s="63"/>
    </row>
    <row r="211" spans="2:7" s="62" customFormat="1" x14ac:dyDescent="0.35">
      <c r="B211" s="65"/>
      <c r="C211" s="65"/>
      <c r="D211" s="65"/>
      <c r="E211" s="63"/>
      <c r="F211" s="64"/>
      <c r="G211" s="63"/>
    </row>
    <row r="212" spans="2:7" s="62" customFormat="1" x14ac:dyDescent="0.35">
      <c r="B212" s="65"/>
      <c r="C212" s="65"/>
      <c r="D212" s="65"/>
      <c r="E212" s="63"/>
      <c r="F212" s="64"/>
      <c r="G212" s="63"/>
    </row>
    <row r="213" spans="2:7" s="62" customFormat="1" x14ac:dyDescent="0.35">
      <c r="B213" s="65"/>
      <c r="C213" s="65"/>
      <c r="D213" s="65"/>
      <c r="E213" s="63"/>
      <c r="F213" s="64"/>
      <c r="G213" s="63"/>
    </row>
    <row r="214" spans="2:7" s="62" customFormat="1" x14ac:dyDescent="0.35">
      <c r="B214" s="65"/>
      <c r="C214" s="65"/>
      <c r="D214" s="65"/>
      <c r="E214" s="63"/>
      <c r="F214" s="64"/>
      <c r="G214" s="63"/>
    </row>
    <row r="215" spans="2:7" s="62" customFormat="1" x14ac:dyDescent="0.35">
      <c r="B215" s="65"/>
      <c r="C215" s="65"/>
      <c r="D215" s="65"/>
      <c r="E215" s="63"/>
      <c r="F215" s="64"/>
      <c r="G215" s="63"/>
    </row>
    <row r="216" spans="2:7" s="62" customFormat="1" x14ac:dyDescent="0.35">
      <c r="B216" s="65"/>
      <c r="C216" s="65"/>
      <c r="D216" s="65"/>
      <c r="E216" s="63"/>
      <c r="F216" s="64"/>
      <c r="G216" s="63"/>
    </row>
    <row r="217" spans="2:7" s="62" customFormat="1" x14ac:dyDescent="0.35">
      <c r="B217" s="65"/>
      <c r="C217" s="65"/>
      <c r="D217" s="65"/>
      <c r="E217" s="63"/>
      <c r="F217" s="64"/>
      <c r="G217" s="63"/>
    </row>
    <row r="218" spans="2:7" s="62" customFormat="1" x14ac:dyDescent="0.35">
      <c r="B218" s="65"/>
      <c r="C218" s="65"/>
      <c r="D218" s="65"/>
      <c r="E218" s="63"/>
      <c r="F218" s="64"/>
      <c r="G218" s="63"/>
    </row>
    <row r="219" spans="2:7" s="62" customFormat="1" x14ac:dyDescent="0.35">
      <c r="B219" s="65"/>
      <c r="C219" s="65"/>
      <c r="D219" s="65"/>
      <c r="E219" s="63"/>
      <c r="F219" s="64"/>
      <c r="G219" s="63"/>
    </row>
    <row r="220" spans="2:7" s="62" customFormat="1" x14ac:dyDescent="0.35">
      <c r="B220" s="65"/>
      <c r="C220" s="65"/>
      <c r="D220" s="65"/>
      <c r="E220" s="63"/>
      <c r="F220" s="64"/>
      <c r="G220" s="63"/>
    </row>
    <row r="221" spans="2:7" s="62" customFormat="1" x14ac:dyDescent="0.35">
      <c r="B221" s="65"/>
      <c r="C221" s="65"/>
      <c r="D221" s="65"/>
      <c r="E221" s="63"/>
      <c r="F221" s="64"/>
      <c r="G221" s="63"/>
    </row>
    <row r="222" spans="2:7" s="62" customFormat="1" x14ac:dyDescent="0.35">
      <c r="B222" s="65"/>
      <c r="C222" s="65"/>
      <c r="D222" s="65"/>
      <c r="E222" s="63"/>
      <c r="F222" s="64"/>
      <c r="G222" s="63"/>
    </row>
    <row r="223" spans="2:7" s="62" customFormat="1" x14ac:dyDescent="0.35">
      <c r="B223" s="65"/>
      <c r="C223" s="65"/>
      <c r="D223" s="65"/>
      <c r="E223" s="63"/>
      <c r="F223" s="64"/>
      <c r="G223" s="63"/>
    </row>
    <row r="224" spans="2:7" s="62" customFormat="1" x14ac:dyDescent="0.35">
      <c r="B224" s="65"/>
      <c r="C224" s="65"/>
      <c r="D224" s="65"/>
      <c r="E224" s="63"/>
      <c r="F224" s="64"/>
      <c r="G224" s="63"/>
    </row>
    <row r="225" spans="2:7" s="62" customFormat="1" x14ac:dyDescent="0.35">
      <c r="B225" s="65"/>
      <c r="C225" s="65"/>
      <c r="D225" s="65"/>
      <c r="E225" s="63"/>
      <c r="F225" s="64"/>
      <c r="G225" s="63"/>
    </row>
    <row r="226" spans="2:7" s="62" customFormat="1" x14ac:dyDescent="0.35">
      <c r="B226" s="65"/>
      <c r="C226" s="65"/>
      <c r="D226" s="65"/>
      <c r="E226" s="63"/>
      <c r="F226" s="64"/>
      <c r="G226" s="63"/>
    </row>
    <row r="227" spans="2:7" s="62" customFormat="1" x14ac:dyDescent="0.35">
      <c r="B227" s="65"/>
      <c r="C227" s="65"/>
      <c r="D227" s="65"/>
      <c r="E227" s="63"/>
      <c r="F227" s="64"/>
      <c r="G227" s="63"/>
    </row>
    <row r="228" spans="2:7" s="62" customFormat="1" x14ac:dyDescent="0.35">
      <c r="B228" s="65"/>
      <c r="C228" s="65"/>
      <c r="D228" s="65"/>
      <c r="E228" s="63"/>
      <c r="F228" s="64"/>
      <c r="G228" s="63"/>
    </row>
    <row r="229" spans="2:7" s="62" customFormat="1" x14ac:dyDescent="0.35">
      <c r="B229" s="65"/>
      <c r="C229" s="65"/>
      <c r="D229" s="65"/>
      <c r="E229" s="63"/>
      <c r="F229" s="64"/>
      <c r="G229" s="63"/>
    </row>
    <row r="230" spans="2:7" s="62" customFormat="1" x14ac:dyDescent="0.35">
      <c r="B230" s="65"/>
      <c r="C230" s="65"/>
      <c r="D230" s="65"/>
      <c r="E230" s="63"/>
      <c r="F230" s="64"/>
      <c r="G230" s="63"/>
    </row>
    <row r="231" spans="2:7" s="62" customFormat="1" x14ac:dyDescent="0.35">
      <c r="B231" s="65"/>
      <c r="C231" s="65"/>
      <c r="D231" s="65"/>
      <c r="E231" s="63"/>
      <c r="F231" s="64"/>
      <c r="G231" s="63"/>
    </row>
    <row r="232" spans="2:7" s="62" customFormat="1" x14ac:dyDescent="0.35">
      <c r="B232" s="65"/>
      <c r="C232" s="65"/>
      <c r="D232" s="65"/>
      <c r="E232" s="63"/>
      <c r="F232" s="64"/>
      <c r="G232" s="63"/>
    </row>
    <row r="233" spans="2:7" s="62" customFormat="1" x14ac:dyDescent="0.35">
      <c r="B233" s="65"/>
      <c r="C233" s="65"/>
      <c r="D233" s="65"/>
      <c r="E233" s="63"/>
      <c r="F233" s="64"/>
      <c r="G233" s="63"/>
    </row>
    <row r="234" spans="2:7" s="62" customFormat="1" x14ac:dyDescent="0.35">
      <c r="B234" s="65"/>
      <c r="C234" s="65"/>
      <c r="D234" s="65"/>
      <c r="E234" s="63"/>
      <c r="F234" s="64"/>
      <c r="G234" s="63"/>
    </row>
    <row r="235" spans="2:7" s="62" customFormat="1" x14ac:dyDescent="0.35">
      <c r="B235" s="65"/>
      <c r="C235" s="65"/>
      <c r="D235" s="65"/>
      <c r="E235" s="63"/>
      <c r="F235" s="64"/>
      <c r="G235" s="63"/>
    </row>
    <row r="236" spans="2:7" s="62" customFormat="1" x14ac:dyDescent="0.35">
      <c r="B236" s="65"/>
      <c r="C236" s="65"/>
      <c r="D236" s="65"/>
      <c r="E236" s="63"/>
      <c r="F236" s="64"/>
      <c r="G236" s="63"/>
    </row>
    <row r="237" spans="2:7" s="62" customFormat="1" x14ac:dyDescent="0.35">
      <c r="B237" s="65"/>
      <c r="C237" s="65"/>
      <c r="D237" s="65"/>
      <c r="E237" s="63"/>
      <c r="F237" s="64"/>
      <c r="G237" s="63"/>
    </row>
    <row r="238" spans="2:7" s="62" customFormat="1" x14ac:dyDescent="0.35">
      <c r="B238" s="65"/>
      <c r="C238" s="65"/>
      <c r="D238" s="65"/>
      <c r="E238" s="63"/>
      <c r="F238" s="64"/>
      <c r="G238" s="63"/>
    </row>
    <row r="239" spans="2:7" s="62" customFormat="1" x14ac:dyDescent="0.35">
      <c r="B239" s="65"/>
      <c r="C239" s="65"/>
      <c r="D239" s="65"/>
      <c r="E239" s="63"/>
      <c r="F239" s="64"/>
      <c r="G239" s="63"/>
    </row>
    <row r="240" spans="2:7" s="62" customFormat="1" x14ac:dyDescent="0.35">
      <c r="B240" s="65"/>
      <c r="C240" s="65"/>
      <c r="D240" s="65"/>
      <c r="E240" s="63"/>
      <c r="F240" s="64"/>
      <c r="G240" s="63"/>
    </row>
    <row r="241" spans="2:7" s="62" customFormat="1" x14ac:dyDescent="0.35">
      <c r="B241" s="65"/>
      <c r="C241" s="65"/>
      <c r="D241" s="65"/>
      <c r="E241" s="63"/>
      <c r="F241" s="64"/>
      <c r="G241" s="63"/>
    </row>
    <row r="242" spans="2:7" s="62" customFormat="1" x14ac:dyDescent="0.35">
      <c r="B242" s="65"/>
      <c r="C242" s="65"/>
      <c r="D242" s="65"/>
      <c r="E242" s="63"/>
      <c r="F242" s="64"/>
      <c r="G242" s="63"/>
    </row>
    <row r="243" spans="2:7" s="62" customFormat="1" x14ac:dyDescent="0.35">
      <c r="B243" s="65"/>
      <c r="C243" s="65"/>
      <c r="D243" s="65"/>
      <c r="E243" s="63"/>
      <c r="F243" s="64"/>
      <c r="G243" s="63"/>
    </row>
    <row r="244" spans="2:7" s="62" customFormat="1" x14ac:dyDescent="0.35">
      <c r="B244" s="65"/>
      <c r="C244" s="65"/>
      <c r="D244" s="65"/>
      <c r="E244" s="63"/>
      <c r="F244" s="64"/>
      <c r="G244" s="63"/>
    </row>
    <row r="245" spans="2:7" s="62" customFormat="1" x14ac:dyDescent="0.35">
      <c r="B245" s="65"/>
      <c r="C245" s="65"/>
      <c r="D245" s="65"/>
      <c r="E245" s="63"/>
      <c r="F245" s="64"/>
      <c r="G245" s="63"/>
    </row>
    <row r="246" spans="2:7" s="62" customFormat="1" x14ac:dyDescent="0.35">
      <c r="B246" s="65"/>
      <c r="C246" s="65"/>
      <c r="D246" s="65"/>
      <c r="E246" s="63"/>
      <c r="F246" s="64"/>
      <c r="G246" s="63"/>
    </row>
    <row r="247" spans="2:7" s="62" customFormat="1" x14ac:dyDescent="0.35">
      <c r="B247" s="65"/>
      <c r="C247" s="65"/>
      <c r="D247" s="65"/>
      <c r="E247" s="63"/>
      <c r="F247" s="64"/>
      <c r="G247" s="63"/>
    </row>
    <row r="248" spans="2:7" s="62" customFormat="1" x14ac:dyDescent="0.35">
      <c r="B248" s="65"/>
      <c r="C248" s="65"/>
      <c r="D248" s="65"/>
      <c r="E248" s="63"/>
      <c r="F248" s="64"/>
      <c r="G248" s="63"/>
    </row>
    <row r="249" spans="2:7" s="62" customFormat="1" x14ac:dyDescent="0.35">
      <c r="B249" s="65"/>
      <c r="C249" s="65"/>
      <c r="D249" s="65"/>
      <c r="E249" s="63"/>
      <c r="F249" s="64"/>
      <c r="G249" s="63"/>
    </row>
    <row r="250" spans="2:7" s="62" customFormat="1" x14ac:dyDescent="0.35">
      <c r="B250" s="65"/>
      <c r="C250" s="65"/>
      <c r="D250" s="65"/>
      <c r="E250" s="63"/>
      <c r="F250" s="64"/>
      <c r="G250" s="63"/>
    </row>
    <row r="251" spans="2:7" s="62" customFormat="1" x14ac:dyDescent="0.35">
      <c r="B251" s="65"/>
      <c r="C251" s="65"/>
      <c r="D251" s="65"/>
      <c r="E251" s="63"/>
      <c r="F251" s="64"/>
      <c r="G251" s="63"/>
    </row>
    <row r="252" spans="2:7" s="62" customFormat="1" x14ac:dyDescent="0.35">
      <c r="B252" s="65"/>
      <c r="C252" s="65"/>
      <c r="D252" s="65"/>
      <c r="E252" s="63"/>
      <c r="F252" s="64"/>
      <c r="G252" s="63"/>
    </row>
    <row r="253" spans="2:7" s="62" customFormat="1" x14ac:dyDescent="0.35">
      <c r="B253" s="65"/>
      <c r="C253" s="65"/>
      <c r="D253" s="65"/>
      <c r="E253" s="63"/>
      <c r="F253" s="64"/>
      <c r="G253" s="63"/>
    </row>
    <row r="254" spans="2:7" s="62" customFormat="1" x14ac:dyDescent="0.35">
      <c r="B254" s="65"/>
      <c r="C254" s="65"/>
      <c r="D254" s="65"/>
      <c r="E254" s="63"/>
      <c r="F254" s="64"/>
      <c r="G254" s="63"/>
    </row>
    <row r="255" spans="2:7" s="62" customFormat="1" x14ac:dyDescent="0.35">
      <c r="B255" s="65"/>
      <c r="C255" s="65"/>
      <c r="D255" s="65"/>
      <c r="E255" s="63"/>
      <c r="F255" s="64"/>
      <c r="G255" s="63"/>
    </row>
    <row r="256" spans="2:7" s="62" customFormat="1" x14ac:dyDescent="0.35">
      <c r="B256" s="65"/>
      <c r="C256" s="65"/>
      <c r="D256" s="65"/>
      <c r="E256" s="63"/>
      <c r="F256" s="64"/>
      <c r="G256" s="63"/>
    </row>
    <row r="257" spans="2:7" s="62" customFormat="1" x14ac:dyDescent="0.35">
      <c r="B257" s="65"/>
      <c r="C257" s="65"/>
      <c r="D257" s="65"/>
      <c r="E257" s="63"/>
      <c r="F257" s="64"/>
      <c r="G257" s="63"/>
    </row>
    <row r="258" spans="2:7" s="62" customFormat="1" x14ac:dyDescent="0.35">
      <c r="B258" s="65"/>
      <c r="C258" s="65"/>
      <c r="D258" s="65"/>
      <c r="E258" s="63"/>
      <c r="F258" s="64"/>
      <c r="G258" s="63"/>
    </row>
    <row r="259" spans="2:7" s="62" customFormat="1" x14ac:dyDescent="0.35">
      <c r="B259" s="65"/>
      <c r="C259" s="65"/>
      <c r="D259" s="65"/>
      <c r="E259" s="63"/>
      <c r="F259" s="64"/>
      <c r="G259" s="63"/>
    </row>
    <row r="260" spans="2:7" s="62" customFormat="1" x14ac:dyDescent="0.35">
      <c r="B260" s="65"/>
      <c r="C260" s="65"/>
      <c r="D260" s="65"/>
      <c r="E260" s="63"/>
      <c r="F260" s="64"/>
      <c r="G260" s="63"/>
    </row>
    <row r="261" spans="2:7" s="62" customFormat="1" x14ac:dyDescent="0.35">
      <c r="B261" s="65"/>
      <c r="C261" s="65"/>
      <c r="D261" s="65"/>
      <c r="E261" s="63"/>
      <c r="F261" s="64"/>
      <c r="G261" s="63"/>
    </row>
    <row r="262" spans="2:7" s="62" customFormat="1" x14ac:dyDescent="0.35">
      <c r="B262" s="65"/>
      <c r="C262" s="65"/>
      <c r="D262" s="65"/>
      <c r="E262" s="63"/>
      <c r="F262" s="64"/>
      <c r="G262" s="63"/>
    </row>
    <row r="263" spans="2:7" s="62" customFormat="1" x14ac:dyDescent="0.35">
      <c r="B263" s="65"/>
      <c r="C263" s="65"/>
      <c r="D263" s="65"/>
      <c r="E263" s="63"/>
      <c r="F263" s="64"/>
      <c r="G263" s="63"/>
    </row>
    <row r="264" spans="2:7" s="62" customFormat="1" x14ac:dyDescent="0.35">
      <c r="B264" s="65"/>
      <c r="C264" s="65"/>
      <c r="D264" s="65"/>
      <c r="E264" s="63"/>
      <c r="F264" s="64"/>
      <c r="G264" s="63"/>
    </row>
    <row r="265" spans="2:7" s="62" customFormat="1" x14ac:dyDescent="0.35">
      <c r="B265" s="65"/>
      <c r="C265" s="65"/>
      <c r="D265" s="65"/>
      <c r="E265" s="63"/>
      <c r="F265" s="64"/>
      <c r="G265" s="63"/>
    </row>
    <row r="266" spans="2:7" s="62" customFormat="1" x14ac:dyDescent="0.35">
      <c r="B266" s="65"/>
      <c r="C266" s="65"/>
      <c r="D266" s="65"/>
      <c r="E266" s="63"/>
      <c r="F266" s="64"/>
      <c r="G266" s="63"/>
    </row>
    <row r="267" spans="2:7" s="62" customFormat="1" x14ac:dyDescent="0.35">
      <c r="B267" s="65"/>
      <c r="C267" s="65"/>
      <c r="D267" s="65"/>
      <c r="E267" s="63"/>
      <c r="F267" s="64"/>
      <c r="G267" s="63"/>
    </row>
    <row r="268" spans="2:7" s="62" customFormat="1" x14ac:dyDescent="0.35">
      <c r="B268" s="65"/>
      <c r="C268" s="65"/>
      <c r="D268" s="65"/>
      <c r="E268" s="63"/>
      <c r="F268" s="64"/>
      <c r="G268" s="63"/>
    </row>
    <row r="269" spans="2:7" s="62" customFormat="1" x14ac:dyDescent="0.35">
      <c r="B269" s="65"/>
      <c r="C269" s="65"/>
      <c r="D269" s="65"/>
      <c r="E269" s="63"/>
      <c r="F269" s="64"/>
      <c r="G269" s="63"/>
    </row>
    <row r="270" spans="2:7" s="62" customFormat="1" x14ac:dyDescent="0.35">
      <c r="B270" s="65"/>
      <c r="C270" s="65"/>
      <c r="D270" s="65"/>
      <c r="E270" s="63"/>
      <c r="F270" s="64"/>
      <c r="G270" s="63"/>
    </row>
    <row r="271" spans="2:7" s="62" customFormat="1" x14ac:dyDescent="0.35">
      <c r="B271" s="65"/>
      <c r="C271" s="65"/>
      <c r="D271" s="65"/>
      <c r="E271" s="63"/>
      <c r="F271" s="64"/>
      <c r="G271" s="63"/>
    </row>
    <row r="272" spans="2:7" s="62" customFormat="1" x14ac:dyDescent="0.35">
      <c r="B272" s="65"/>
      <c r="C272" s="65"/>
      <c r="D272" s="65"/>
      <c r="E272" s="63"/>
      <c r="F272" s="64"/>
      <c r="G272" s="63"/>
    </row>
    <row r="273" spans="2:7" s="62" customFormat="1" x14ac:dyDescent="0.35">
      <c r="B273" s="65"/>
      <c r="C273" s="65"/>
      <c r="D273" s="65"/>
      <c r="E273" s="63"/>
      <c r="F273" s="64"/>
      <c r="G273" s="63"/>
    </row>
    <row r="274" spans="2:7" s="62" customFormat="1" x14ac:dyDescent="0.35">
      <c r="B274" s="65"/>
      <c r="C274" s="65"/>
      <c r="D274" s="65"/>
      <c r="E274" s="63"/>
      <c r="F274" s="64"/>
      <c r="G274" s="63"/>
    </row>
    <row r="275" spans="2:7" s="62" customFormat="1" x14ac:dyDescent="0.35">
      <c r="B275" s="65"/>
      <c r="C275" s="65"/>
      <c r="D275" s="65"/>
      <c r="E275" s="63"/>
      <c r="F275" s="64"/>
      <c r="G275" s="63"/>
    </row>
    <row r="276" spans="2:7" s="62" customFormat="1" x14ac:dyDescent="0.35">
      <c r="B276" s="65"/>
      <c r="C276" s="65"/>
      <c r="D276" s="65"/>
      <c r="E276" s="63"/>
      <c r="F276" s="64"/>
      <c r="G276" s="63"/>
    </row>
    <row r="277" spans="2:7" s="62" customFormat="1" x14ac:dyDescent="0.35">
      <c r="B277" s="65"/>
      <c r="C277" s="65"/>
      <c r="D277" s="65"/>
      <c r="E277" s="63"/>
      <c r="F277" s="64"/>
      <c r="G277" s="63"/>
    </row>
    <row r="278" spans="2:7" s="62" customFormat="1" x14ac:dyDescent="0.35">
      <c r="B278" s="65"/>
      <c r="C278" s="65"/>
      <c r="D278" s="65"/>
      <c r="E278" s="63"/>
      <c r="F278" s="64"/>
      <c r="G278" s="63"/>
    </row>
    <row r="279" spans="2:7" s="62" customFormat="1" x14ac:dyDescent="0.35">
      <c r="B279" s="65"/>
      <c r="C279" s="65"/>
      <c r="D279" s="65"/>
      <c r="E279" s="63"/>
      <c r="F279" s="64"/>
      <c r="G279" s="63"/>
    </row>
    <row r="280" spans="2:7" s="62" customFormat="1" x14ac:dyDescent="0.35">
      <c r="B280" s="65"/>
      <c r="C280" s="65"/>
      <c r="D280" s="65"/>
      <c r="E280" s="63"/>
      <c r="F280" s="64"/>
      <c r="G280" s="63"/>
    </row>
    <row r="281" spans="2:7" s="62" customFormat="1" x14ac:dyDescent="0.35">
      <c r="B281" s="65"/>
      <c r="C281" s="65"/>
      <c r="D281" s="65"/>
      <c r="E281" s="63"/>
      <c r="F281" s="64"/>
      <c r="G281" s="63"/>
    </row>
    <row r="282" spans="2:7" s="62" customFormat="1" x14ac:dyDescent="0.35">
      <c r="B282" s="65"/>
      <c r="C282" s="65"/>
      <c r="D282" s="65"/>
      <c r="E282" s="63"/>
      <c r="F282" s="64"/>
      <c r="G282" s="63"/>
    </row>
    <row r="283" spans="2:7" s="62" customFormat="1" x14ac:dyDescent="0.35">
      <c r="B283" s="65"/>
      <c r="C283" s="65"/>
      <c r="D283" s="65"/>
      <c r="E283" s="63"/>
      <c r="F283" s="64"/>
      <c r="G283" s="63"/>
    </row>
    <row r="284" spans="2:7" s="62" customFormat="1" x14ac:dyDescent="0.35">
      <c r="B284" s="65"/>
      <c r="C284" s="65"/>
      <c r="D284" s="65"/>
      <c r="E284" s="63"/>
      <c r="F284" s="64"/>
      <c r="G284" s="63"/>
    </row>
    <row r="285" spans="2:7" s="62" customFormat="1" x14ac:dyDescent="0.35">
      <c r="B285" s="65"/>
      <c r="C285" s="65"/>
      <c r="D285" s="65"/>
      <c r="E285" s="63"/>
      <c r="F285" s="64"/>
      <c r="G285" s="63"/>
    </row>
    <row r="286" spans="2:7" s="62" customFormat="1" x14ac:dyDescent="0.35">
      <c r="B286" s="65"/>
      <c r="C286" s="65"/>
      <c r="D286" s="65"/>
      <c r="E286" s="63"/>
      <c r="F286" s="64"/>
      <c r="G286" s="63"/>
    </row>
    <row r="287" spans="2:7" s="62" customFormat="1" x14ac:dyDescent="0.35">
      <c r="B287" s="65"/>
      <c r="C287" s="65"/>
      <c r="D287" s="65"/>
      <c r="E287" s="63"/>
      <c r="F287" s="64"/>
      <c r="G287" s="63"/>
    </row>
    <row r="288" spans="2:7" s="62" customFormat="1" x14ac:dyDescent="0.35">
      <c r="B288" s="65"/>
      <c r="C288" s="65"/>
      <c r="D288" s="65"/>
      <c r="E288" s="63"/>
      <c r="F288" s="64"/>
      <c r="G288" s="63"/>
    </row>
  </sheetData>
  <conditionalFormatting sqref="C7:D71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1883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188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71">
    <cfRule type="colorScale" priority="188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BB105"/>
  <sheetViews>
    <sheetView showGridLines="0" zoomScale="85" zoomScaleNormal="85" workbookViewId="0">
      <pane xSplit="3" ySplit="6" topLeftCell="D36" activePane="bottomRight" state="frozen"/>
      <selection activeCell="A22" sqref="A22"/>
      <selection pane="topRight" activeCell="A22" sqref="A22"/>
      <selection pane="bottomLeft" activeCell="A22" sqref="A22"/>
      <selection pane="bottomRight" activeCell="D51" sqref="D51"/>
    </sheetView>
  </sheetViews>
  <sheetFormatPr defaultColWidth="9.109375" defaultRowHeight="18" x14ac:dyDescent="0.35"/>
  <cols>
    <col min="1" max="1" width="40.44140625" style="70" customWidth="1"/>
    <col min="2" max="2" width="9.44140625" style="34" customWidth="1"/>
    <col min="3" max="3" width="9.44140625" style="34" bestFit="1" customWidth="1"/>
    <col min="4" max="4" width="8.33203125" style="71" customWidth="1"/>
    <col min="5" max="5" width="13.88671875" style="4" bestFit="1" customWidth="1"/>
    <col min="6" max="6" width="12.33203125" style="1" customWidth="1"/>
    <col min="7" max="7" width="22" style="4" customWidth="1"/>
    <col min="8" max="8" width="3.33203125" style="1" customWidth="1"/>
    <col min="9" max="9" width="7.6640625" style="66" bestFit="1" customWidth="1"/>
    <col min="10" max="10" width="6.88671875" style="4" bestFit="1" customWidth="1"/>
    <col min="11" max="11" width="7.6640625" style="66" bestFit="1" customWidth="1"/>
    <col min="12" max="12" width="6.88671875" style="3" bestFit="1" customWidth="1"/>
    <col min="13" max="13" width="7.6640625" style="66" bestFit="1" customWidth="1"/>
    <col min="14" max="14" width="6.88671875" style="3" bestFit="1" customWidth="1"/>
    <col min="15" max="15" width="8" style="66" customWidth="1"/>
    <col min="16" max="16" width="7" style="3" customWidth="1"/>
    <col min="17" max="17" width="2.33203125" style="1" customWidth="1"/>
    <col min="18" max="18" width="7.6640625" style="1" bestFit="1" customWidth="1"/>
    <col min="19" max="19" width="6.88671875" style="1" bestFit="1" customWidth="1"/>
    <col min="20" max="20" width="7.6640625" style="66" customWidth="1"/>
    <col min="21" max="21" width="7.109375" style="3" customWidth="1"/>
    <col min="22" max="22" width="3.88671875" style="1" customWidth="1"/>
    <col min="23" max="26" width="6" style="1" customWidth="1"/>
    <col min="27" max="27" width="6.33203125" style="1" bestFit="1" customWidth="1"/>
    <col min="28" max="28" width="2.44140625" style="1" customWidth="1"/>
    <col min="29" max="31" width="6.109375" style="1" customWidth="1"/>
    <col min="32" max="32" width="5.109375" style="1" customWidth="1"/>
    <col min="33" max="33" width="6.33203125" style="1" bestFit="1" customWidth="1"/>
    <col min="34" max="34" width="5.33203125" style="1" customWidth="1"/>
    <col min="35" max="35" width="7.6640625" style="1" bestFit="1" customWidth="1"/>
    <col min="36" max="36" width="6.88671875" style="35" bestFit="1" customWidth="1"/>
    <col min="37" max="37" width="7.6640625" style="1" bestFit="1" customWidth="1"/>
    <col min="38" max="38" width="6.88671875" style="35" bestFit="1" customWidth="1"/>
    <col min="39" max="39" width="7.6640625" style="1" bestFit="1" customWidth="1"/>
    <col min="40" max="40" width="6.88671875" style="35" bestFit="1" customWidth="1"/>
    <col min="41" max="41" width="7.6640625" style="1" bestFit="1" customWidth="1"/>
    <col min="42" max="42" width="6.88671875" style="35" bestFit="1" customWidth="1"/>
    <col min="43" max="43" width="3.33203125" style="1" customWidth="1"/>
    <col min="44" max="46" width="6.5546875" style="1" customWidth="1"/>
    <col min="47" max="47" width="2.33203125" style="1" customWidth="1"/>
    <col min="48" max="50" width="6.5546875" style="133" customWidth="1"/>
    <col min="51" max="16384" width="9.109375" style="1"/>
  </cols>
  <sheetData>
    <row r="1" spans="1:54" s="31" customFormat="1" ht="21" x14ac:dyDescent="0.4">
      <c r="A1" s="631" t="s">
        <v>284</v>
      </c>
      <c r="B1" s="69"/>
      <c r="C1" s="69"/>
      <c r="D1" s="68"/>
      <c r="E1" s="34"/>
      <c r="G1" s="34"/>
      <c r="I1" s="394"/>
      <c r="J1" s="34"/>
      <c r="K1" s="394"/>
      <c r="L1" s="30"/>
      <c r="M1" s="394"/>
      <c r="N1" s="30"/>
      <c r="O1" s="394"/>
      <c r="P1" s="30"/>
      <c r="T1" s="394"/>
      <c r="U1" s="30"/>
      <c r="AI1" s="739"/>
      <c r="AJ1" s="126"/>
      <c r="AK1" s="127"/>
      <c r="AL1" s="126"/>
      <c r="AM1" s="127"/>
      <c r="AN1" s="126"/>
      <c r="AO1" s="127"/>
      <c r="AP1" s="126"/>
      <c r="AV1" s="555"/>
      <c r="AW1" s="555"/>
      <c r="AX1" s="555"/>
    </row>
    <row r="2" spans="1:54" x14ac:dyDescent="0.35">
      <c r="A2" s="67"/>
      <c r="B2" s="213"/>
      <c r="C2" s="562"/>
      <c r="D2" s="148" t="s">
        <v>167</v>
      </c>
      <c r="E2" s="96"/>
      <c r="F2" s="31"/>
      <c r="G2" s="343"/>
      <c r="H2" s="31"/>
      <c r="I2" s="345" t="s">
        <v>198</v>
      </c>
      <c r="J2" s="348"/>
      <c r="K2" s="345"/>
      <c r="L2" s="348"/>
      <c r="M2" s="345"/>
      <c r="N2" s="348"/>
      <c r="O2" s="345"/>
      <c r="P2" s="348"/>
      <c r="Q2" s="348"/>
      <c r="R2" s="348"/>
      <c r="S2" s="348"/>
      <c r="T2" s="345"/>
      <c r="U2" s="348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31"/>
      <c r="AI2" s="345" t="s">
        <v>199</v>
      </c>
      <c r="AJ2" s="346"/>
      <c r="AK2" s="347"/>
      <c r="AL2" s="346"/>
      <c r="AM2" s="347"/>
      <c r="AN2" s="346"/>
      <c r="AO2" s="347"/>
      <c r="AP2" s="346"/>
      <c r="AQ2" s="614"/>
      <c r="AR2" s="614"/>
      <c r="AS2" s="614"/>
      <c r="AT2" s="614"/>
      <c r="AU2" s="614"/>
      <c r="AV2" s="615"/>
      <c r="AW2" s="615"/>
      <c r="AX2" s="615"/>
      <c r="AY2" s="31"/>
      <c r="AZ2" s="31"/>
      <c r="BA2" s="31"/>
      <c r="BB2" s="31"/>
    </row>
    <row r="3" spans="1:54" s="31" customFormat="1" x14ac:dyDescent="0.35">
      <c r="A3" s="67"/>
      <c r="B3" s="68"/>
      <c r="C3" s="563"/>
      <c r="D3" s="344" t="s">
        <v>168</v>
      </c>
      <c r="E3" s="497"/>
      <c r="F3" s="111"/>
      <c r="G3" s="72" t="s">
        <v>75</v>
      </c>
      <c r="H3" s="106"/>
      <c r="I3" s="493"/>
      <c r="J3" s="71"/>
      <c r="K3" s="493"/>
      <c r="L3" s="110"/>
      <c r="M3" s="493"/>
      <c r="N3" s="110"/>
      <c r="O3" s="493"/>
      <c r="P3" s="110"/>
      <c r="Q3" s="70"/>
      <c r="R3" s="70"/>
      <c r="S3" s="70"/>
      <c r="T3" s="493"/>
      <c r="U3" s="110"/>
      <c r="V3" s="71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71"/>
      <c r="AJ3" s="110"/>
      <c r="AK3" s="71"/>
      <c r="AL3" s="110"/>
      <c r="AM3" s="71"/>
      <c r="AN3" s="110"/>
      <c r="AO3" s="71"/>
      <c r="AP3" s="110"/>
      <c r="AQ3" s="111"/>
      <c r="AR3" s="97" t="s">
        <v>190</v>
      </c>
      <c r="AS3" s="113"/>
      <c r="AT3" s="113"/>
      <c r="AU3" s="113"/>
      <c r="AV3" s="616"/>
      <c r="AW3" s="616"/>
      <c r="AX3" s="617"/>
    </row>
    <row r="4" spans="1:54" s="31" customFormat="1" x14ac:dyDescent="0.35">
      <c r="A4" s="70"/>
      <c r="B4" s="71"/>
      <c r="C4" s="210"/>
      <c r="D4" s="71"/>
      <c r="E4" s="856" t="s">
        <v>137</v>
      </c>
      <c r="F4" s="111"/>
      <c r="G4" s="439" t="s">
        <v>224</v>
      </c>
      <c r="H4" s="618"/>
      <c r="I4" s="494"/>
      <c r="J4" s="106"/>
      <c r="K4" s="495" t="s">
        <v>191</v>
      </c>
      <c r="L4" s="122"/>
      <c r="M4" s="494"/>
      <c r="N4" s="122"/>
      <c r="O4" s="494"/>
      <c r="P4" s="113"/>
      <c r="Q4" s="496"/>
      <c r="R4" s="344" t="s">
        <v>200</v>
      </c>
      <c r="S4" s="122"/>
      <c r="T4" s="495"/>
      <c r="U4" s="497"/>
      <c r="V4" s="111"/>
      <c r="W4" s="97" t="s">
        <v>201</v>
      </c>
      <c r="X4" s="113"/>
      <c r="Y4" s="113"/>
      <c r="Z4" s="113"/>
      <c r="AA4" s="113"/>
      <c r="AB4" s="113"/>
      <c r="AC4" s="113"/>
      <c r="AD4" s="113"/>
      <c r="AE4" s="113"/>
      <c r="AF4" s="113"/>
      <c r="AG4" s="500"/>
      <c r="AH4" s="111"/>
      <c r="AI4" s="498"/>
      <c r="AJ4" s="499"/>
      <c r="AK4" s="495" t="s">
        <v>191</v>
      </c>
      <c r="AL4" s="113"/>
      <c r="AM4" s="344"/>
      <c r="AN4" s="113"/>
      <c r="AO4" s="344"/>
      <c r="AP4" s="500"/>
      <c r="AQ4" s="111"/>
      <c r="AR4" s="106" t="s">
        <v>194</v>
      </c>
      <c r="AS4" s="122"/>
      <c r="AT4" s="619"/>
      <c r="AU4" s="620"/>
      <c r="AV4" s="106" t="s">
        <v>195</v>
      </c>
      <c r="AW4" s="621"/>
      <c r="AX4" s="622"/>
    </row>
    <row r="5" spans="1:54" s="31" customFormat="1" ht="38.700000000000003" customHeight="1" x14ac:dyDescent="0.35">
      <c r="A5" s="32"/>
      <c r="B5" s="344" t="s">
        <v>54</v>
      </c>
      <c r="C5" s="500"/>
      <c r="D5" s="33" t="s">
        <v>76</v>
      </c>
      <c r="E5" s="214" t="s">
        <v>101</v>
      </c>
      <c r="F5" s="862" t="s">
        <v>408</v>
      </c>
      <c r="G5" s="860" t="s">
        <v>333</v>
      </c>
      <c r="H5" s="623"/>
      <c r="I5" s="344" t="s">
        <v>267</v>
      </c>
      <c r="J5" s="501"/>
      <c r="K5" s="344" t="s">
        <v>62</v>
      </c>
      <c r="L5" s="501"/>
      <c r="M5" s="344" t="s">
        <v>63</v>
      </c>
      <c r="N5" s="502"/>
      <c r="O5" s="344" t="s">
        <v>64</v>
      </c>
      <c r="P5" s="117"/>
      <c r="Q5" s="503"/>
      <c r="R5" s="504" t="s">
        <v>185</v>
      </c>
      <c r="S5" s="505"/>
      <c r="T5" s="506" t="s">
        <v>65</v>
      </c>
      <c r="U5" s="117"/>
      <c r="V5" s="111"/>
      <c r="W5" s="344" t="s">
        <v>188</v>
      </c>
      <c r="X5" s="344"/>
      <c r="Y5" s="344"/>
      <c r="Z5" s="113"/>
      <c r="AA5" s="344"/>
      <c r="AB5" s="194"/>
      <c r="AC5" s="344" t="s">
        <v>189</v>
      </c>
      <c r="AD5" s="113"/>
      <c r="AE5" s="113"/>
      <c r="AF5" s="113"/>
      <c r="AG5" s="500"/>
      <c r="AI5" s="507" t="s">
        <v>70</v>
      </c>
      <c r="AJ5" s="508"/>
      <c r="AK5" s="118" t="s">
        <v>62</v>
      </c>
      <c r="AL5" s="508"/>
      <c r="AM5" s="118" t="s">
        <v>63</v>
      </c>
      <c r="AN5" s="509"/>
      <c r="AO5" s="344" t="s">
        <v>64</v>
      </c>
      <c r="AP5" s="117"/>
      <c r="AQ5" s="111"/>
      <c r="AR5" s="95" t="s">
        <v>196</v>
      </c>
      <c r="AS5" s="344"/>
      <c r="AT5" s="118"/>
      <c r="AU5" s="486"/>
      <c r="AV5" s="344" t="s">
        <v>197</v>
      </c>
      <c r="AW5" s="113"/>
      <c r="AX5" s="500"/>
    </row>
    <row r="6" spans="1:54" s="31" customFormat="1" ht="37.200000000000003" thickBot="1" x14ac:dyDescent="0.45">
      <c r="A6" s="55" t="s">
        <v>4</v>
      </c>
      <c r="B6" s="38" t="s">
        <v>3</v>
      </c>
      <c r="C6" s="511" t="s">
        <v>2</v>
      </c>
      <c r="D6" s="73" t="s">
        <v>77</v>
      </c>
      <c r="E6" s="624" t="s">
        <v>311</v>
      </c>
      <c r="F6" s="863" t="s">
        <v>409</v>
      </c>
      <c r="G6" s="861" t="s">
        <v>332</v>
      </c>
      <c r="H6" s="625"/>
      <c r="I6" s="510" t="s">
        <v>2</v>
      </c>
      <c r="J6" s="511" t="s">
        <v>3</v>
      </c>
      <c r="K6" s="510" t="s">
        <v>2</v>
      </c>
      <c r="L6" s="511" t="s">
        <v>3</v>
      </c>
      <c r="M6" s="510" t="s">
        <v>2</v>
      </c>
      <c r="N6" s="511" t="s">
        <v>3</v>
      </c>
      <c r="O6" s="512" t="s">
        <v>2</v>
      </c>
      <c r="P6" s="211" t="s">
        <v>3</v>
      </c>
      <c r="Q6" s="608"/>
      <c r="R6" s="512" t="s">
        <v>2</v>
      </c>
      <c r="S6" s="211" t="s">
        <v>3</v>
      </c>
      <c r="T6" s="510" t="s">
        <v>2</v>
      </c>
      <c r="U6" s="211" t="s">
        <v>3</v>
      </c>
      <c r="V6" s="608"/>
      <c r="W6" s="300" t="s">
        <v>25</v>
      </c>
      <c r="X6" s="301" t="s">
        <v>26</v>
      </c>
      <c r="Y6" s="662" t="s">
        <v>27</v>
      </c>
      <c r="Z6" s="300" t="s">
        <v>186</v>
      </c>
      <c r="AA6" s="301" t="s">
        <v>187</v>
      </c>
      <c r="AB6" s="626"/>
      <c r="AC6" s="301" t="s">
        <v>25</v>
      </c>
      <c r="AD6" s="301" t="s">
        <v>26</v>
      </c>
      <c r="AE6" s="302" t="s">
        <v>27</v>
      </c>
      <c r="AF6" s="300" t="s">
        <v>186</v>
      </c>
      <c r="AG6" s="302" t="s">
        <v>187</v>
      </c>
      <c r="AH6" s="611"/>
      <c r="AI6" s="513" t="s">
        <v>2</v>
      </c>
      <c r="AJ6" s="308" t="s">
        <v>3</v>
      </c>
      <c r="AK6" s="514" t="s">
        <v>2</v>
      </c>
      <c r="AL6" s="308" t="s">
        <v>3</v>
      </c>
      <c r="AM6" s="512" t="s">
        <v>2</v>
      </c>
      <c r="AN6" s="308" t="s">
        <v>3</v>
      </c>
      <c r="AO6" s="514" t="s">
        <v>2</v>
      </c>
      <c r="AP6" s="308" t="s">
        <v>3</v>
      </c>
      <c r="AQ6" s="608"/>
      <c r="AR6" s="300" t="s">
        <v>25</v>
      </c>
      <c r="AS6" s="301" t="s">
        <v>26</v>
      </c>
      <c r="AT6" s="302" t="s">
        <v>27</v>
      </c>
      <c r="AU6" s="611"/>
      <c r="AV6" s="301" t="s">
        <v>25</v>
      </c>
      <c r="AW6" s="301" t="s">
        <v>26</v>
      </c>
      <c r="AX6" s="302" t="s">
        <v>27</v>
      </c>
    </row>
    <row r="7" spans="1:54" ht="18.600000000000001" thickBot="1" x14ac:dyDescent="0.4">
      <c r="A7" s="1157" t="s">
        <v>10</v>
      </c>
      <c r="B7" s="164">
        <f>RANK(C7,C$7:C$71,0)</f>
        <v>17</v>
      </c>
      <c r="C7" s="166">
        <f t="shared" ref="C7:C40" si="0">SUM(D7:E7)</f>
        <v>1</v>
      </c>
      <c r="D7" s="76"/>
      <c r="E7" s="340">
        <v>1</v>
      </c>
      <c r="F7" s="857"/>
      <c r="G7" s="666" t="s">
        <v>78</v>
      </c>
      <c r="H7" s="627"/>
      <c r="I7" s="172">
        <v>4.0212272981087596</v>
      </c>
      <c r="J7" s="41">
        <v>43</v>
      </c>
      <c r="K7" s="435">
        <v>3.1661319073062302</v>
      </c>
      <c r="L7" s="75">
        <v>43</v>
      </c>
      <c r="M7" s="435">
        <v>3.9633833315581999</v>
      </c>
      <c r="N7" s="75">
        <v>43</v>
      </c>
      <c r="O7" s="167">
        <v>2.9510312594491999</v>
      </c>
      <c r="P7" s="164">
        <v>43</v>
      </c>
      <c r="Q7" s="623"/>
      <c r="R7" s="57">
        <v>4.0172900557164199</v>
      </c>
      <c r="S7" s="75">
        <v>18</v>
      </c>
      <c r="T7" s="167">
        <v>2.2422157568264001</v>
      </c>
      <c r="U7" s="75">
        <v>43</v>
      </c>
      <c r="V7" s="111"/>
      <c r="W7" s="165">
        <f t="shared" ref="W7:W40" si="1">MIN(L7-$J7,0)</f>
        <v>0</v>
      </c>
      <c r="X7" s="168">
        <f t="shared" ref="X7:X40" si="2">MIN(N7-$J7,0)</f>
        <v>0</v>
      </c>
      <c r="Y7" s="663">
        <f t="shared" ref="Y7:Y40" si="3">MIN(P7-$J7,0)</f>
        <v>0</v>
      </c>
      <c r="Z7" s="165">
        <f t="shared" ref="Z7:Z40" si="4">MIN(S7-$J7,0)</f>
        <v>-25</v>
      </c>
      <c r="AA7" s="164">
        <f t="shared" ref="AA7:AA40" si="5">MIN(U7-$J7,0)</f>
        <v>0</v>
      </c>
      <c r="AB7" s="628"/>
      <c r="AC7" s="57">
        <f t="shared" ref="AC7:AC40" si="6">MAX(K7-$I7,0)</f>
        <v>0</v>
      </c>
      <c r="AD7" s="182">
        <f t="shared" ref="AD7:AD40" si="7">MAX(M7-$I7,0)</f>
        <v>0</v>
      </c>
      <c r="AE7" s="166">
        <f t="shared" ref="AE7:AE40" si="8">MAX(O7-$I7,0)</f>
        <v>0</v>
      </c>
      <c r="AF7" s="167">
        <f t="shared" ref="AF7:AF40" si="9">MAX(R7-$I7,0)</f>
        <v>0</v>
      </c>
      <c r="AG7" s="166">
        <f t="shared" ref="AG7:AG40" si="10">MAX(T7-$I7,0)</f>
        <v>0</v>
      </c>
      <c r="AH7" s="629"/>
      <c r="AI7" s="42">
        <v>1.5066921456690601</v>
      </c>
      <c r="AJ7" s="299">
        <v>41</v>
      </c>
      <c r="AK7" s="298">
        <v>0</v>
      </c>
      <c r="AL7" s="299">
        <v>38</v>
      </c>
      <c r="AM7" s="298">
        <v>1.7446832712034701</v>
      </c>
      <c r="AN7" s="299">
        <v>21</v>
      </c>
      <c r="AO7" s="298">
        <v>0</v>
      </c>
      <c r="AP7" s="299">
        <v>15</v>
      </c>
      <c r="AQ7" s="111"/>
      <c r="AR7" s="165">
        <f t="shared" ref="AR7:AR40" si="11">MIN(AL7-$AJ7,0)</f>
        <v>-3</v>
      </c>
      <c r="AS7" s="164">
        <f t="shared" ref="AS7:AS40" si="12">MIN(AN7-$AJ7,0)</f>
        <v>-20</v>
      </c>
      <c r="AT7" s="164">
        <f t="shared" ref="AT7:AT40" si="13">MIN(AP7-$AJ7,0)</f>
        <v>-26</v>
      </c>
      <c r="AU7" s="31"/>
      <c r="AV7" s="57">
        <f t="shared" ref="AV7:AV40" si="14">MAX(AK7-$AI7,0)</f>
        <v>0</v>
      </c>
      <c r="AW7" s="57">
        <f t="shared" ref="AW7:AW40" si="15">MAX(AM7-$AI7,0)</f>
        <v>0.23799112553441004</v>
      </c>
      <c r="AX7" s="166">
        <f t="shared" ref="AX7:AX40" si="16">MAX(AO7-$AI7,0)</f>
        <v>0</v>
      </c>
      <c r="AY7" s="31"/>
      <c r="AZ7" s="31"/>
      <c r="BA7" s="31"/>
      <c r="BB7" s="31"/>
    </row>
    <row r="8" spans="1:54" ht="18.600000000000001" thickBot="1" x14ac:dyDescent="0.4">
      <c r="A8" s="365" t="s">
        <v>174</v>
      </c>
      <c r="B8" s="169">
        <f>RANK(C8,C$7:C$71,0)</f>
        <v>34</v>
      </c>
      <c r="C8" s="172">
        <f t="shared" si="0"/>
        <v>0</v>
      </c>
      <c r="D8" s="76"/>
      <c r="E8" s="74"/>
      <c r="F8" s="858"/>
      <c r="G8" s="667"/>
      <c r="H8" s="627"/>
      <c r="I8" s="172">
        <v>3.4777750632161801</v>
      </c>
      <c r="J8" s="41">
        <v>47</v>
      </c>
      <c r="K8" s="438">
        <v>3.1699188556624001</v>
      </c>
      <c r="L8" s="41">
        <v>37</v>
      </c>
      <c r="M8" s="438">
        <v>2.9976700232762101</v>
      </c>
      <c r="N8" s="41">
        <v>18</v>
      </c>
      <c r="O8" s="173">
        <v>1.8717857048664901</v>
      </c>
      <c r="P8" s="169">
        <v>55</v>
      </c>
      <c r="Q8" s="623"/>
      <c r="R8" s="171">
        <v>3.3041540837220502</v>
      </c>
      <c r="S8" s="41">
        <v>37</v>
      </c>
      <c r="T8" s="173">
        <v>2.7610196847363202</v>
      </c>
      <c r="U8" s="41">
        <v>47</v>
      </c>
      <c r="V8" s="111"/>
      <c r="W8" s="170">
        <f t="shared" si="1"/>
        <v>-10</v>
      </c>
      <c r="X8" s="174">
        <f t="shared" si="2"/>
        <v>-29</v>
      </c>
      <c r="Y8" s="664">
        <f t="shared" si="3"/>
        <v>0</v>
      </c>
      <c r="Z8" s="170">
        <f t="shared" si="4"/>
        <v>-10</v>
      </c>
      <c r="AA8" s="169">
        <f t="shared" si="5"/>
        <v>0</v>
      </c>
      <c r="AB8" s="630"/>
      <c r="AC8" s="171">
        <f t="shared" si="6"/>
        <v>0</v>
      </c>
      <c r="AD8" s="183">
        <f t="shared" si="7"/>
        <v>0</v>
      </c>
      <c r="AE8" s="172">
        <f t="shared" si="8"/>
        <v>0</v>
      </c>
      <c r="AF8" s="173">
        <f t="shared" si="9"/>
        <v>0</v>
      </c>
      <c r="AG8" s="172">
        <f t="shared" si="10"/>
        <v>0</v>
      </c>
      <c r="AH8" s="623"/>
      <c r="AI8" s="42">
        <v>0</v>
      </c>
      <c r="AJ8" s="299">
        <v>44</v>
      </c>
      <c r="AK8" s="298">
        <v>0</v>
      </c>
      <c r="AL8" s="299">
        <v>38</v>
      </c>
      <c r="AM8" s="298">
        <v>0</v>
      </c>
      <c r="AN8" s="299">
        <v>28</v>
      </c>
      <c r="AO8" s="298">
        <v>0</v>
      </c>
      <c r="AP8" s="299">
        <v>15</v>
      </c>
      <c r="AQ8" s="111"/>
      <c r="AR8" s="170">
        <f t="shared" si="11"/>
        <v>-6</v>
      </c>
      <c r="AS8" s="169">
        <f t="shared" si="12"/>
        <v>-16</v>
      </c>
      <c r="AT8" s="169">
        <f t="shared" si="13"/>
        <v>-29</v>
      </c>
      <c r="AU8" s="31"/>
      <c r="AV8" s="171">
        <f t="shared" si="14"/>
        <v>0</v>
      </c>
      <c r="AW8" s="171">
        <f t="shared" si="15"/>
        <v>0</v>
      </c>
      <c r="AX8" s="172">
        <f t="shared" si="16"/>
        <v>0</v>
      </c>
      <c r="AY8" s="31"/>
      <c r="AZ8" s="31"/>
      <c r="BA8" s="31"/>
      <c r="BB8" s="31"/>
    </row>
    <row r="9" spans="1:54" ht="18.600000000000001" thickBot="1" x14ac:dyDescent="0.4">
      <c r="A9" s="365" t="s">
        <v>115</v>
      </c>
      <c r="B9" s="169">
        <f>RANK(C9,C$7:C$71,0)</f>
        <v>34</v>
      </c>
      <c r="C9" s="172">
        <f t="shared" si="0"/>
        <v>0</v>
      </c>
      <c r="D9" s="76"/>
      <c r="E9" s="74"/>
      <c r="F9" s="858"/>
      <c r="G9" s="668"/>
      <c r="H9" s="627"/>
      <c r="I9" s="172">
        <v>3.78046242135086</v>
      </c>
      <c r="J9" s="41">
        <v>18</v>
      </c>
      <c r="K9" s="438">
        <v>3.4719042642238498</v>
      </c>
      <c r="L9" s="41">
        <v>47</v>
      </c>
      <c r="M9" s="438">
        <v>1.8500150818357699</v>
      </c>
      <c r="N9" s="41">
        <v>37</v>
      </c>
      <c r="O9" s="173">
        <v>0</v>
      </c>
      <c r="P9" s="41">
        <v>37</v>
      </c>
      <c r="Q9" s="623"/>
      <c r="R9" s="171">
        <v>3.7024127142482302</v>
      </c>
      <c r="S9" s="41">
        <v>43</v>
      </c>
      <c r="T9" s="173">
        <v>2.3393983444773898</v>
      </c>
      <c r="U9" s="41">
        <v>29</v>
      </c>
      <c r="V9" s="111"/>
      <c r="W9" s="170">
        <f t="shared" si="1"/>
        <v>0</v>
      </c>
      <c r="X9" s="174">
        <f t="shared" si="2"/>
        <v>0</v>
      </c>
      <c r="Y9" s="664">
        <f t="shared" si="3"/>
        <v>0</v>
      </c>
      <c r="Z9" s="170">
        <f t="shared" si="4"/>
        <v>0</v>
      </c>
      <c r="AA9" s="169">
        <f t="shared" si="5"/>
        <v>0</v>
      </c>
      <c r="AB9" s="630"/>
      <c r="AC9" s="171">
        <f t="shared" si="6"/>
        <v>0</v>
      </c>
      <c r="AD9" s="183">
        <f t="shared" si="7"/>
        <v>0</v>
      </c>
      <c r="AE9" s="172">
        <f t="shared" si="8"/>
        <v>0</v>
      </c>
      <c r="AF9" s="173">
        <f t="shared" si="9"/>
        <v>0</v>
      </c>
      <c r="AG9" s="172">
        <f t="shared" si="10"/>
        <v>0</v>
      </c>
      <c r="AH9" s="623"/>
      <c r="AI9" s="42">
        <v>2.4591344959510302</v>
      </c>
      <c r="AJ9" s="299">
        <v>35</v>
      </c>
      <c r="AK9" s="298">
        <v>2.73072449864434</v>
      </c>
      <c r="AL9" s="299">
        <v>34</v>
      </c>
      <c r="AM9" s="298">
        <v>0</v>
      </c>
      <c r="AN9" s="299">
        <v>28</v>
      </c>
      <c r="AO9" s="298">
        <v>0</v>
      </c>
      <c r="AP9" s="299">
        <v>15</v>
      </c>
      <c r="AQ9" s="111"/>
      <c r="AR9" s="170">
        <f t="shared" si="11"/>
        <v>-1</v>
      </c>
      <c r="AS9" s="169">
        <f t="shared" si="12"/>
        <v>-7</v>
      </c>
      <c r="AT9" s="169">
        <f t="shared" si="13"/>
        <v>-20</v>
      </c>
      <c r="AU9" s="31"/>
      <c r="AV9" s="171">
        <f t="shared" si="14"/>
        <v>0.2715900026933098</v>
      </c>
      <c r="AW9" s="171">
        <f t="shared" si="15"/>
        <v>0</v>
      </c>
      <c r="AX9" s="172">
        <f t="shared" si="16"/>
        <v>0</v>
      </c>
      <c r="AY9" s="31"/>
      <c r="AZ9" s="31"/>
      <c r="BA9" s="31"/>
      <c r="BB9" s="31"/>
    </row>
    <row r="10" spans="1:54" ht="18.600000000000001" thickBot="1" x14ac:dyDescent="0.4">
      <c r="A10" s="208" t="s">
        <v>116</v>
      </c>
      <c r="B10" s="169">
        <f>RANK(C10,C$7:C$71,0)</f>
        <v>34</v>
      </c>
      <c r="C10" s="172">
        <f t="shared" si="0"/>
        <v>0</v>
      </c>
      <c r="D10" s="76"/>
      <c r="E10" s="74"/>
      <c r="F10" s="858"/>
      <c r="G10" s="667"/>
      <c r="H10" s="627"/>
      <c r="I10" s="172">
        <v>5.6321302327138802</v>
      </c>
      <c r="J10" s="41">
        <v>29</v>
      </c>
      <c r="K10" s="438">
        <v>2.7023511255099</v>
      </c>
      <c r="L10" s="41">
        <v>18</v>
      </c>
      <c r="M10" s="438">
        <v>5.5255285448005598</v>
      </c>
      <c r="N10" s="41">
        <v>29</v>
      </c>
      <c r="O10" s="173">
        <v>1.4931254574072901</v>
      </c>
      <c r="P10" s="169">
        <v>29</v>
      </c>
      <c r="Q10" s="623"/>
      <c r="R10" s="171">
        <v>5.6050937980782498</v>
      </c>
      <c r="S10" s="41">
        <v>55</v>
      </c>
      <c r="T10" s="173">
        <v>2.1372265313289498</v>
      </c>
      <c r="U10" s="41">
        <v>5</v>
      </c>
      <c r="V10" s="111"/>
      <c r="W10" s="170">
        <f t="shared" si="1"/>
        <v>-11</v>
      </c>
      <c r="X10" s="174">
        <f t="shared" si="2"/>
        <v>0</v>
      </c>
      <c r="Y10" s="664">
        <f t="shared" si="3"/>
        <v>0</v>
      </c>
      <c r="Z10" s="170">
        <f t="shared" si="4"/>
        <v>0</v>
      </c>
      <c r="AA10" s="169">
        <f t="shared" si="5"/>
        <v>-24</v>
      </c>
      <c r="AB10" s="630"/>
      <c r="AC10" s="171">
        <f t="shared" si="6"/>
        <v>0</v>
      </c>
      <c r="AD10" s="183">
        <f t="shared" si="7"/>
        <v>0</v>
      </c>
      <c r="AE10" s="172">
        <f t="shared" si="8"/>
        <v>0</v>
      </c>
      <c r="AF10" s="173">
        <f t="shared" si="9"/>
        <v>0</v>
      </c>
      <c r="AG10" s="172">
        <f t="shared" si="10"/>
        <v>0</v>
      </c>
      <c r="AH10" s="623"/>
      <c r="AI10" s="42">
        <v>0</v>
      </c>
      <c r="AJ10" s="299">
        <v>44</v>
      </c>
      <c r="AK10" s="298">
        <v>0</v>
      </c>
      <c r="AL10" s="299">
        <v>38</v>
      </c>
      <c r="AM10" s="298">
        <v>0</v>
      </c>
      <c r="AN10" s="299">
        <v>28</v>
      </c>
      <c r="AO10" s="298">
        <v>0</v>
      </c>
      <c r="AP10" s="299">
        <v>15</v>
      </c>
      <c r="AQ10" s="111"/>
      <c r="AR10" s="170">
        <f t="shared" si="11"/>
        <v>-6</v>
      </c>
      <c r="AS10" s="169">
        <f t="shared" si="12"/>
        <v>-16</v>
      </c>
      <c r="AT10" s="169">
        <f t="shared" si="13"/>
        <v>-29</v>
      </c>
      <c r="AU10" s="31"/>
      <c r="AV10" s="171">
        <f t="shared" si="14"/>
        <v>0</v>
      </c>
      <c r="AW10" s="171">
        <f t="shared" si="15"/>
        <v>0</v>
      </c>
      <c r="AX10" s="172">
        <f t="shared" si="16"/>
        <v>0</v>
      </c>
      <c r="AY10" s="31"/>
      <c r="AZ10" s="31"/>
      <c r="BA10" s="31"/>
      <c r="BB10" s="31" t="s">
        <v>31</v>
      </c>
    </row>
    <row r="11" spans="1:54" ht="18.600000000000001" thickBot="1" x14ac:dyDescent="0.4">
      <c r="A11" s="365" t="s">
        <v>5</v>
      </c>
      <c r="B11" s="169">
        <f>RANK(C11,C$7:C$71,0)</f>
        <v>3</v>
      </c>
      <c r="C11" s="172">
        <f t="shared" si="0"/>
        <v>3</v>
      </c>
      <c r="D11" s="76">
        <v>2</v>
      </c>
      <c r="E11" s="74">
        <v>1</v>
      </c>
      <c r="F11" s="858"/>
      <c r="G11" s="669" t="s">
        <v>78</v>
      </c>
      <c r="H11" s="627"/>
      <c r="I11" s="172">
        <v>6.8430793983662204</v>
      </c>
      <c r="J11" s="41">
        <v>37</v>
      </c>
      <c r="K11" s="438">
        <v>5.4055478909065799</v>
      </c>
      <c r="L11" s="41">
        <v>31</v>
      </c>
      <c r="M11" s="438">
        <v>6.4141843512359902</v>
      </c>
      <c r="N11" s="41">
        <v>55</v>
      </c>
      <c r="O11" s="173">
        <v>0</v>
      </c>
      <c r="P11" s="41">
        <v>18</v>
      </c>
      <c r="Q11" s="623"/>
      <c r="R11" s="171">
        <v>1.74004187346595</v>
      </c>
      <c r="S11" s="41">
        <v>57</v>
      </c>
      <c r="T11" s="173">
        <v>6.7041739551687698</v>
      </c>
      <c r="U11" s="41">
        <v>54</v>
      </c>
      <c r="V11" s="111"/>
      <c r="W11" s="170">
        <f t="shared" si="1"/>
        <v>-6</v>
      </c>
      <c r="X11" s="174">
        <f t="shared" si="2"/>
        <v>0</v>
      </c>
      <c r="Y11" s="664">
        <f t="shared" si="3"/>
        <v>-19</v>
      </c>
      <c r="Z11" s="170">
        <f t="shared" si="4"/>
        <v>0</v>
      </c>
      <c r="AA11" s="169">
        <f t="shared" si="5"/>
        <v>0</v>
      </c>
      <c r="AB11" s="630"/>
      <c r="AC11" s="171">
        <f t="shared" si="6"/>
        <v>0</v>
      </c>
      <c r="AD11" s="183">
        <f t="shared" si="7"/>
        <v>0</v>
      </c>
      <c r="AE11" s="172">
        <f t="shared" si="8"/>
        <v>0</v>
      </c>
      <c r="AF11" s="173">
        <f t="shared" si="9"/>
        <v>0</v>
      </c>
      <c r="AG11" s="172">
        <f t="shared" si="10"/>
        <v>0</v>
      </c>
      <c r="AH11" s="623"/>
      <c r="AI11" s="42">
        <v>9.7465731314616093</v>
      </c>
      <c r="AJ11" s="299">
        <v>2</v>
      </c>
      <c r="AK11" s="298">
        <v>7.7729406452055398</v>
      </c>
      <c r="AL11" s="299">
        <v>5</v>
      </c>
      <c r="AM11" s="298">
        <v>10</v>
      </c>
      <c r="AN11" s="299">
        <v>1</v>
      </c>
      <c r="AO11" s="298">
        <v>10</v>
      </c>
      <c r="AP11" s="299">
        <v>1</v>
      </c>
      <c r="AQ11" s="111"/>
      <c r="AR11" s="170">
        <f t="shared" si="11"/>
        <v>0</v>
      </c>
      <c r="AS11" s="169">
        <f t="shared" si="12"/>
        <v>-1</v>
      </c>
      <c r="AT11" s="169">
        <f t="shared" si="13"/>
        <v>-1</v>
      </c>
      <c r="AU11" s="31"/>
      <c r="AV11" s="171">
        <f t="shared" si="14"/>
        <v>0</v>
      </c>
      <c r="AW11" s="171">
        <f t="shared" si="15"/>
        <v>0.25342686853839069</v>
      </c>
      <c r="AX11" s="172">
        <f t="shared" si="16"/>
        <v>0.25342686853839069</v>
      </c>
      <c r="AY11" s="31"/>
      <c r="AZ11" s="31"/>
      <c r="BA11" s="31"/>
      <c r="BB11" s="31"/>
    </row>
    <row r="12" spans="1:54" ht="18.600000000000001" thickBot="1" x14ac:dyDescent="0.4">
      <c r="A12" s="365" t="s">
        <v>175</v>
      </c>
      <c r="B12" s="169">
        <f>RANK(C12,C$7:C$71,0)</f>
        <v>34</v>
      </c>
      <c r="C12" s="172">
        <f t="shared" si="0"/>
        <v>0</v>
      </c>
      <c r="D12" s="76"/>
      <c r="E12" s="74"/>
      <c r="F12" s="858"/>
      <c r="G12" s="668"/>
      <c r="H12" s="627"/>
      <c r="I12" s="172">
        <v>4.1101984666818696</v>
      </c>
      <c r="J12" s="41">
        <v>22</v>
      </c>
      <c r="K12" s="438">
        <v>4.4381555694184103</v>
      </c>
      <c r="L12" s="41">
        <v>29</v>
      </c>
      <c r="M12" s="438">
        <v>2.1469483152289102</v>
      </c>
      <c r="N12" s="41">
        <v>57</v>
      </c>
      <c r="O12" s="173">
        <v>0</v>
      </c>
      <c r="P12" s="169">
        <v>57</v>
      </c>
      <c r="Q12" s="623"/>
      <c r="R12" s="171">
        <v>3.11769068473125</v>
      </c>
      <c r="S12" s="41">
        <v>29</v>
      </c>
      <c r="T12" s="173">
        <v>4.2711159213054701</v>
      </c>
      <c r="U12" s="41">
        <v>22</v>
      </c>
      <c r="V12" s="111"/>
      <c r="W12" s="170">
        <f t="shared" si="1"/>
        <v>0</v>
      </c>
      <c r="X12" s="174">
        <f t="shared" si="2"/>
        <v>0</v>
      </c>
      <c r="Y12" s="664">
        <f t="shared" si="3"/>
        <v>0</v>
      </c>
      <c r="Z12" s="170">
        <f t="shared" si="4"/>
        <v>0</v>
      </c>
      <c r="AA12" s="169">
        <f t="shared" si="5"/>
        <v>0</v>
      </c>
      <c r="AB12" s="630"/>
      <c r="AC12" s="171">
        <f t="shared" si="6"/>
        <v>0.32795710273654066</v>
      </c>
      <c r="AD12" s="183">
        <f t="shared" si="7"/>
        <v>0</v>
      </c>
      <c r="AE12" s="172">
        <f t="shared" si="8"/>
        <v>0</v>
      </c>
      <c r="AF12" s="173">
        <f t="shared" si="9"/>
        <v>0</v>
      </c>
      <c r="AG12" s="172">
        <f t="shared" si="10"/>
        <v>0.16091745462360052</v>
      </c>
      <c r="AH12" s="623"/>
      <c r="AI12" s="42">
        <v>0</v>
      </c>
      <c r="AJ12" s="299">
        <v>44</v>
      </c>
      <c r="AK12" s="298">
        <v>0</v>
      </c>
      <c r="AL12" s="299">
        <v>38</v>
      </c>
      <c r="AM12" s="298">
        <v>0</v>
      </c>
      <c r="AN12" s="299">
        <v>28</v>
      </c>
      <c r="AO12" s="298">
        <v>0</v>
      </c>
      <c r="AP12" s="299">
        <v>15</v>
      </c>
      <c r="AQ12" s="111"/>
      <c r="AR12" s="170">
        <f t="shared" si="11"/>
        <v>-6</v>
      </c>
      <c r="AS12" s="169">
        <f t="shared" si="12"/>
        <v>-16</v>
      </c>
      <c r="AT12" s="169">
        <f t="shared" si="13"/>
        <v>-29</v>
      </c>
      <c r="AU12" s="31"/>
      <c r="AV12" s="171">
        <f t="shared" si="14"/>
        <v>0</v>
      </c>
      <c r="AW12" s="171">
        <f t="shared" si="15"/>
        <v>0</v>
      </c>
      <c r="AX12" s="172">
        <f t="shared" si="16"/>
        <v>0</v>
      </c>
      <c r="AY12" s="31"/>
      <c r="AZ12" s="31"/>
      <c r="BA12" s="31"/>
      <c r="BB12" s="31"/>
    </row>
    <row r="13" spans="1:54" ht="18.600000000000001" thickBot="1" x14ac:dyDescent="0.4">
      <c r="A13" s="365" t="s">
        <v>292</v>
      </c>
      <c r="B13" s="169">
        <f>RANK(C13,C$7:C$71,0)</f>
        <v>34</v>
      </c>
      <c r="C13" s="172">
        <f t="shared" si="0"/>
        <v>0</v>
      </c>
      <c r="D13" s="76"/>
      <c r="E13" s="74"/>
      <c r="F13" s="858"/>
      <c r="G13" s="668"/>
      <c r="H13" s="627"/>
      <c r="I13" s="172">
        <v>3.7513299546296701</v>
      </c>
      <c r="J13" s="41">
        <v>55</v>
      </c>
      <c r="K13" s="438">
        <v>4.9628803931303498</v>
      </c>
      <c r="L13" s="41">
        <v>13</v>
      </c>
      <c r="M13" s="438">
        <v>2.74855654193503</v>
      </c>
      <c r="N13" s="41">
        <v>5</v>
      </c>
      <c r="O13" s="173">
        <v>0</v>
      </c>
      <c r="P13" s="41">
        <v>47</v>
      </c>
      <c r="Q13" s="623"/>
      <c r="R13" s="171">
        <v>0</v>
      </c>
      <c r="S13" s="41">
        <v>47</v>
      </c>
      <c r="T13" s="173">
        <v>5.1384672163841598</v>
      </c>
      <c r="U13" s="41">
        <v>23</v>
      </c>
      <c r="V13" s="111"/>
      <c r="W13" s="170">
        <f>MIN(L13-$J13,0)</f>
        <v>-42</v>
      </c>
      <c r="X13" s="174">
        <f t="shared" si="2"/>
        <v>-50</v>
      </c>
      <c r="Y13" s="664">
        <f t="shared" si="3"/>
        <v>-8</v>
      </c>
      <c r="Z13" s="170">
        <f t="shared" si="4"/>
        <v>-8</v>
      </c>
      <c r="AA13" s="169">
        <f t="shared" si="5"/>
        <v>-32</v>
      </c>
      <c r="AB13" s="630"/>
      <c r="AC13" s="171">
        <f>MAX(K13-$I13,0)</f>
        <v>1.2115504385006797</v>
      </c>
      <c r="AD13" s="183">
        <f t="shared" si="7"/>
        <v>0</v>
      </c>
      <c r="AE13" s="172">
        <f t="shared" si="8"/>
        <v>0</v>
      </c>
      <c r="AF13" s="173">
        <f t="shared" si="9"/>
        <v>0</v>
      </c>
      <c r="AG13" s="172">
        <f t="shared" si="10"/>
        <v>1.3871372617544897</v>
      </c>
      <c r="AH13" s="623"/>
      <c r="AI13" s="42">
        <v>7.5754008245066098</v>
      </c>
      <c r="AJ13" s="299">
        <v>4</v>
      </c>
      <c r="AK13" s="298">
        <v>8.2318785744136704</v>
      </c>
      <c r="AL13" s="299">
        <v>3</v>
      </c>
      <c r="AM13" s="298">
        <v>5.8591115838408996</v>
      </c>
      <c r="AN13" s="299">
        <v>4</v>
      </c>
      <c r="AO13" s="298">
        <v>3.8916473750556202</v>
      </c>
      <c r="AP13" s="299">
        <v>6</v>
      </c>
      <c r="AQ13" s="111"/>
      <c r="AR13" s="170">
        <f t="shared" si="11"/>
        <v>-1</v>
      </c>
      <c r="AS13" s="169">
        <f t="shared" si="12"/>
        <v>0</v>
      </c>
      <c r="AT13" s="169">
        <f t="shared" si="13"/>
        <v>0</v>
      </c>
      <c r="AU13" s="31"/>
      <c r="AV13" s="171">
        <f t="shared" si="14"/>
        <v>0.65647774990706065</v>
      </c>
      <c r="AW13" s="171">
        <f t="shared" si="15"/>
        <v>0</v>
      </c>
      <c r="AX13" s="172">
        <f t="shared" si="16"/>
        <v>0</v>
      </c>
      <c r="AY13" s="31"/>
      <c r="AZ13" s="31"/>
      <c r="BA13" s="31"/>
      <c r="BB13" s="31"/>
    </row>
    <row r="14" spans="1:54" ht="18.600000000000001" thickBot="1" x14ac:dyDescent="0.4">
      <c r="A14" s="1195" t="s">
        <v>104</v>
      </c>
      <c r="B14" s="169">
        <f>RANK(C14,C$7:C$71,0)</f>
        <v>34</v>
      </c>
      <c r="C14" s="172">
        <f t="shared" si="0"/>
        <v>0</v>
      </c>
      <c r="D14" s="76"/>
      <c r="E14" s="74"/>
      <c r="F14" s="858"/>
      <c r="G14" s="670"/>
      <c r="H14" s="627"/>
      <c r="I14" s="172">
        <v>5.6335603307852402</v>
      </c>
      <c r="J14" s="41">
        <v>57</v>
      </c>
      <c r="K14" s="438">
        <v>5.7213082342901203</v>
      </c>
      <c r="L14" s="41">
        <v>8</v>
      </c>
      <c r="M14" s="438">
        <v>2.79210997497949</v>
      </c>
      <c r="N14" s="41">
        <v>47</v>
      </c>
      <c r="O14" s="173">
        <v>2.3649664475246901</v>
      </c>
      <c r="P14" s="169">
        <v>30</v>
      </c>
      <c r="Q14" s="623"/>
      <c r="R14" s="171">
        <v>5.3934942425504602</v>
      </c>
      <c r="S14" s="41">
        <v>40</v>
      </c>
      <c r="T14" s="173">
        <v>4.3598300654370101</v>
      </c>
      <c r="U14" s="41">
        <v>7</v>
      </c>
      <c r="V14" s="111"/>
      <c r="W14" s="170">
        <f t="shared" si="1"/>
        <v>-49</v>
      </c>
      <c r="X14" s="174">
        <f t="shared" si="2"/>
        <v>-10</v>
      </c>
      <c r="Y14" s="664">
        <f t="shared" si="3"/>
        <v>-27</v>
      </c>
      <c r="Z14" s="170">
        <f t="shared" si="4"/>
        <v>-17</v>
      </c>
      <c r="AA14" s="169">
        <f t="shared" si="5"/>
        <v>-50</v>
      </c>
      <c r="AB14" s="630"/>
      <c r="AC14" s="171">
        <f t="shared" si="6"/>
        <v>8.7747903504880043E-2</v>
      </c>
      <c r="AD14" s="183">
        <f t="shared" si="7"/>
        <v>0</v>
      </c>
      <c r="AE14" s="172">
        <f t="shared" si="8"/>
        <v>0</v>
      </c>
      <c r="AF14" s="173">
        <f t="shared" si="9"/>
        <v>0</v>
      </c>
      <c r="AG14" s="172">
        <f t="shared" si="10"/>
        <v>0</v>
      </c>
      <c r="AH14" s="623"/>
      <c r="AI14" s="42">
        <v>6.9103984557911602</v>
      </c>
      <c r="AJ14" s="299">
        <v>6</v>
      </c>
      <c r="AK14" s="298">
        <v>7.6630857306711597</v>
      </c>
      <c r="AL14" s="299">
        <v>6</v>
      </c>
      <c r="AM14" s="298">
        <v>2.2317217888417402</v>
      </c>
      <c r="AN14" s="299">
        <v>18</v>
      </c>
      <c r="AO14" s="298">
        <v>3.5198368374046001</v>
      </c>
      <c r="AP14" s="299">
        <v>9</v>
      </c>
      <c r="AQ14" s="111"/>
      <c r="AR14" s="170">
        <f t="shared" si="11"/>
        <v>0</v>
      </c>
      <c r="AS14" s="169">
        <f t="shared" si="12"/>
        <v>0</v>
      </c>
      <c r="AT14" s="169">
        <f t="shared" si="13"/>
        <v>0</v>
      </c>
      <c r="AU14" s="31"/>
      <c r="AV14" s="171">
        <f t="shared" si="14"/>
        <v>0.75268727487999953</v>
      </c>
      <c r="AW14" s="171">
        <f t="shared" si="15"/>
        <v>0</v>
      </c>
      <c r="AX14" s="172">
        <f t="shared" si="16"/>
        <v>0</v>
      </c>
      <c r="AY14" s="31"/>
      <c r="AZ14" s="31"/>
      <c r="BA14" s="31"/>
      <c r="BB14" s="31"/>
    </row>
    <row r="15" spans="1:54" ht="18.600000000000001" thickBot="1" x14ac:dyDescent="0.4">
      <c r="A15" s="365" t="s">
        <v>117</v>
      </c>
      <c r="B15" s="169">
        <f>RANK(C15,C$7:C$71,0)</f>
        <v>12</v>
      </c>
      <c r="C15" s="172">
        <f t="shared" si="0"/>
        <v>2</v>
      </c>
      <c r="D15" s="76">
        <v>1</v>
      </c>
      <c r="E15" s="74">
        <v>1</v>
      </c>
      <c r="F15" s="858"/>
      <c r="G15" s="667" t="s">
        <v>78</v>
      </c>
      <c r="H15" s="627"/>
      <c r="I15" s="172">
        <v>5.0711883523351098</v>
      </c>
      <c r="J15" s="41">
        <v>10</v>
      </c>
      <c r="K15" s="438">
        <v>4.6726569539871603</v>
      </c>
      <c r="L15" s="41">
        <v>5</v>
      </c>
      <c r="M15" s="438">
        <v>1.3847158652689699</v>
      </c>
      <c r="N15" s="41">
        <v>40</v>
      </c>
      <c r="O15" s="173">
        <v>0</v>
      </c>
      <c r="P15" s="41">
        <v>42</v>
      </c>
      <c r="Q15" s="623"/>
      <c r="R15" s="171">
        <v>0</v>
      </c>
      <c r="S15" s="41">
        <v>34</v>
      </c>
      <c r="T15" s="173">
        <v>4.6732779463666301</v>
      </c>
      <c r="U15" s="41">
        <v>10</v>
      </c>
      <c r="V15" s="111"/>
      <c r="W15" s="170">
        <f t="shared" si="1"/>
        <v>-5</v>
      </c>
      <c r="X15" s="174">
        <f t="shared" si="2"/>
        <v>0</v>
      </c>
      <c r="Y15" s="664">
        <f t="shared" si="3"/>
        <v>0</v>
      </c>
      <c r="Z15" s="170">
        <f t="shared" si="4"/>
        <v>0</v>
      </c>
      <c r="AA15" s="169">
        <f t="shared" si="5"/>
        <v>0</v>
      </c>
      <c r="AB15" s="630"/>
      <c r="AC15" s="171">
        <f t="shared" si="6"/>
        <v>0</v>
      </c>
      <c r="AD15" s="183">
        <f t="shared" si="7"/>
        <v>0</v>
      </c>
      <c r="AE15" s="172">
        <f t="shared" si="8"/>
        <v>0</v>
      </c>
      <c r="AF15" s="173">
        <f t="shared" si="9"/>
        <v>0</v>
      </c>
      <c r="AG15" s="172">
        <f t="shared" si="10"/>
        <v>0</v>
      </c>
      <c r="AH15" s="623"/>
      <c r="AI15" s="42">
        <v>6.1895336926856803</v>
      </c>
      <c r="AJ15" s="299">
        <v>10</v>
      </c>
      <c r="AK15" s="298">
        <v>6.8725609156987</v>
      </c>
      <c r="AL15" s="299">
        <v>8</v>
      </c>
      <c r="AM15" s="298">
        <v>1.7880349861071301</v>
      </c>
      <c r="AN15" s="299">
        <v>20</v>
      </c>
      <c r="AO15" s="298">
        <v>0</v>
      </c>
      <c r="AP15" s="299">
        <v>15</v>
      </c>
      <c r="AQ15" s="111"/>
      <c r="AR15" s="170">
        <f t="shared" si="11"/>
        <v>-2</v>
      </c>
      <c r="AS15" s="169">
        <f t="shared" si="12"/>
        <v>0</v>
      </c>
      <c r="AT15" s="169">
        <f t="shared" si="13"/>
        <v>0</v>
      </c>
      <c r="AU15" s="31"/>
      <c r="AV15" s="171">
        <f t="shared" si="14"/>
        <v>0.68302722301301966</v>
      </c>
      <c r="AW15" s="171">
        <f t="shared" si="15"/>
        <v>0</v>
      </c>
      <c r="AX15" s="172">
        <f t="shared" si="16"/>
        <v>0</v>
      </c>
      <c r="AY15" s="31"/>
      <c r="AZ15" s="31"/>
      <c r="BA15" s="31"/>
      <c r="BB15" s="31"/>
    </row>
    <row r="16" spans="1:54" ht="18.600000000000001" thickBot="1" x14ac:dyDescent="0.4">
      <c r="A16" s="365" t="s">
        <v>9</v>
      </c>
      <c r="B16" s="169">
        <f>RANK(C16,C$7:C$71,0)</f>
        <v>34</v>
      </c>
      <c r="C16" s="172">
        <f t="shared" si="0"/>
        <v>0</v>
      </c>
      <c r="D16" s="76"/>
      <c r="E16" s="74"/>
      <c r="F16" s="858"/>
      <c r="G16" s="669"/>
      <c r="H16" s="627"/>
      <c r="I16" s="172">
        <v>6.9667094882193004</v>
      </c>
      <c r="J16" s="41">
        <v>5</v>
      </c>
      <c r="K16" s="438">
        <v>4.66362476227469</v>
      </c>
      <c r="L16" s="41">
        <v>54</v>
      </c>
      <c r="M16" s="438">
        <v>5.8594060879178604</v>
      </c>
      <c r="N16" s="41">
        <v>10</v>
      </c>
      <c r="O16" s="173">
        <v>0</v>
      </c>
      <c r="P16" s="41">
        <v>34</v>
      </c>
      <c r="Q16" s="623"/>
      <c r="R16" s="171">
        <v>0</v>
      </c>
      <c r="S16" s="41">
        <v>4</v>
      </c>
      <c r="T16" s="173">
        <v>5.0860353657661603</v>
      </c>
      <c r="U16" s="41">
        <v>31</v>
      </c>
      <c r="V16" s="111"/>
      <c r="W16" s="170">
        <f t="shared" si="1"/>
        <v>0</v>
      </c>
      <c r="X16" s="174">
        <f t="shared" si="2"/>
        <v>0</v>
      </c>
      <c r="Y16" s="664">
        <f t="shared" si="3"/>
        <v>0</v>
      </c>
      <c r="Z16" s="170">
        <f t="shared" si="4"/>
        <v>-1</v>
      </c>
      <c r="AA16" s="169">
        <f t="shared" si="5"/>
        <v>0</v>
      </c>
      <c r="AB16" s="630"/>
      <c r="AC16" s="171">
        <f t="shared" si="6"/>
        <v>0</v>
      </c>
      <c r="AD16" s="183">
        <f t="shared" si="7"/>
        <v>0</v>
      </c>
      <c r="AE16" s="172">
        <f t="shared" si="8"/>
        <v>0</v>
      </c>
      <c r="AF16" s="173">
        <f t="shared" si="9"/>
        <v>0</v>
      </c>
      <c r="AG16" s="172">
        <f t="shared" si="10"/>
        <v>0</v>
      </c>
      <c r="AH16" s="623"/>
      <c r="AI16" s="42">
        <v>5.5655533943911699</v>
      </c>
      <c r="AJ16" s="299">
        <v>11</v>
      </c>
      <c r="AK16" s="298">
        <v>5.5502470557640704</v>
      </c>
      <c r="AL16" s="299">
        <v>14</v>
      </c>
      <c r="AM16" s="298">
        <v>5.3987341568236697</v>
      </c>
      <c r="AN16" s="299">
        <v>6</v>
      </c>
      <c r="AO16" s="298">
        <v>4.3811094101388104</v>
      </c>
      <c r="AP16" s="299">
        <v>5</v>
      </c>
      <c r="AQ16" s="111"/>
      <c r="AR16" s="170">
        <f t="shared" si="11"/>
        <v>0</v>
      </c>
      <c r="AS16" s="169">
        <f t="shared" si="12"/>
        <v>-5</v>
      </c>
      <c r="AT16" s="169">
        <f t="shared" si="13"/>
        <v>-6</v>
      </c>
      <c r="AU16" s="31"/>
      <c r="AV16" s="171">
        <f t="shared" si="14"/>
        <v>0</v>
      </c>
      <c r="AW16" s="171">
        <f t="shared" si="15"/>
        <v>0</v>
      </c>
      <c r="AX16" s="172">
        <f t="shared" si="16"/>
        <v>0</v>
      </c>
      <c r="AY16" s="31"/>
      <c r="AZ16" s="31"/>
      <c r="BA16" s="31"/>
      <c r="BB16" s="31"/>
    </row>
    <row r="17" spans="1:54" ht="18.600000000000001" thickBot="1" x14ac:dyDescent="0.4">
      <c r="A17" s="365" t="s">
        <v>99</v>
      </c>
      <c r="B17" s="169">
        <f>RANK(C17,C$7:C$71,0)</f>
        <v>17</v>
      </c>
      <c r="C17" s="172">
        <f t="shared" si="0"/>
        <v>1</v>
      </c>
      <c r="D17" s="76"/>
      <c r="E17" s="74">
        <v>1</v>
      </c>
      <c r="F17" s="858"/>
      <c r="G17" s="669" t="s">
        <v>78</v>
      </c>
      <c r="H17" s="627"/>
      <c r="I17" s="172">
        <v>3.57952156882522</v>
      </c>
      <c r="J17" s="41">
        <v>40</v>
      </c>
      <c r="K17" s="438">
        <v>3.5070188372731801</v>
      </c>
      <c r="L17" s="41">
        <v>22</v>
      </c>
      <c r="M17" s="438">
        <v>0</v>
      </c>
      <c r="N17" s="41">
        <v>4</v>
      </c>
      <c r="O17" s="173">
        <v>0</v>
      </c>
      <c r="P17" s="41">
        <v>12</v>
      </c>
      <c r="Q17" s="623"/>
      <c r="R17" s="171">
        <v>0</v>
      </c>
      <c r="S17" s="41">
        <v>8</v>
      </c>
      <c r="T17" s="173">
        <v>3.5070188372731801</v>
      </c>
      <c r="U17" s="41">
        <v>9</v>
      </c>
      <c r="V17" s="111"/>
      <c r="W17" s="170">
        <f t="shared" si="1"/>
        <v>-18</v>
      </c>
      <c r="X17" s="174">
        <f t="shared" si="2"/>
        <v>-36</v>
      </c>
      <c r="Y17" s="664">
        <f t="shared" si="3"/>
        <v>-28</v>
      </c>
      <c r="Z17" s="170">
        <f t="shared" si="4"/>
        <v>-32</v>
      </c>
      <c r="AA17" s="169">
        <f t="shared" si="5"/>
        <v>-31</v>
      </c>
      <c r="AB17" s="630"/>
      <c r="AC17" s="171">
        <f t="shared" si="6"/>
        <v>0</v>
      </c>
      <c r="AD17" s="183">
        <f t="shared" si="7"/>
        <v>0</v>
      </c>
      <c r="AE17" s="172">
        <f t="shared" si="8"/>
        <v>0</v>
      </c>
      <c r="AF17" s="173">
        <f t="shared" si="9"/>
        <v>0</v>
      </c>
      <c r="AG17" s="172">
        <f t="shared" si="10"/>
        <v>0</v>
      </c>
      <c r="AH17" s="623"/>
      <c r="AI17" s="42">
        <v>6.76174369568953</v>
      </c>
      <c r="AJ17" s="299">
        <v>7</v>
      </c>
      <c r="AK17" s="298">
        <v>7.5085194379465898</v>
      </c>
      <c r="AL17" s="299">
        <v>7</v>
      </c>
      <c r="AM17" s="298">
        <v>0</v>
      </c>
      <c r="AN17" s="299">
        <v>28</v>
      </c>
      <c r="AO17" s="298">
        <v>0</v>
      </c>
      <c r="AP17" s="299">
        <v>15</v>
      </c>
      <c r="AQ17" s="111"/>
      <c r="AR17" s="170">
        <f t="shared" si="11"/>
        <v>0</v>
      </c>
      <c r="AS17" s="169">
        <f t="shared" si="12"/>
        <v>0</v>
      </c>
      <c r="AT17" s="169">
        <f t="shared" si="13"/>
        <v>0</v>
      </c>
      <c r="AU17" s="31"/>
      <c r="AV17" s="171">
        <f t="shared" si="14"/>
        <v>0.74677574225705978</v>
      </c>
      <c r="AW17" s="171">
        <f t="shared" si="15"/>
        <v>0</v>
      </c>
      <c r="AX17" s="172">
        <f t="shared" si="16"/>
        <v>0</v>
      </c>
      <c r="AY17" s="31"/>
      <c r="AZ17" s="31"/>
      <c r="BA17" s="31"/>
      <c r="BB17" s="31"/>
    </row>
    <row r="18" spans="1:54" ht="18.600000000000001" thickBot="1" x14ac:dyDescent="0.4">
      <c r="A18" s="1195" t="s">
        <v>14</v>
      </c>
      <c r="B18" s="169">
        <f>RANK(C18,C$7:C$71,0)</f>
        <v>17</v>
      </c>
      <c r="C18" s="172">
        <f t="shared" si="0"/>
        <v>1</v>
      </c>
      <c r="D18" s="76"/>
      <c r="E18" s="74">
        <v>1</v>
      </c>
      <c r="F18" s="858"/>
      <c r="G18" s="670" t="s">
        <v>466</v>
      </c>
      <c r="H18" s="627"/>
      <c r="I18" s="172">
        <v>4.77376581849982</v>
      </c>
      <c r="J18" s="41">
        <v>34</v>
      </c>
      <c r="K18" s="438">
        <v>4.5073755729715801</v>
      </c>
      <c r="L18" s="41">
        <v>23</v>
      </c>
      <c r="M18" s="438">
        <v>4.1839959362663599</v>
      </c>
      <c r="N18" s="41">
        <v>34</v>
      </c>
      <c r="O18" s="173">
        <v>3.1000417953419999</v>
      </c>
      <c r="P18" s="169">
        <v>17</v>
      </c>
      <c r="Q18" s="623"/>
      <c r="R18" s="171">
        <v>4.5858232109160504</v>
      </c>
      <c r="S18" s="41">
        <v>17</v>
      </c>
      <c r="T18" s="173">
        <v>3.8773467288793499</v>
      </c>
      <c r="U18" s="41">
        <v>14</v>
      </c>
      <c r="V18" s="111"/>
      <c r="W18" s="170">
        <f t="shared" si="1"/>
        <v>-11</v>
      </c>
      <c r="X18" s="174">
        <f t="shared" si="2"/>
        <v>0</v>
      </c>
      <c r="Y18" s="664">
        <f t="shared" si="3"/>
        <v>-17</v>
      </c>
      <c r="Z18" s="170">
        <f t="shared" si="4"/>
        <v>-17</v>
      </c>
      <c r="AA18" s="169">
        <f t="shared" si="5"/>
        <v>-20</v>
      </c>
      <c r="AB18" s="630"/>
      <c r="AC18" s="171">
        <f t="shared" si="6"/>
        <v>0</v>
      </c>
      <c r="AD18" s="183">
        <f t="shared" si="7"/>
        <v>0</v>
      </c>
      <c r="AE18" s="172">
        <f t="shared" si="8"/>
        <v>0</v>
      </c>
      <c r="AF18" s="173">
        <f t="shared" si="9"/>
        <v>0</v>
      </c>
      <c r="AG18" s="172">
        <f t="shared" si="10"/>
        <v>0</v>
      </c>
      <c r="AH18" s="623"/>
      <c r="AI18" s="42">
        <v>6.6650644551654796</v>
      </c>
      <c r="AJ18" s="299">
        <v>9</v>
      </c>
      <c r="AK18" s="298">
        <v>6.5980320216171098</v>
      </c>
      <c r="AL18" s="299">
        <v>9</v>
      </c>
      <c r="AM18" s="298">
        <v>6.55660079217619</v>
      </c>
      <c r="AN18" s="299">
        <v>3</v>
      </c>
      <c r="AO18" s="298">
        <v>5.1387470727017304</v>
      </c>
      <c r="AP18" s="299">
        <v>4</v>
      </c>
      <c r="AQ18" s="111"/>
      <c r="AR18" s="170">
        <f t="shared" si="11"/>
        <v>0</v>
      </c>
      <c r="AS18" s="169">
        <f t="shared" si="12"/>
        <v>-6</v>
      </c>
      <c r="AT18" s="169">
        <f t="shared" si="13"/>
        <v>-5</v>
      </c>
      <c r="AU18" s="31"/>
      <c r="AV18" s="171">
        <f t="shared" si="14"/>
        <v>0</v>
      </c>
      <c r="AW18" s="171">
        <f t="shared" si="15"/>
        <v>0</v>
      </c>
      <c r="AX18" s="172">
        <f t="shared" si="16"/>
        <v>0</v>
      </c>
      <c r="AY18" s="31"/>
      <c r="AZ18" s="31"/>
      <c r="BA18" s="31"/>
      <c r="BB18" s="31"/>
    </row>
    <row r="19" spans="1:54" ht="18.600000000000001" thickBot="1" x14ac:dyDescent="0.4">
      <c r="A19" s="365" t="s">
        <v>109</v>
      </c>
      <c r="B19" s="169">
        <f>RANK(C19,C$7:C$71,0)</f>
        <v>34</v>
      </c>
      <c r="C19" s="172">
        <f t="shared" si="0"/>
        <v>0</v>
      </c>
      <c r="D19" s="76"/>
      <c r="E19" s="74"/>
      <c r="F19" s="858"/>
      <c r="G19" s="667"/>
      <c r="H19" s="627"/>
      <c r="I19" s="172">
        <v>4.7807186184641504</v>
      </c>
      <c r="J19" s="41">
        <v>8</v>
      </c>
      <c r="K19" s="438">
        <v>6.4999713650814401</v>
      </c>
      <c r="L19" s="41">
        <v>55</v>
      </c>
      <c r="M19" s="438">
        <v>2.6840555678957898</v>
      </c>
      <c r="N19" s="41">
        <v>17</v>
      </c>
      <c r="O19" s="173">
        <v>0</v>
      </c>
      <c r="P19" s="41">
        <v>1</v>
      </c>
      <c r="Q19" s="623"/>
      <c r="R19" s="171">
        <v>4.7057464365433201</v>
      </c>
      <c r="S19" s="41">
        <v>30</v>
      </c>
      <c r="T19" s="173">
        <v>4.1888176718886303</v>
      </c>
      <c r="U19" s="41">
        <v>8</v>
      </c>
      <c r="V19" s="111"/>
      <c r="W19" s="170">
        <f t="shared" si="1"/>
        <v>0</v>
      </c>
      <c r="X19" s="174">
        <f t="shared" si="2"/>
        <v>0</v>
      </c>
      <c r="Y19" s="664">
        <f t="shared" si="3"/>
        <v>-7</v>
      </c>
      <c r="Z19" s="170">
        <f t="shared" si="4"/>
        <v>0</v>
      </c>
      <c r="AA19" s="169">
        <f t="shared" si="5"/>
        <v>0</v>
      </c>
      <c r="AB19" s="630"/>
      <c r="AC19" s="171">
        <f t="shared" si="6"/>
        <v>1.7192527466172898</v>
      </c>
      <c r="AD19" s="183">
        <f t="shared" si="7"/>
        <v>0</v>
      </c>
      <c r="AE19" s="172">
        <f t="shared" si="8"/>
        <v>0</v>
      </c>
      <c r="AF19" s="173">
        <f t="shared" si="9"/>
        <v>0</v>
      </c>
      <c r="AG19" s="172">
        <f t="shared" si="10"/>
        <v>0</v>
      </c>
      <c r="AH19" s="623"/>
      <c r="AI19" s="42">
        <v>3.6094088780762501</v>
      </c>
      <c r="AJ19" s="299">
        <v>27</v>
      </c>
      <c r="AK19" s="298">
        <v>4.0080366751861698</v>
      </c>
      <c r="AL19" s="299">
        <v>27</v>
      </c>
      <c r="AM19" s="298">
        <v>0</v>
      </c>
      <c r="AN19" s="299">
        <v>28</v>
      </c>
      <c r="AO19" s="298">
        <v>0</v>
      </c>
      <c r="AP19" s="299">
        <v>15</v>
      </c>
      <c r="AQ19" s="111"/>
      <c r="AR19" s="170">
        <f t="shared" si="11"/>
        <v>0</v>
      </c>
      <c r="AS19" s="169">
        <f t="shared" si="12"/>
        <v>0</v>
      </c>
      <c r="AT19" s="169">
        <f t="shared" si="13"/>
        <v>-12</v>
      </c>
      <c r="AU19" s="31"/>
      <c r="AV19" s="171">
        <f t="shared" si="14"/>
        <v>0.39862779710991969</v>
      </c>
      <c r="AW19" s="171">
        <f t="shared" si="15"/>
        <v>0</v>
      </c>
      <c r="AX19" s="172">
        <f t="shared" si="16"/>
        <v>0</v>
      </c>
      <c r="AY19" s="31"/>
      <c r="AZ19" s="31"/>
      <c r="BA19" s="31"/>
      <c r="BB19" s="31"/>
    </row>
    <row r="20" spans="1:54" ht="18.600000000000001" thickBot="1" x14ac:dyDescent="0.4">
      <c r="A20" s="365" t="s">
        <v>112</v>
      </c>
      <c r="B20" s="169">
        <f>RANK(C20,C$7:C$71,0)</f>
        <v>17</v>
      </c>
      <c r="C20" s="172">
        <f t="shared" si="0"/>
        <v>1</v>
      </c>
      <c r="D20" s="76">
        <v>1</v>
      </c>
      <c r="E20" s="74"/>
      <c r="F20" s="858"/>
      <c r="G20" s="667" t="s">
        <v>78</v>
      </c>
      <c r="H20" s="627"/>
      <c r="I20" s="172">
        <v>4.5477531180239197</v>
      </c>
      <c r="J20" s="41">
        <v>4</v>
      </c>
      <c r="K20" s="438">
        <v>3.58535725527382</v>
      </c>
      <c r="L20" s="41">
        <v>7</v>
      </c>
      <c r="M20" s="438">
        <v>4.3325981997473297</v>
      </c>
      <c r="N20" s="41">
        <v>30</v>
      </c>
      <c r="O20" s="173">
        <v>0</v>
      </c>
      <c r="P20" s="41">
        <v>36</v>
      </c>
      <c r="Q20" s="623"/>
      <c r="R20" s="171">
        <v>0</v>
      </c>
      <c r="S20" s="41">
        <v>31</v>
      </c>
      <c r="T20" s="173">
        <v>4.6417715817905396</v>
      </c>
      <c r="U20" s="41">
        <v>27</v>
      </c>
      <c r="V20" s="111"/>
      <c r="W20" s="170">
        <f t="shared" si="1"/>
        <v>0</v>
      </c>
      <c r="X20" s="174">
        <f t="shared" si="2"/>
        <v>0</v>
      </c>
      <c r="Y20" s="664">
        <f t="shared" si="3"/>
        <v>0</v>
      </c>
      <c r="Z20" s="170">
        <f t="shared" si="4"/>
        <v>0</v>
      </c>
      <c r="AA20" s="169">
        <f t="shared" si="5"/>
        <v>0</v>
      </c>
      <c r="AB20" s="630"/>
      <c r="AC20" s="171">
        <f t="shared" si="6"/>
        <v>0</v>
      </c>
      <c r="AD20" s="183">
        <f t="shared" si="7"/>
        <v>0</v>
      </c>
      <c r="AE20" s="172">
        <f t="shared" si="8"/>
        <v>0</v>
      </c>
      <c r="AF20" s="173">
        <f t="shared" si="9"/>
        <v>0</v>
      </c>
      <c r="AG20" s="172">
        <f t="shared" si="10"/>
        <v>9.4018463766619931E-2</v>
      </c>
      <c r="AH20" s="623"/>
      <c r="AI20" s="42">
        <v>4.4411624389622704</v>
      </c>
      <c r="AJ20" s="299">
        <v>18</v>
      </c>
      <c r="AK20" s="298">
        <v>4.7727087744457997</v>
      </c>
      <c r="AL20" s="299">
        <v>18</v>
      </c>
      <c r="AM20" s="298">
        <v>3.3685424689205101</v>
      </c>
      <c r="AN20" s="299">
        <v>13</v>
      </c>
      <c r="AO20" s="298">
        <v>3.4556050768783799</v>
      </c>
      <c r="AP20" s="299">
        <v>11</v>
      </c>
      <c r="AQ20" s="111"/>
      <c r="AR20" s="170">
        <f t="shared" si="11"/>
        <v>0</v>
      </c>
      <c r="AS20" s="169">
        <f t="shared" si="12"/>
        <v>-5</v>
      </c>
      <c r="AT20" s="169">
        <f t="shared" si="13"/>
        <v>-7</v>
      </c>
      <c r="AU20" s="31"/>
      <c r="AV20" s="171">
        <f t="shared" si="14"/>
        <v>0.3315463354835293</v>
      </c>
      <c r="AW20" s="171">
        <f t="shared" si="15"/>
        <v>0</v>
      </c>
      <c r="AX20" s="172">
        <f t="shared" si="16"/>
        <v>0</v>
      </c>
      <c r="AY20" s="31"/>
      <c r="AZ20" s="31"/>
      <c r="BA20" s="31"/>
      <c r="BB20" s="31"/>
    </row>
    <row r="21" spans="1:54" ht="18.600000000000001" thickBot="1" x14ac:dyDescent="0.4">
      <c r="A21" s="365" t="s">
        <v>118</v>
      </c>
      <c r="B21" s="169">
        <f>RANK(C21,C$7:C$71,0)</f>
        <v>12</v>
      </c>
      <c r="C21" s="172">
        <f t="shared" si="0"/>
        <v>2</v>
      </c>
      <c r="D21" s="76">
        <v>2</v>
      </c>
      <c r="E21" s="74"/>
      <c r="F21" s="858"/>
      <c r="G21" s="667"/>
      <c r="H21" s="627"/>
      <c r="I21" s="172">
        <v>4.6236443611826799</v>
      </c>
      <c r="J21" s="41">
        <v>23</v>
      </c>
      <c r="K21" s="438">
        <v>4.1921789800092304</v>
      </c>
      <c r="L21" s="41">
        <v>9</v>
      </c>
      <c r="M21" s="438">
        <v>2.9749407139988402</v>
      </c>
      <c r="N21" s="41">
        <v>27</v>
      </c>
      <c r="O21" s="173">
        <v>0</v>
      </c>
      <c r="P21" s="41">
        <v>49</v>
      </c>
      <c r="Q21" s="623"/>
      <c r="R21" s="171">
        <v>1.3847158652689699</v>
      </c>
      <c r="S21" s="41">
        <v>13</v>
      </c>
      <c r="T21" s="173">
        <v>4.2599042936385203</v>
      </c>
      <c r="U21" s="41">
        <v>6</v>
      </c>
      <c r="V21" s="111"/>
      <c r="W21" s="170">
        <f t="shared" si="1"/>
        <v>-14</v>
      </c>
      <c r="X21" s="174">
        <f t="shared" si="2"/>
        <v>0</v>
      </c>
      <c r="Y21" s="664">
        <f t="shared" si="3"/>
        <v>0</v>
      </c>
      <c r="Z21" s="170">
        <f t="shared" si="4"/>
        <v>-10</v>
      </c>
      <c r="AA21" s="169">
        <f t="shared" si="5"/>
        <v>-17</v>
      </c>
      <c r="AB21" s="630"/>
      <c r="AC21" s="171">
        <f t="shared" si="6"/>
        <v>0</v>
      </c>
      <c r="AD21" s="183">
        <f t="shared" si="7"/>
        <v>0</v>
      </c>
      <c r="AE21" s="172">
        <f t="shared" si="8"/>
        <v>0</v>
      </c>
      <c r="AF21" s="173">
        <f t="shared" si="9"/>
        <v>0</v>
      </c>
      <c r="AG21" s="172">
        <f t="shared" si="10"/>
        <v>0</v>
      </c>
      <c r="AH21" s="623"/>
      <c r="AI21" s="42">
        <v>7.3585966636466802</v>
      </c>
      <c r="AJ21" s="299">
        <v>5</v>
      </c>
      <c r="AK21" s="298">
        <v>8.1344398599733001</v>
      </c>
      <c r="AL21" s="299">
        <v>4</v>
      </c>
      <c r="AM21" s="298">
        <v>4.1991159458501404</v>
      </c>
      <c r="AN21" s="299">
        <v>9</v>
      </c>
      <c r="AO21" s="298">
        <v>3.5736586967731898</v>
      </c>
      <c r="AP21" s="299">
        <v>8</v>
      </c>
      <c r="AQ21" s="111"/>
      <c r="AR21" s="170">
        <f t="shared" si="11"/>
        <v>-1</v>
      </c>
      <c r="AS21" s="169">
        <f t="shared" si="12"/>
        <v>0</v>
      </c>
      <c r="AT21" s="169">
        <f t="shared" si="13"/>
        <v>0</v>
      </c>
      <c r="AU21" s="31"/>
      <c r="AV21" s="171">
        <f t="shared" si="14"/>
        <v>0.77584319632661991</v>
      </c>
      <c r="AW21" s="171">
        <f t="shared" si="15"/>
        <v>0</v>
      </c>
      <c r="AX21" s="172">
        <f t="shared" si="16"/>
        <v>0</v>
      </c>
      <c r="AY21" s="31"/>
      <c r="AZ21" s="31"/>
      <c r="BA21" s="31"/>
      <c r="BB21" s="31"/>
    </row>
    <row r="22" spans="1:54" ht="18.600000000000001" thickBot="1" x14ac:dyDescent="0.4">
      <c r="A22" s="364" t="s">
        <v>102</v>
      </c>
      <c r="B22" s="169">
        <f>RANK(C22,C$7:C$71,0)</f>
        <v>3</v>
      </c>
      <c r="C22" s="172">
        <f t="shared" si="0"/>
        <v>3</v>
      </c>
      <c r="D22" s="76"/>
      <c r="E22" s="74">
        <v>3</v>
      </c>
      <c r="F22" s="858"/>
      <c r="G22" s="669" t="s">
        <v>469</v>
      </c>
      <c r="H22" s="627"/>
      <c r="I22" s="172">
        <v>2.04524163580097</v>
      </c>
      <c r="J22" s="41">
        <v>17</v>
      </c>
      <c r="K22" s="438">
        <v>1.4931254574072901</v>
      </c>
      <c r="L22" s="41">
        <v>10</v>
      </c>
      <c r="M22" s="438">
        <v>0</v>
      </c>
      <c r="N22" s="41">
        <v>33</v>
      </c>
      <c r="O22" s="173">
        <v>0</v>
      </c>
      <c r="P22" s="41">
        <v>39</v>
      </c>
      <c r="Q22" s="623"/>
      <c r="R22" s="171">
        <v>2.04524163580097</v>
      </c>
      <c r="S22" s="41">
        <v>12</v>
      </c>
      <c r="T22" s="173">
        <v>0</v>
      </c>
      <c r="U22" s="41">
        <v>15</v>
      </c>
      <c r="V22" s="111"/>
      <c r="W22" s="170">
        <f t="shared" si="1"/>
        <v>-7</v>
      </c>
      <c r="X22" s="174">
        <f t="shared" si="2"/>
        <v>0</v>
      </c>
      <c r="Y22" s="664">
        <f t="shared" si="3"/>
        <v>0</v>
      </c>
      <c r="Z22" s="170">
        <f t="shared" si="4"/>
        <v>-5</v>
      </c>
      <c r="AA22" s="169">
        <f t="shared" si="5"/>
        <v>-2</v>
      </c>
      <c r="AB22" s="630"/>
      <c r="AC22" s="171">
        <f t="shared" si="6"/>
        <v>0</v>
      </c>
      <c r="AD22" s="183">
        <f t="shared" si="7"/>
        <v>0</v>
      </c>
      <c r="AE22" s="172">
        <f t="shared" si="8"/>
        <v>0</v>
      </c>
      <c r="AF22" s="173">
        <f t="shared" si="9"/>
        <v>0</v>
      </c>
      <c r="AG22" s="172">
        <f t="shared" si="10"/>
        <v>0</v>
      </c>
      <c r="AH22" s="623"/>
      <c r="AI22" s="42">
        <v>1.87637053109506</v>
      </c>
      <c r="AJ22" s="299">
        <v>39</v>
      </c>
      <c r="AK22" s="298">
        <v>2.08359932579206</v>
      </c>
      <c r="AL22" s="299">
        <v>36</v>
      </c>
      <c r="AM22" s="298">
        <v>0</v>
      </c>
      <c r="AN22" s="299">
        <v>28</v>
      </c>
      <c r="AO22" s="298">
        <v>0</v>
      </c>
      <c r="AP22" s="299">
        <v>15</v>
      </c>
      <c r="AQ22" s="111"/>
      <c r="AR22" s="170">
        <f t="shared" si="11"/>
        <v>-3</v>
      </c>
      <c r="AS22" s="169">
        <f t="shared" si="12"/>
        <v>-11</v>
      </c>
      <c r="AT22" s="169">
        <f t="shared" si="13"/>
        <v>-24</v>
      </c>
      <c r="AU22" s="31"/>
      <c r="AV22" s="171">
        <f t="shared" si="14"/>
        <v>0.20722879469699995</v>
      </c>
      <c r="AW22" s="171">
        <f t="shared" si="15"/>
        <v>0</v>
      </c>
      <c r="AX22" s="172">
        <f t="shared" si="16"/>
        <v>0</v>
      </c>
      <c r="AY22" s="31"/>
      <c r="AZ22" s="31"/>
      <c r="BA22" s="31"/>
      <c r="BB22" s="31"/>
    </row>
    <row r="23" spans="1:54" ht="18.600000000000001" thickBot="1" x14ac:dyDescent="0.4">
      <c r="A23" s="364" t="s">
        <v>22</v>
      </c>
      <c r="B23" s="169">
        <f>RANK(C23,C$7:C$71,0)</f>
        <v>34</v>
      </c>
      <c r="C23" s="172">
        <f t="shared" si="0"/>
        <v>0</v>
      </c>
      <c r="D23" s="76"/>
      <c r="E23" s="74"/>
      <c r="F23" s="858"/>
      <c r="G23" s="667"/>
      <c r="H23" s="627"/>
      <c r="I23" s="172"/>
      <c r="J23" s="41"/>
      <c r="K23" s="438"/>
      <c r="L23" s="41"/>
      <c r="M23" s="438"/>
      <c r="N23" s="41"/>
      <c r="O23" s="173"/>
      <c r="P23" s="174"/>
      <c r="Q23" s="623"/>
      <c r="R23" s="171"/>
      <c r="S23" s="41"/>
      <c r="T23" s="173"/>
      <c r="U23" s="41"/>
      <c r="V23" s="111"/>
      <c r="W23" s="170"/>
      <c r="X23" s="174"/>
      <c r="Y23" s="664"/>
      <c r="Z23" s="170"/>
      <c r="AA23" s="169"/>
      <c r="AB23" s="630"/>
      <c r="AC23" s="171"/>
      <c r="AD23" s="183"/>
      <c r="AE23" s="172"/>
      <c r="AF23" s="173"/>
      <c r="AG23" s="172"/>
      <c r="AH23" s="623"/>
      <c r="AI23" s="42"/>
      <c r="AJ23" s="299"/>
      <c r="AK23" s="298"/>
      <c r="AL23" s="299"/>
      <c r="AM23" s="298"/>
      <c r="AN23" s="299"/>
      <c r="AO23" s="298"/>
      <c r="AP23" s="299"/>
      <c r="AQ23" s="111"/>
      <c r="AR23" s="170"/>
      <c r="AS23" s="169"/>
      <c r="AT23" s="169"/>
      <c r="AU23" s="31"/>
      <c r="AV23" s="171"/>
      <c r="AW23" s="171"/>
      <c r="AX23" s="172"/>
      <c r="AY23" s="31"/>
      <c r="AZ23" s="31"/>
      <c r="BA23" s="31"/>
      <c r="BB23" s="31"/>
    </row>
    <row r="24" spans="1:54" ht="18.600000000000001" thickBot="1" x14ac:dyDescent="0.4">
      <c r="A24" s="364" t="s">
        <v>13</v>
      </c>
      <c r="B24" s="169">
        <f>RANK(C24,C$7:C$71,0)</f>
        <v>3</v>
      </c>
      <c r="C24" s="172">
        <f t="shared" si="0"/>
        <v>3</v>
      </c>
      <c r="D24" s="76"/>
      <c r="E24" s="74">
        <v>3</v>
      </c>
      <c r="F24" s="858"/>
      <c r="G24" s="670" t="s">
        <v>466</v>
      </c>
      <c r="H24" s="627"/>
      <c r="I24" s="172">
        <v>5.25553737384132</v>
      </c>
      <c r="J24" s="41">
        <v>30</v>
      </c>
      <c r="K24" s="438">
        <v>3.4596761382522701</v>
      </c>
      <c r="L24" s="41">
        <v>19</v>
      </c>
      <c r="M24" s="438">
        <v>5.0880270338448597</v>
      </c>
      <c r="N24" s="41">
        <v>14</v>
      </c>
      <c r="O24" s="173">
        <v>3.0645592129555701</v>
      </c>
      <c r="P24" s="169">
        <v>31</v>
      </c>
      <c r="Q24" s="623"/>
      <c r="R24" s="171">
        <v>5.2034609277622197</v>
      </c>
      <c r="S24" s="41">
        <v>35</v>
      </c>
      <c r="T24" s="173">
        <v>3.04300044640385</v>
      </c>
      <c r="U24" s="41">
        <v>13</v>
      </c>
      <c r="V24" s="111"/>
      <c r="W24" s="170">
        <f t="shared" si="1"/>
        <v>-11</v>
      </c>
      <c r="X24" s="174">
        <f t="shared" si="2"/>
        <v>-16</v>
      </c>
      <c r="Y24" s="664">
        <f t="shared" si="3"/>
        <v>0</v>
      </c>
      <c r="Z24" s="170">
        <f t="shared" si="4"/>
        <v>0</v>
      </c>
      <c r="AA24" s="169">
        <f t="shared" si="5"/>
        <v>-17</v>
      </c>
      <c r="AB24" s="630"/>
      <c r="AC24" s="171">
        <f t="shared" si="6"/>
        <v>0</v>
      </c>
      <c r="AD24" s="183">
        <f t="shared" si="7"/>
        <v>0</v>
      </c>
      <c r="AE24" s="172">
        <f t="shared" si="8"/>
        <v>0</v>
      </c>
      <c r="AF24" s="173">
        <f t="shared" si="9"/>
        <v>0</v>
      </c>
      <c r="AG24" s="172">
        <f t="shared" si="10"/>
        <v>0</v>
      </c>
      <c r="AH24" s="623"/>
      <c r="AI24" s="42">
        <v>0</v>
      </c>
      <c r="AJ24" s="299">
        <v>44</v>
      </c>
      <c r="AK24" s="298">
        <v>0</v>
      </c>
      <c r="AL24" s="299">
        <v>38</v>
      </c>
      <c r="AM24" s="298">
        <v>0</v>
      </c>
      <c r="AN24" s="299">
        <v>28</v>
      </c>
      <c r="AO24" s="298">
        <v>0</v>
      </c>
      <c r="AP24" s="299">
        <v>15</v>
      </c>
      <c r="AQ24" s="111"/>
      <c r="AR24" s="170">
        <f t="shared" si="11"/>
        <v>-6</v>
      </c>
      <c r="AS24" s="169">
        <f t="shared" si="12"/>
        <v>-16</v>
      </c>
      <c r="AT24" s="169">
        <f t="shared" si="13"/>
        <v>-29</v>
      </c>
      <c r="AU24" s="31"/>
      <c r="AV24" s="171">
        <f t="shared" si="14"/>
        <v>0</v>
      </c>
      <c r="AW24" s="171">
        <f t="shared" si="15"/>
        <v>0</v>
      </c>
      <c r="AX24" s="172">
        <f t="shared" si="16"/>
        <v>0</v>
      </c>
      <c r="AY24" s="31"/>
      <c r="AZ24" s="31"/>
      <c r="BA24" s="31"/>
      <c r="BB24" s="31"/>
    </row>
    <row r="25" spans="1:54" ht="18.600000000000001" thickBot="1" x14ac:dyDescent="0.4">
      <c r="A25" s="365" t="s">
        <v>6</v>
      </c>
      <c r="B25" s="169">
        <f>RANK(C25,C$7:C$71,0)</f>
        <v>17</v>
      </c>
      <c r="C25" s="172">
        <f t="shared" si="0"/>
        <v>1</v>
      </c>
      <c r="D25" s="76"/>
      <c r="E25" s="74">
        <v>1</v>
      </c>
      <c r="F25" s="858"/>
      <c r="G25" s="667" t="s">
        <v>466</v>
      </c>
      <c r="H25" s="627"/>
      <c r="I25" s="172">
        <v>8.19741709729972</v>
      </c>
      <c r="J25" s="41">
        <v>31</v>
      </c>
      <c r="K25" s="438">
        <v>7.0915836816124198</v>
      </c>
      <c r="L25" s="41">
        <v>35</v>
      </c>
      <c r="M25" s="438">
        <v>7.63543899254186</v>
      </c>
      <c r="N25" s="41">
        <v>12</v>
      </c>
      <c r="O25" s="173">
        <v>5.0293150037123704</v>
      </c>
      <c r="P25" s="169">
        <v>8</v>
      </c>
      <c r="Q25" s="623"/>
      <c r="R25" s="171">
        <v>8.1963129986896099</v>
      </c>
      <c r="S25" s="41">
        <v>33</v>
      </c>
      <c r="T25" s="173">
        <v>2.4348470125270398</v>
      </c>
      <c r="U25" s="41">
        <v>38</v>
      </c>
      <c r="V25" s="111"/>
      <c r="W25" s="170">
        <f t="shared" si="1"/>
        <v>0</v>
      </c>
      <c r="X25" s="174">
        <f t="shared" si="2"/>
        <v>-19</v>
      </c>
      <c r="Y25" s="664">
        <f t="shared" si="3"/>
        <v>-23</v>
      </c>
      <c r="Z25" s="170">
        <f t="shared" si="4"/>
        <v>0</v>
      </c>
      <c r="AA25" s="169">
        <f t="shared" si="5"/>
        <v>0</v>
      </c>
      <c r="AB25" s="630"/>
      <c r="AC25" s="171">
        <f t="shared" si="6"/>
        <v>0</v>
      </c>
      <c r="AD25" s="183">
        <f t="shared" si="7"/>
        <v>0</v>
      </c>
      <c r="AE25" s="172">
        <f t="shared" si="8"/>
        <v>0</v>
      </c>
      <c r="AF25" s="173">
        <f t="shared" si="9"/>
        <v>0</v>
      </c>
      <c r="AG25" s="172">
        <f t="shared" si="10"/>
        <v>0</v>
      </c>
      <c r="AH25" s="623"/>
      <c r="AI25" s="42">
        <v>1.3637010661504601</v>
      </c>
      <c r="AJ25" s="299">
        <v>42</v>
      </c>
      <c r="AK25" s="298">
        <v>0</v>
      </c>
      <c r="AL25" s="299">
        <v>38</v>
      </c>
      <c r="AM25" s="298">
        <v>1.57910588694183</v>
      </c>
      <c r="AN25" s="299">
        <v>23</v>
      </c>
      <c r="AO25" s="298">
        <v>0</v>
      </c>
      <c r="AP25" s="299">
        <v>15</v>
      </c>
      <c r="AQ25" s="111"/>
      <c r="AR25" s="170">
        <f t="shared" si="11"/>
        <v>-4</v>
      </c>
      <c r="AS25" s="169">
        <f t="shared" si="12"/>
        <v>-19</v>
      </c>
      <c r="AT25" s="169">
        <f t="shared" si="13"/>
        <v>-27</v>
      </c>
      <c r="AU25" s="31"/>
      <c r="AV25" s="171">
        <f t="shared" si="14"/>
        <v>0</v>
      </c>
      <c r="AW25" s="171">
        <f t="shared" si="15"/>
        <v>0.21540482079136991</v>
      </c>
      <c r="AX25" s="172">
        <f t="shared" si="16"/>
        <v>0</v>
      </c>
      <c r="AY25" s="31"/>
      <c r="AZ25" s="31"/>
      <c r="BA25" s="31"/>
      <c r="BB25" s="31"/>
    </row>
    <row r="26" spans="1:54" ht="18.600000000000001" thickBot="1" x14ac:dyDescent="0.4">
      <c r="A26" s="365" t="s">
        <v>16</v>
      </c>
      <c r="B26" s="169">
        <f>RANK(C26,C$7:C$71,0)</f>
        <v>34</v>
      </c>
      <c r="C26" s="172">
        <f t="shared" si="0"/>
        <v>0</v>
      </c>
      <c r="D26" s="76"/>
      <c r="E26" s="74"/>
      <c r="F26" s="858"/>
      <c r="G26" s="669"/>
      <c r="H26" s="627"/>
      <c r="I26" s="172">
        <v>3.9367506537991699</v>
      </c>
      <c r="J26" s="41">
        <v>9</v>
      </c>
      <c r="K26" s="438">
        <v>4.6597598755640801</v>
      </c>
      <c r="L26" s="41">
        <v>12</v>
      </c>
      <c r="M26" s="438">
        <v>3.5346704112317702</v>
      </c>
      <c r="N26" s="41">
        <v>31</v>
      </c>
      <c r="O26" s="173">
        <v>2.1539399820763498</v>
      </c>
      <c r="P26" s="169">
        <v>40</v>
      </c>
      <c r="Q26" s="623"/>
      <c r="R26" s="171">
        <v>3.9192649962602299</v>
      </c>
      <c r="S26" s="41">
        <v>1</v>
      </c>
      <c r="T26" s="173">
        <v>2.7644223547929601</v>
      </c>
      <c r="U26" s="41">
        <v>35</v>
      </c>
      <c r="V26" s="111"/>
      <c r="W26" s="170">
        <f t="shared" si="1"/>
        <v>0</v>
      </c>
      <c r="X26" s="174">
        <f t="shared" si="2"/>
        <v>0</v>
      </c>
      <c r="Y26" s="664">
        <f t="shared" si="3"/>
        <v>0</v>
      </c>
      <c r="Z26" s="170">
        <f t="shared" si="4"/>
        <v>-8</v>
      </c>
      <c r="AA26" s="169">
        <f t="shared" si="5"/>
        <v>0</v>
      </c>
      <c r="AB26" s="630"/>
      <c r="AC26" s="171">
        <f t="shared" si="6"/>
        <v>0.72300922176491023</v>
      </c>
      <c r="AD26" s="183">
        <f t="shared" si="7"/>
        <v>0</v>
      </c>
      <c r="AE26" s="172">
        <f t="shared" si="8"/>
        <v>0</v>
      </c>
      <c r="AF26" s="173">
        <f t="shared" si="9"/>
        <v>0</v>
      </c>
      <c r="AG26" s="172">
        <f t="shared" si="10"/>
        <v>0</v>
      </c>
      <c r="AH26" s="623"/>
      <c r="AI26" s="42">
        <v>0.83351239774091901</v>
      </c>
      <c r="AJ26" s="299">
        <v>43</v>
      </c>
      <c r="AK26" s="298">
        <v>0</v>
      </c>
      <c r="AL26" s="299">
        <v>38</v>
      </c>
      <c r="AM26" s="298">
        <v>0.96517071576922098</v>
      </c>
      <c r="AN26" s="299">
        <v>27</v>
      </c>
      <c r="AO26" s="298">
        <v>0</v>
      </c>
      <c r="AP26" s="299">
        <v>15</v>
      </c>
      <c r="AQ26" s="111"/>
      <c r="AR26" s="170">
        <f t="shared" si="11"/>
        <v>-5</v>
      </c>
      <c r="AS26" s="169">
        <f t="shared" si="12"/>
        <v>-16</v>
      </c>
      <c r="AT26" s="169">
        <f t="shared" si="13"/>
        <v>-28</v>
      </c>
      <c r="AU26" s="31"/>
      <c r="AV26" s="171">
        <f t="shared" si="14"/>
        <v>0</v>
      </c>
      <c r="AW26" s="171">
        <f t="shared" si="15"/>
        <v>0.13165831802830197</v>
      </c>
      <c r="AX26" s="172">
        <f t="shared" si="16"/>
        <v>0</v>
      </c>
      <c r="AY26" s="31"/>
      <c r="AZ26" s="31"/>
      <c r="BA26" s="31"/>
      <c r="BB26" s="31"/>
    </row>
    <row r="27" spans="1:54" ht="18.600000000000001" thickBot="1" x14ac:dyDescent="0.4">
      <c r="A27" s="365" t="s">
        <v>119</v>
      </c>
      <c r="B27" s="169">
        <f>RANK(C27,C$7:C$71,0)</f>
        <v>34</v>
      </c>
      <c r="C27" s="172">
        <f t="shared" si="0"/>
        <v>0</v>
      </c>
      <c r="D27" s="76"/>
      <c r="E27" s="74"/>
      <c r="F27" s="858"/>
      <c r="G27" s="669"/>
      <c r="H27" s="627"/>
      <c r="I27" s="172">
        <v>2.0775650960543399</v>
      </c>
      <c r="J27" s="41">
        <v>54</v>
      </c>
      <c r="K27" s="438">
        <v>2.1205158617702899</v>
      </c>
      <c r="L27" s="41">
        <v>6</v>
      </c>
      <c r="M27" s="438">
        <v>0</v>
      </c>
      <c r="N27" s="41">
        <v>1</v>
      </c>
      <c r="O27" s="173">
        <v>0</v>
      </c>
      <c r="P27" s="41">
        <v>19</v>
      </c>
      <c r="Q27" s="623"/>
      <c r="R27" s="171">
        <v>0</v>
      </c>
      <c r="S27" s="41">
        <v>19</v>
      </c>
      <c r="T27" s="173">
        <v>2.1205158617702899</v>
      </c>
      <c r="U27" s="41">
        <v>53</v>
      </c>
      <c r="V27" s="111"/>
      <c r="W27" s="170">
        <f t="shared" si="1"/>
        <v>-48</v>
      </c>
      <c r="X27" s="174">
        <f t="shared" si="2"/>
        <v>-53</v>
      </c>
      <c r="Y27" s="664">
        <f t="shared" si="3"/>
        <v>-35</v>
      </c>
      <c r="Z27" s="170">
        <f t="shared" si="4"/>
        <v>-35</v>
      </c>
      <c r="AA27" s="169">
        <f t="shared" si="5"/>
        <v>-1</v>
      </c>
      <c r="AB27" s="630"/>
      <c r="AC27" s="171">
        <f t="shared" si="6"/>
        <v>4.2950765715950023E-2</v>
      </c>
      <c r="AD27" s="183">
        <f t="shared" si="7"/>
        <v>0</v>
      </c>
      <c r="AE27" s="172">
        <f t="shared" si="8"/>
        <v>0</v>
      </c>
      <c r="AF27" s="173">
        <f t="shared" si="9"/>
        <v>0</v>
      </c>
      <c r="AG27" s="172">
        <f t="shared" si="10"/>
        <v>4.2950765715950023E-2</v>
      </c>
      <c r="AH27" s="623"/>
      <c r="AI27" s="42">
        <v>4.2782868806890599</v>
      </c>
      <c r="AJ27" s="299">
        <v>21</v>
      </c>
      <c r="AK27" s="298">
        <v>4.75078643179625</v>
      </c>
      <c r="AL27" s="299">
        <v>19</v>
      </c>
      <c r="AM27" s="298">
        <v>0</v>
      </c>
      <c r="AN27" s="299">
        <v>28</v>
      </c>
      <c r="AO27" s="298">
        <v>0</v>
      </c>
      <c r="AP27" s="299">
        <v>15</v>
      </c>
      <c r="AQ27" s="111"/>
      <c r="AR27" s="170">
        <f t="shared" si="11"/>
        <v>-2</v>
      </c>
      <c r="AS27" s="169">
        <f t="shared" si="12"/>
        <v>0</v>
      </c>
      <c r="AT27" s="169">
        <f t="shared" si="13"/>
        <v>-6</v>
      </c>
      <c r="AU27" s="31"/>
      <c r="AV27" s="171">
        <f t="shared" si="14"/>
        <v>0.47249955110719011</v>
      </c>
      <c r="AW27" s="171">
        <f t="shared" si="15"/>
        <v>0</v>
      </c>
      <c r="AX27" s="172">
        <f t="shared" si="16"/>
        <v>0</v>
      </c>
      <c r="AY27" s="31"/>
      <c r="AZ27" s="31"/>
      <c r="BA27" s="31"/>
      <c r="BB27" s="31"/>
    </row>
    <row r="28" spans="1:54" ht="18.600000000000001" thickBot="1" x14ac:dyDescent="0.4">
      <c r="A28" s="94" t="s">
        <v>463</v>
      </c>
      <c r="B28" s="169">
        <f>RANK(C28,C$7:C$71,0)</f>
        <v>17</v>
      </c>
      <c r="C28" s="172">
        <f t="shared" si="0"/>
        <v>1</v>
      </c>
      <c r="D28" s="76">
        <v>1</v>
      </c>
      <c r="E28" s="74"/>
      <c r="F28" s="858"/>
      <c r="G28" s="667"/>
      <c r="H28" s="627"/>
      <c r="I28" s="172">
        <v>2.6776406798832499</v>
      </c>
      <c r="J28" s="41">
        <v>35</v>
      </c>
      <c r="K28" s="438">
        <v>0</v>
      </c>
      <c r="L28" s="41">
        <v>15</v>
      </c>
      <c r="M28" s="438">
        <v>2.6776406798832499</v>
      </c>
      <c r="N28" s="41">
        <v>35</v>
      </c>
      <c r="O28" s="173">
        <v>0</v>
      </c>
      <c r="P28" s="41">
        <v>33</v>
      </c>
      <c r="Q28" s="623"/>
      <c r="R28" s="171">
        <v>2.6776406798832499</v>
      </c>
      <c r="S28" s="41">
        <v>3</v>
      </c>
      <c r="T28" s="173">
        <v>0</v>
      </c>
      <c r="U28" s="41">
        <v>12</v>
      </c>
      <c r="V28" s="111"/>
      <c r="W28" s="170">
        <f t="shared" si="1"/>
        <v>-20</v>
      </c>
      <c r="X28" s="174">
        <f t="shared" si="2"/>
        <v>0</v>
      </c>
      <c r="Y28" s="664">
        <f t="shared" si="3"/>
        <v>-2</v>
      </c>
      <c r="Z28" s="170">
        <f t="shared" si="4"/>
        <v>-32</v>
      </c>
      <c r="AA28" s="169">
        <f t="shared" si="5"/>
        <v>-23</v>
      </c>
      <c r="AB28" s="630"/>
      <c r="AC28" s="171">
        <f t="shared" si="6"/>
        <v>0</v>
      </c>
      <c r="AD28" s="183">
        <f t="shared" si="7"/>
        <v>0</v>
      </c>
      <c r="AE28" s="172">
        <f t="shared" si="8"/>
        <v>0</v>
      </c>
      <c r="AF28" s="173">
        <f t="shared" si="9"/>
        <v>0</v>
      </c>
      <c r="AG28" s="172">
        <f t="shared" si="10"/>
        <v>0</v>
      </c>
      <c r="AH28" s="623"/>
      <c r="AI28" s="42">
        <v>0</v>
      </c>
      <c r="AJ28" s="299">
        <v>44</v>
      </c>
      <c r="AK28" s="298">
        <v>0</v>
      </c>
      <c r="AL28" s="299">
        <v>38</v>
      </c>
      <c r="AM28" s="298">
        <v>0</v>
      </c>
      <c r="AN28" s="299">
        <v>28</v>
      </c>
      <c r="AO28" s="298">
        <v>0</v>
      </c>
      <c r="AP28" s="299">
        <v>15</v>
      </c>
      <c r="AQ28" s="111"/>
      <c r="AR28" s="170">
        <f t="shared" si="11"/>
        <v>-6</v>
      </c>
      <c r="AS28" s="169">
        <f t="shared" si="12"/>
        <v>-16</v>
      </c>
      <c r="AT28" s="169">
        <f t="shared" si="13"/>
        <v>-29</v>
      </c>
      <c r="AU28" s="31"/>
      <c r="AV28" s="171">
        <f t="shared" si="14"/>
        <v>0</v>
      </c>
      <c r="AW28" s="171">
        <f t="shared" si="15"/>
        <v>0</v>
      </c>
      <c r="AX28" s="172">
        <f t="shared" si="16"/>
        <v>0</v>
      </c>
      <c r="AY28" s="31"/>
      <c r="AZ28" s="31"/>
      <c r="BA28" s="31"/>
      <c r="BB28" s="31"/>
    </row>
    <row r="29" spans="1:54" ht="18.600000000000001" thickBot="1" x14ac:dyDescent="0.4">
      <c r="A29" s="365" t="s">
        <v>425</v>
      </c>
      <c r="B29" s="169">
        <f>RANK(C29,C$7:C$71,0)</f>
        <v>12</v>
      </c>
      <c r="C29" s="172">
        <f t="shared" si="0"/>
        <v>2</v>
      </c>
      <c r="D29" s="76">
        <v>2</v>
      </c>
      <c r="E29" s="74"/>
      <c r="F29" s="858"/>
      <c r="G29" s="667"/>
      <c r="H29" s="627"/>
      <c r="I29" s="172">
        <v>7.3507575828689804</v>
      </c>
      <c r="J29" s="41">
        <v>13</v>
      </c>
      <c r="K29" s="438">
        <v>5.3656174778263699</v>
      </c>
      <c r="L29" s="41">
        <v>30</v>
      </c>
      <c r="M29" s="438">
        <v>2.04524163580097</v>
      </c>
      <c r="N29" s="41">
        <v>19</v>
      </c>
      <c r="O29" s="173">
        <v>0</v>
      </c>
      <c r="P29" s="41">
        <v>46</v>
      </c>
      <c r="Q29" s="623"/>
      <c r="R29" s="171">
        <v>0</v>
      </c>
      <c r="S29" s="41">
        <v>44</v>
      </c>
      <c r="T29" s="173">
        <v>5.3664090766042998</v>
      </c>
      <c r="U29" s="41">
        <v>42</v>
      </c>
      <c r="V29" s="111"/>
      <c r="W29" s="170">
        <f t="shared" si="1"/>
        <v>0</v>
      </c>
      <c r="X29" s="174">
        <f t="shared" si="2"/>
        <v>0</v>
      </c>
      <c r="Y29" s="664">
        <f t="shared" si="3"/>
        <v>0</v>
      </c>
      <c r="Z29" s="170">
        <f t="shared" si="4"/>
        <v>0</v>
      </c>
      <c r="AA29" s="169">
        <f t="shared" si="5"/>
        <v>0</v>
      </c>
      <c r="AB29" s="630"/>
      <c r="AC29" s="171">
        <f t="shared" si="6"/>
        <v>0</v>
      </c>
      <c r="AD29" s="183">
        <f t="shared" si="7"/>
        <v>0</v>
      </c>
      <c r="AE29" s="172">
        <f t="shared" si="8"/>
        <v>0</v>
      </c>
      <c r="AF29" s="173">
        <f t="shared" si="9"/>
        <v>0</v>
      </c>
      <c r="AG29" s="172">
        <f t="shared" si="10"/>
        <v>0</v>
      </c>
      <c r="AH29" s="623"/>
      <c r="AI29" s="42">
        <v>5.5407256284111099</v>
      </c>
      <c r="AJ29" s="299">
        <v>12</v>
      </c>
      <c r="AK29" s="298">
        <v>6.1526505519241201</v>
      </c>
      <c r="AL29" s="299">
        <v>11</v>
      </c>
      <c r="AM29" s="298">
        <v>0</v>
      </c>
      <c r="AN29" s="299">
        <v>28</v>
      </c>
      <c r="AO29" s="298">
        <v>0</v>
      </c>
      <c r="AP29" s="299">
        <v>15</v>
      </c>
      <c r="AQ29" s="111"/>
      <c r="AR29" s="170">
        <f t="shared" si="11"/>
        <v>-1</v>
      </c>
      <c r="AS29" s="169">
        <f t="shared" si="12"/>
        <v>0</v>
      </c>
      <c r="AT29" s="169">
        <f t="shared" si="13"/>
        <v>0</v>
      </c>
      <c r="AU29" s="31"/>
      <c r="AV29" s="171">
        <f t="shared" si="14"/>
        <v>0.6119249235130102</v>
      </c>
      <c r="AW29" s="171">
        <f t="shared" si="15"/>
        <v>0</v>
      </c>
      <c r="AX29" s="172">
        <f t="shared" si="16"/>
        <v>0</v>
      </c>
      <c r="AY29" s="31"/>
      <c r="AZ29" s="31"/>
      <c r="BA29" s="31"/>
      <c r="BB29" s="31"/>
    </row>
    <row r="30" spans="1:54" ht="18.600000000000001" thickBot="1" x14ac:dyDescent="0.4">
      <c r="A30" s="365" t="s">
        <v>120</v>
      </c>
      <c r="B30" s="169">
        <f>RANK(C30,C$7:C$71,0)</f>
        <v>34</v>
      </c>
      <c r="C30" s="172">
        <f t="shared" si="0"/>
        <v>0</v>
      </c>
      <c r="D30" s="76"/>
      <c r="E30" s="74"/>
      <c r="F30" s="858"/>
      <c r="G30" s="667"/>
      <c r="H30" s="627"/>
      <c r="I30" s="172">
        <v>5.4292948784570498</v>
      </c>
      <c r="J30" s="41">
        <v>12</v>
      </c>
      <c r="K30" s="438">
        <v>5.3158790810260497</v>
      </c>
      <c r="L30" s="41">
        <v>53</v>
      </c>
      <c r="M30" s="438">
        <v>1.9712653981894801</v>
      </c>
      <c r="N30" s="41">
        <v>42</v>
      </c>
      <c r="O30" s="173">
        <v>0</v>
      </c>
      <c r="P30" s="41">
        <v>2</v>
      </c>
      <c r="Q30" s="623"/>
      <c r="R30" s="171">
        <v>0</v>
      </c>
      <c r="S30" s="41">
        <v>2</v>
      </c>
      <c r="T30" s="173">
        <v>5.3193252354416503</v>
      </c>
      <c r="U30" s="41">
        <v>37</v>
      </c>
      <c r="V30" s="111"/>
      <c r="W30" s="170">
        <f t="shared" si="1"/>
        <v>0</v>
      </c>
      <c r="X30" s="174">
        <f t="shared" si="2"/>
        <v>0</v>
      </c>
      <c r="Y30" s="664">
        <f t="shared" si="3"/>
        <v>-10</v>
      </c>
      <c r="Z30" s="170">
        <f t="shared" si="4"/>
        <v>-10</v>
      </c>
      <c r="AA30" s="169">
        <f t="shared" si="5"/>
        <v>0</v>
      </c>
      <c r="AB30" s="630"/>
      <c r="AC30" s="171">
        <f t="shared" si="6"/>
        <v>0</v>
      </c>
      <c r="AD30" s="183">
        <f t="shared" si="7"/>
        <v>0</v>
      </c>
      <c r="AE30" s="172">
        <f t="shared" si="8"/>
        <v>0</v>
      </c>
      <c r="AF30" s="173">
        <f t="shared" si="9"/>
        <v>0</v>
      </c>
      <c r="AG30" s="172">
        <f t="shared" si="10"/>
        <v>0</v>
      </c>
      <c r="AH30" s="623"/>
      <c r="AI30" s="42">
        <v>3.2990870779938399</v>
      </c>
      <c r="AJ30" s="299">
        <v>29</v>
      </c>
      <c r="AK30" s="298">
        <v>3.6634425330830398</v>
      </c>
      <c r="AL30" s="299">
        <v>28</v>
      </c>
      <c r="AM30" s="298">
        <v>0</v>
      </c>
      <c r="AN30" s="299">
        <v>28</v>
      </c>
      <c r="AO30" s="298">
        <v>0</v>
      </c>
      <c r="AP30" s="299">
        <v>15</v>
      </c>
      <c r="AQ30" s="111"/>
      <c r="AR30" s="170">
        <f t="shared" si="11"/>
        <v>-1</v>
      </c>
      <c r="AS30" s="169">
        <f t="shared" si="12"/>
        <v>-1</v>
      </c>
      <c r="AT30" s="169">
        <f t="shared" si="13"/>
        <v>-14</v>
      </c>
      <c r="AU30" s="31"/>
      <c r="AV30" s="171">
        <f t="shared" si="14"/>
        <v>0.36435545508919986</v>
      </c>
      <c r="AW30" s="171">
        <f t="shared" si="15"/>
        <v>0</v>
      </c>
      <c r="AX30" s="172">
        <f t="shared" si="16"/>
        <v>0</v>
      </c>
      <c r="AY30" s="31"/>
      <c r="AZ30" s="31"/>
      <c r="BA30" s="31"/>
      <c r="BB30" s="31"/>
    </row>
    <row r="31" spans="1:54" ht="18.600000000000001" thickBot="1" x14ac:dyDescent="0.4">
      <c r="A31" s="365" t="s">
        <v>113</v>
      </c>
      <c r="B31" s="169">
        <f>RANK(C31,C$7:C$71,0)</f>
        <v>34</v>
      </c>
      <c r="C31" s="172">
        <f t="shared" si="0"/>
        <v>0</v>
      </c>
      <c r="D31" s="76"/>
      <c r="E31" s="74"/>
      <c r="F31" s="858"/>
      <c r="G31" s="669"/>
      <c r="H31" s="627"/>
      <c r="I31" s="172">
        <v>2.7485208851496199</v>
      </c>
      <c r="J31" s="41">
        <v>27</v>
      </c>
      <c r="K31" s="438">
        <v>2.9749407139988402</v>
      </c>
      <c r="L31" s="41">
        <v>38</v>
      </c>
      <c r="M31" s="438">
        <v>1.2760642408728</v>
      </c>
      <c r="N31" s="41">
        <v>38</v>
      </c>
      <c r="O31" s="173">
        <v>0</v>
      </c>
      <c r="P31" s="41">
        <v>25</v>
      </c>
      <c r="Q31" s="623"/>
      <c r="R31" s="171">
        <v>1.55508583136496</v>
      </c>
      <c r="S31" s="41">
        <v>46</v>
      </c>
      <c r="T31" s="173">
        <v>2.95157710290666</v>
      </c>
      <c r="U31" s="41">
        <v>57</v>
      </c>
      <c r="V31" s="111"/>
      <c r="W31" s="170">
        <f t="shared" si="1"/>
        <v>0</v>
      </c>
      <c r="X31" s="174">
        <f t="shared" si="2"/>
        <v>0</v>
      </c>
      <c r="Y31" s="664">
        <f t="shared" si="3"/>
        <v>-2</v>
      </c>
      <c r="Z31" s="170">
        <f t="shared" si="4"/>
        <v>0</v>
      </c>
      <c r="AA31" s="169">
        <f t="shared" si="5"/>
        <v>0</v>
      </c>
      <c r="AB31" s="630"/>
      <c r="AC31" s="171">
        <f t="shared" si="6"/>
        <v>0.22641982884922029</v>
      </c>
      <c r="AD31" s="183">
        <f t="shared" si="7"/>
        <v>0</v>
      </c>
      <c r="AE31" s="172">
        <f t="shared" si="8"/>
        <v>0</v>
      </c>
      <c r="AF31" s="173">
        <f t="shared" si="9"/>
        <v>0</v>
      </c>
      <c r="AG31" s="172">
        <f t="shared" si="10"/>
        <v>0.20305621775704008</v>
      </c>
      <c r="AH31" s="623"/>
      <c r="AI31" s="42">
        <v>4.4892936782077797</v>
      </c>
      <c r="AJ31" s="299">
        <v>17</v>
      </c>
      <c r="AK31" s="298">
        <v>4.9850970936626799</v>
      </c>
      <c r="AL31" s="299">
        <v>17</v>
      </c>
      <c r="AM31" s="298">
        <v>0</v>
      </c>
      <c r="AN31" s="299">
        <v>28</v>
      </c>
      <c r="AO31" s="298">
        <v>0</v>
      </c>
      <c r="AP31" s="299">
        <v>15</v>
      </c>
      <c r="AQ31" s="111"/>
      <c r="AR31" s="170">
        <f t="shared" si="11"/>
        <v>0</v>
      </c>
      <c r="AS31" s="169">
        <f t="shared" si="12"/>
        <v>0</v>
      </c>
      <c r="AT31" s="169">
        <f t="shared" si="13"/>
        <v>-2</v>
      </c>
      <c r="AU31" s="31"/>
      <c r="AV31" s="171">
        <f t="shared" si="14"/>
        <v>0.49580341545490025</v>
      </c>
      <c r="AW31" s="171">
        <f t="shared" si="15"/>
        <v>0</v>
      </c>
      <c r="AX31" s="172">
        <f t="shared" si="16"/>
        <v>0</v>
      </c>
      <c r="AY31" s="31"/>
      <c r="AZ31" s="31"/>
      <c r="BA31" s="31"/>
      <c r="BB31" s="31"/>
    </row>
    <row r="32" spans="1:54" ht="18.600000000000001" thickBot="1" x14ac:dyDescent="0.4">
      <c r="A32" s="365" t="s">
        <v>114</v>
      </c>
      <c r="B32" s="169">
        <f>RANK(C32,C$7:C$71,0)</f>
        <v>34</v>
      </c>
      <c r="C32" s="172">
        <f t="shared" si="0"/>
        <v>0</v>
      </c>
      <c r="D32" s="76"/>
      <c r="E32" s="74"/>
      <c r="F32" s="858"/>
      <c r="G32" s="667"/>
      <c r="H32" s="627"/>
      <c r="I32" s="172">
        <v>2.39064763323913</v>
      </c>
      <c r="J32" s="41">
        <v>15</v>
      </c>
      <c r="K32" s="438">
        <v>2.92751333474861</v>
      </c>
      <c r="L32" s="41">
        <v>14</v>
      </c>
      <c r="M32" s="438">
        <v>2.0815656974999599</v>
      </c>
      <c r="N32" s="41">
        <v>39</v>
      </c>
      <c r="O32" s="173">
        <v>1.67827374074846</v>
      </c>
      <c r="P32" s="41">
        <v>45</v>
      </c>
      <c r="Q32" s="623"/>
      <c r="R32" s="171">
        <v>2.2990424140969501</v>
      </c>
      <c r="S32" s="41">
        <v>51</v>
      </c>
      <c r="T32" s="173">
        <v>2.4924499783618699</v>
      </c>
      <c r="U32" s="41">
        <v>11</v>
      </c>
      <c r="V32" s="111"/>
      <c r="W32" s="170">
        <f t="shared" si="1"/>
        <v>-1</v>
      </c>
      <c r="X32" s="174">
        <f t="shared" si="2"/>
        <v>0</v>
      </c>
      <c r="Y32" s="664">
        <f t="shared" si="3"/>
        <v>0</v>
      </c>
      <c r="Z32" s="170">
        <f t="shared" si="4"/>
        <v>0</v>
      </c>
      <c r="AA32" s="169">
        <f t="shared" si="5"/>
        <v>-4</v>
      </c>
      <c r="AB32" s="630"/>
      <c r="AC32" s="171">
        <f t="shared" si="6"/>
        <v>0.53686570150947999</v>
      </c>
      <c r="AD32" s="183">
        <f t="shared" si="7"/>
        <v>0</v>
      </c>
      <c r="AE32" s="172">
        <f t="shared" si="8"/>
        <v>0</v>
      </c>
      <c r="AF32" s="173">
        <f t="shared" si="9"/>
        <v>0</v>
      </c>
      <c r="AG32" s="172">
        <f t="shared" si="10"/>
        <v>0.10180234512273989</v>
      </c>
      <c r="AH32" s="623"/>
      <c r="AI32" s="42">
        <v>2.6169088225099899</v>
      </c>
      <c r="AJ32" s="299">
        <v>33</v>
      </c>
      <c r="AK32" s="298">
        <v>2.9059236264273101</v>
      </c>
      <c r="AL32" s="299">
        <v>32</v>
      </c>
      <c r="AM32" s="298">
        <v>0</v>
      </c>
      <c r="AN32" s="299">
        <v>28</v>
      </c>
      <c r="AO32" s="298">
        <v>0</v>
      </c>
      <c r="AP32" s="299">
        <v>15</v>
      </c>
      <c r="AQ32" s="111"/>
      <c r="AR32" s="170">
        <f t="shared" si="11"/>
        <v>-1</v>
      </c>
      <c r="AS32" s="169">
        <f t="shared" si="12"/>
        <v>-5</v>
      </c>
      <c r="AT32" s="169">
        <f t="shared" si="13"/>
        <v>-18</v>
      </c>
      <c r="AU32" s="31"/>
      <c r="AV32" s="171">
        <f t="shared" si="14"/>
        <v>0.28901480391732015</v>
      </c>
      <c r="AW32" s="171">
        <f t="shared" si="15"/>
        <v>0</v>
      </c>
      <c r="AX32" s="172">
        <f t="shared" si="16"/>
        <v>0</v>
      </c>
      <c r="AY32" s="31"/>
      <c r="AZ32" s="31"/>
      <c r="BA32" s="31"/>
      <c r="BB32" s="31"/>
    </row>
    <row r="33" spans="1:54" ht="18.600000000000001" thickBot="1" x14ac:dyDescent="0.4">
      <c r="A33" s="365" t="s">
        <v>121</v>
      </c>
      <c r="B33" s="169">
        <f>RANK(C33,C$7:C$71,0)</f>
        <v>34</v>
      </c>
      <c r="C33" s="172">
        <f t="shared" si="0"/>
        <v>0</v>
      </c>
      <c r="D33" s="76"/>
      <c r="E33" s="74"/>
      <c r="F33" s="858"/>
      <c r="G33" s="669"/>
      <c r="H33" s="627"/>
      <c r="I33" s="172">
        <v>1.50482991215744</v>
      </c>
      <c r="J33" s="41">
        <v>14</v>
      </c>
      <c r="K33" s="438">
        <v>1.5359401753796</v>
      </c>
      <c r="L33" s="41">
        <v>57</v>
      </c>
      <c r="M33" s="438">
        <v>0</v>
      </c>
      <c r="N33" s="41">
        <v>44</v>
      </c>
      <c r="O33" s="173">
        <v>0</v>
      </c>
      <c r="P33" s="41">
        <v>4</v>
      </c>
      <c r="Q33" s="623"/>
      <c r="R33" s="171">
        <v>0</v>
      </c>
      <c r="S33" s="41">
        <v>6</v>
      </c>
      <c r="T33" s="173">
        <v>1.5359401753796</v>
      </c>
      <c r="U33" s="41">
        <v>30</v>
      </c>
      <c r="V33" s="111"/>
      <c r="W33" s="170">
        <f t="shared" si="1"/>
        <v>0</v>
      </c>
      <c r="X33" s="174">
        <f t="shared" si="2"/>
        <v>0</v>
      </c>
      <c r="Y33" s="664">
        <f t="shared" si="3"/>
        <v>-10</v>
      </c>
      <c r="Z33" s="170">
        <f t="shared" si="4"/>
        <v>-8</v>
      </c>
      <c r="AA33" s="169">
        <f t="shared" si="5"/>
        <v>0</v>
      </c>
      <c r="AB33" s="630"/>
      <c r="AC33" s="171">
        <f t="shared" si="6"/>
        <v>3.1110263222160039E-2</v>
      </c>
      <c r="AD33" s="183">
        <f t="shared" si="7"/>
        <v>0</v>
      </c>
      <c r="AE33" s="172">
        <f t="shared" si="8"/>
        <v>0</v>
      </c>
      <c r="AF33" s="173">
        <f t="shared" si="9"/>
        <v>0</v>
      </c>
      <c r="AG33" s="172">
        <f t="shared" si="10"/>
        <v>3.1110263222160039E-2</v>
      </c>
      <c r="AH33" s="623"/>
      <c r="AI33" s="42">
        <v>3.7383590120243202</v>
      </c>
      <c r="AJ33" s="299">
        <v>26</v>
      </c>
      <c r="AK33" s="298">
        <v>4.1512282291476303</v>
      </c>
      <c r="AL33" s="299">
        <v>26</v>
      </c>
      <c r="AM33" s="298">
        <v>0</v>
      </c>
      <c r="AN33" s="299">
        <v>28</v>
      </c>
      <c r="AO33" s="298">
        <v>0</v>
      </c>
      <c r="AP33" s="299">
        <v>15</v>
      </c>
      <c r="AQ33" s="111"/>
      <c r="AR33" s="170">
        <f t="shared" si="11"/>
        <v>0</v>
      </c>
      <c r="AS33" s="169">
        <f t="shared" si="12"/>
        <v>0</v>
      </c>
      <c r="AT33" s="169">
        <f t="shared" si="13"/>
        <v>-11</v>
      </c>
      <c r="AU33" s="31"/>
      <c r="AV33" s="171">
        <f t="shared" si="14"/>
        <v>0.41286921712331015</v>
      </c>
      <c r="AW33" s="171">
        <f t="shared" si="15"/>
        <v>0</v>
      </c>
      <c r="AX33" s="172">
        <f t="shared" si="16"/>
        <v>0</v>
      </c>
      <c r="AY33" s="31"/>
      <c r="AZ33" s="31"/>
      <c r="BA33" s="31"/>
      <c r="BB33" s="31"/>
    </row>
    <row r="34" spans="1:54" ht="18.600000000000001" thickBot="1" x14ac:dyDescent="0.4">
      <c r="A34" s="365" t="s">
        <v>308</v>
      </c>
      <c r="B34" s="169">
        <f>RANK(C34,C$7:C$71,0)</f>
        <v>12</v>
      </c>
      <c r="C34" s="172">
        <f t="shared" si="0"/>
        <v>2</v>
      </c>
      <c r="D34" s="76"/>
      <c r="E34" s="74">
        <v>2</v>
      </c>
      <c r="F34" s="858"/>
      <c r="G34" s="667" t="s">
        <v>468</v>
      </c>
      <c r="H34" s="627"/>
      <c r="I34" s="172">
        <v>4.6863284752524299</v>
      </c>
      <c r="J34" s="41">
        <v>33</v>
      </c>
      <c r="K34" s="438">
        <v>3.4349659297458199</v>
      </c>
      <c r="L34" s="41">
        <v>11</v>
      </c>
      <c r="M34" s="438">
        <v>4.4169022120338397</v>
      </c>
      <c r="N34" s="41">
        <v>46</v>
      </c>
      <c r="O34" s="173">
        <v>0</v>
      </c>
      <c r="P34" s="41">
        <v>3</v>
      </c>
      <c r="Q34" s="623"/>
      <c r="R34" s="171">
        <v>0</v>
      </c>
      <c r="S34" s="41">
        <v>42</v>
      </c>
      <c r="T34" s="173">
        <v>4.3186160700859597</v>
      </c>
      <c r="U34" s="41">
        <v>55</v>
      </c>
      <c r="V34" s="111"/>
      <c r="W34" s="170">
        <f t="shared" si="1"/>
        <v>-22</v>
      </c>
      <c r="X34" s="174">
        <f t="shared" si="2"/>
        <v>0</v>
      </c>
      <c r="Y34" s="664">
        <f t="shared" si="3"/>
        <v>-30</v>
      </c>
      <c r="Z34" s="170">
        <f t="shared" si="4"/>
        <v>0</v>
      </c>
      <c r="AA34" s="169">
        <f t="shared" si="5"/>
        <v>0</v>
      </c>
      <c r="AB34" s="630"/>
      <c r="AC34" s="171">
        <f t="shared" si="6"/>
        <v>0</v>
      </c>
      <c r="AD34" s="183">
        <f t="shared" si="7"/>
        <v>0</v>
      </c>
      <c r="AE34" s="172">
        <f t="shared" si="8"/>
        <v>0</v>
      </c>
      <c r="AF34" s="173">
        <f t="shared" si="9"/>
        <v>0</v>
      </c>
      <c r="AG34" s="172">
        <f t="shared" si="10"/>
        <v>0</v>
      </c>
      <c r="AH34" s="623"/>
      <c r="AI34" s="42">
        <v>4.09448469339734</v>
      </c>
      <c r="AJ34" s="299">
        <v>23</v>
      </c>
      <c r="AK34" s="298">
        <v>4.2438184437217297</v>
      </c>
      <c r="AL34" s="299">
        <v>25</v>
      </c>
      <c r="AM34" s="298">
        <v>3.6258449325886399</v>
      </c>
      <c r="AN34" s="299">
        <v>11</v>
      </c>
      <c r="AO34" s="298">
        <v>3.3425726356668801</v>
      </c>
      <c r="AP34" s="299">
        <v>12</v>
      </c>
      <c r="AQ34" s="111"/>
      <c r="AR34" s="170">
        <f t="shared" si="11"/>
        <v>0</v>
      </c>
      <c r="AS34" s="169">
        <f t="shared" si="12"/>
        <v>-12</v>
      </c>
      <c r="AT34" s="169">
        <f t="shared" si="13"/>
        <v>-11</v>
      </c>
      <c r="AU34" s="31"/>
      <c r="AV34" s="171">
        <f t="shared" si="14"/>
        <v>0.14933375032438967</v>
      </c>
      <c r="AW34" s="171">
        <f t="shared" si="15"/>
        <v>0</v>
      </c>
      <c r="AX34" s="172">
        <f t="shared" si="16"/>
        <v>0</v>
      </c>
      <c r="AY34" s="31"/>
      <c r="AZ34" s="31"/>
      <c r="BA34" s="31"/>
      <c r="BB34" s="31"/>
    </row>
    <row r="35" spans="1:54" ht="18.600000000000001" thickBot="1" x14ac:dyDescent="0.4">
      <c r="A35" s="365" t="s">
        <v>290</v>
      </c>
      <c r="B35" s="169">
        <f>RANK(C35,C$7:C$71,0)</f>
        <v>34</v>
      </c>
      <c r="C35" s="172">
        <f t="shared" si="0"/>
        <v>0</v>
      </c>
      <c r="D35" s="76"/>
      <c r="E35" s="74"/>
      <c r="F35" s="858"/>
      <c r="G35" s="667"/>
      <c r="H35" s="627"/>
      <c r="I35" s="172">
        <v>3.4058493270699199</v>
      </c>
      <c r="J35" s="41">
        <v>6</v>
      </c>
      <c r="K35" s="438">
        <v>2.48643497439364</v>
      </c>
      <c r="L35" s="41">
        <v>40</v>
      </c>
      <c r="M35" s="438">
        <v>0</v>
      </c>
      <c r="N35" s="41">
        <v>2</v>
      </c>
      <c r="O35" s="173">
        <v>0</v>
      </c>
      <c r="P35" s="41">
        <v>5</v>
      </c>
      <c r="Q35" s="623"/>
      <c r="R35" s="171">
        <v>0</v>
      </c>
      <c r="S35" s="41">
        <v>49</v>
      </c>
      <c r="T35" s="173">
        <v>2.48643497439364</v>
      </c>
      <c r="U35" s="41">
        <v>39</v>
      </c>
      <c r="V35" s="111"/>
      <c r="W35" s="170">
        <f t="shared" si="1"/>
        <v>0</v>
      </c>
      <c r="X35" s="174">
        <f t="shared" si="2"/>
        <v>-4</v>
      </c>
      <c r="Y35" s="664">
        <f t="shared" si="3"/>
        <v>-1</v>
      </c>
      <c r="Z35" s="170">
        <f t="shared" si="4"/>
        <v>0</v>
      </c>
      <c r="AA35" s="169">
        <f t="shared" si="5"/>
        <v>0</v>
      </c>
      <c r="AB35" s="630"/>
      <c r="AC35" s="171">
        <f t="shared" si="6"/>
        <v>0</v>
      </c>
      <c r="AD35" s="183">
        <f t="shared" si="7"/>
        <v>0</v>
      </c>
      <c r="AE35" s="172">
        <f t="shared" si="8"/>
        <v>0</v>
      </c>
      <c r="AF35" s="173">
        <f t="shared" si="9"/>
        <v>0</v>
      </c>
      <c r="AG35" s="172">
        <f t="shared" si="10"/>
        <v>0</v>
      </c>
      <c r="AH35" s="623"/>
      <c r="AI35" s="42">
        <v>3.9608130045718699</v>
      </c>
      <c r="AJ35" s="299">
        <v>24</v>
      </c>
      <c r="AK35" s="298">
        <v>4.3982503291063804</v>
      </c>
      <c r="AL35" s="299">
        <v>22</v>
      </c>
      <c r="AM35" s="298">
        <v>0</v>
      </c>
      <c r="AN35" s="299">
        <v>28</v>
      </c>
      <c r="AO35" s="298">
        <v>0</v>
      </c>
      <c r="AP35" s="299">
        <v>15</v>
      </c>
      <c r="AQ35" s="111"/>
      <c r="AR35" s="170">
        <f t="shared" si="11"/>
        <v>-2</v>
      </c>
      <c r="AS35" s="169">
        <f t="shared" si="12"/>
        <v>0</v>
      </c>
      <c r="AT35" s="169">
        <f t="shared" si="13"/>
        <v>-9</v>
      </c>
      <c r="AU35" s="31"/>
      <c r="AV35" s="171">
        <f t="shared" si="14"/>
        <v>0.43743732453451045</v>
      </c>
      <c r="AW35" s="171">
        <f t="shared" si="15"/>
        <v>0</v>
      </c>
      <c r="AX35" s="172">
        <f t="shared" si="16"/>
        <v>0</v>
      </c>
      <c r="AY35" s="31"/>
      <c r="AZ35" s="31"/>
      <c r="BA35" s="31"/>
      <c r="BB35" s="31"/>
    </row>
    <row r="36" spans="1:54" ht="18.600000000000001" thickBot="1" x14ac:dyDescent="0.4">
      <c r="A36" s="365" t="s">
        <v>442</v>
      </c>
      <c r="B36" s="169">
        <f>RANK(C36,C$7:C$71,0)</f>
        <v>34</v>
      </c>
      <c r="C36" s="172">
        <f t="shared" si="0"/>
        <v>0</v>
      </c>
      <c r="D36" s="76"/>
      <c r="E36" s="74"/>
      <c r="F36" s="858"/>
      <c r="G36" s="667"/>
      <c r="H36" s="627"/>
      <c r="I36" s="172"/>
      <c r="J36" s="41"/>
      <c r="K36" s="438"/>
      <c r="L36" s="41"/>
      <c r="M36" s="438"/>
      <c r="N36" s="41"/>
      <c r="O36" s="173"/>
      <c r="P36" s="174"/>
      <c r="Q36" s="623"/>
      <c r="R36" s="171"/>
      <c r="S36" s="41"/>
      <c r="T36" s="173"/>
      <c r="U36" s="41"/>
      <c r="V36" s="111"/>
      <c r="W36" s="170"/>
      <c r="X36" s="174"/>
      <c r="Y36" s="664"/>
      <c r="Z36" s="170"/>
      <c r="AA36" s="169"/>
      <c r="AB36" s="630"/>
      <c r="AC36" s="171"/>
      <c r="AD36" s="183"/>
      <c r="AE36" s="172"/>
      <c r="AF36" s="173"/>
      <c r="AG36" s="172"/>
      <c r="AH36" s="623"/>
      <c r="AI36" s="42"/>
      <c r="AJ36" s="299"/>
      <c r="AK36" s="298"/>
      <c r="AL36" s="299"/>
      <c r="AM36" s="298"/>
      <c r="AN36" s="299"/>
      <c r="AO36" s="298"/>
      <c r="AP36" s="299"/>
      <c r="AQ36" s="111"/>
      <c r="AR36" s="170"/>
      <c r="AS36" s="169"/>
      <c r="AT36" s="169"/>
      <c r="AU36" s="31"/>
      <c r="AV36" s="171"/>
      <c r="AW36" s="171"/>
      <c r="AX36" s="172"/>
      <c r="AY36" s="31"/>
      <c r="AZ36" s="31"/>
      <c r="BA36" s="31"/>
      <c r="BB36" s="31"/>
    </row>
    <row r="37" spans="1:54" ht="18.600000000000001" thickBot="1" x14ac:dyDescent="0.4">
      <c r="A37" s="365" t="s">
        <v>98</v>
      </c>
      <c r="B37" s="169">
        <f>RANK(C37,C$7:C$71,0)</f>
        <v>34</v>
      </c>
      <c r="C37" s="172">
        <f t="shared" si="0"/>
        <v>0</v>
      </c>
      <c r="D37" s="76"/>
      <c r="E37" s="74"/>
      <c r="F37" s="858"/>
      <c r="G37" s="669"/>
      <c r="H37" s="627"/>
      <c r="I37" s="172">
        <v>8.08407910630992</v>
      </c>
      <c r="J37" s="41">
        <v>53</v>
      </c>
      <c r="K37" s="438">
        <v>6.6488789083994799</v>
      </c>
      <c r="L37" s="41">
        <v>3</v>
      </c>
      <c r="M37" s="438">
        <v>7.2297990210905096</v>
      </c>
      <c r="N37" s="41">
        <v>15</v>
      </c>
      <c r="O37" s="173">
        <v>5.0716565073042599</v>
      </c>
      <c r="P37" s="169">
        <v>6</v>
      </c>
      <c r="Q37" s="623"/>
      <c r="R37" s="171">
        <v>7.0147121750225798</v>
      </c>
      <c r="S37" s="41">
        <v>36</v>
      </c>
      <c r="T37" s="173">
        <v>7.1016864465982303</v>
      </c>
      <c r="U37" s="41">
        <v>32</v>
      </c>
      <c r="V37" s="111"/>
      <c r="W37" s="170">
        <f t="shared" si="1"/>
        <v>-50</v>
      </c>
      <c r="X37" s="174">
        <f t="shared" si="2"/>
        <v>-38</v>
      </c>
      <c r="Y37" s="664">
        <f t="shared" si="3"/>
        <v>-47</v>
      </c>
      <c r="Z37" s="170">
        <f t="shared" si="4"/>
        <v>-17</v>
      </c>
      <c r="AA37" s="169">
        <f t="shared" si="5"/>
        <v>-21</v>
      </c>
      <c r="AB37" s="630"/>
      <c r="AC37" s="171">
        <f t="shared" si="6"/>
        <v>0</v>
      </c>
      <c r="AD37" s="183">
        <f t="shared" si="7"/>
        <v>0</v>
      </c>
      <c r="AE37" s="172">
        <f t="shared" si="8"/>
        <v>0</v>
      </c>
      <c r="AF37" s="173">
        <f t="shared" si="9"/>
        <v>0</v>
      </c>
      <c r="AG37" s="172">
        <f t="shared" si="10"/>
        <v>0</v>
      </c>
      <c r="AH37" s="623"/>
      <c r="AI37" s="42">
        <v>10</v>
      </c>
      <c r="AJ37" s="299">
        <v>1</v>
      </c>
      <c r="AK37" s="298">
        <v>10</v>
      </c>
      <c r="AL37" s="299">
        <v>1</v>
      </c>
      <c r="AM37" s="298">
        <v>8.9089031905700509</v>
      </c>
      <c r="AN37" s="299">
        <v>2</v>
      </c>
      <c r="AO37" s="298">
        <v>9.4414491815750008</v>
      </c>
      <c r="AP37" s="299">
        <v>2</v>
      </c>
      <c r="AQ37" s="111"/>
      <c r="AR37" s="170">
        <f t="shared" si="11"/>
        <v>0</v>
      </c>
      <c r="AS37" s="169">
        <f t="shared" si="12"/>
        <v>0</v>
      </c>
      <c r="AT37" s="169">
        <f t="shared" si="13"/>
        <v>0</v>
      </c>
      <c r="AU37" s="31"/>
      <c r="AV37" s="171">
        <f t="shared" si="14"/>
        <v>0</v>
      </c>
      <c r="AW37" s="171">
        <f t="shared" si="15"/>
        <v>0</v>
      </c>
      <c r="AX37" s="172">
        <f t="shared" si="16"/>
        <v>0</v>
      </c>
      <c r="AY37" s="31"/>
      <c r="AZ37" s="31"/>
      <c r="BA37" s="31"/>
      <c r="BB37" s="31"/>
    </row>
    <row r="38" spans="1:54" ht="18.600000000000001" thickBot="1" x14ac:dyDescent="0.4">
      <c r="A38" s="365" t="s">
        <v>110</v>
      </c>
      <c r="B38" s="169">
        <f>RANK(C38,C$7:C$71,0)</f>
        <v>34</v>
      </c>
      <c r="C38" s="172">
        <f t="shared" si="0"/>
        <v>0</v>
      </c>
      <c r="D38" s="76"/>
      <c r="E38" s="74"/>
      <c r="F38" s="858"/>
      <c r="G38" s="667"/>
      <c r="H38" s="627"/>
      <c r="I38" s="172">
        <v>5.2476406269032196</v>
      </c>
      <c r="J38" s="41">
        <v>38</v>
      </c>
      <c r="K38" s="438">
        <v>4.1568562812165899</v>
      </c>
      <c r="L38" s="41">
        <v>17</v>
      </c>
      <c r="M38" s="438">
        <v>4.9697628276494203</v>
      </c>
      <c r="N38" s="41">
        <v>54</v>
      </c>
      <c r="O38" s="173">
        <v>3.6707391298182799</v>
      </c>
      <c r="P38" s="169">
        <v>7</v>
      </c>
      <c r="Q38" s="623"/>
      <c r="R38" s="171">
        <v>5.1886712277390803</v>
      </c>
      <c r="S38" s="41">
        <v>21</v>
      </c>
      <c r="T38" s="173">
        <v>3.4405082656901498</v>
      </c>
      <c r="U38" s="41">
        <v>17</v>
      </c>
      <c r="V38" s="111"/>
      <c r="W38" s="170">
        <f t="shared" si="1"/>
        <v>-21</v>
      </c>
      <c r="X38" s="174">
        <f t="shared" si="2"/>
        <v>0</v>
      </c>
      <c r="Y38" s="664">
        <f t="shared" si="3"/>
        <v>-31</v>
      </c>
      <c r="Z38" s="170">
        <f t="shared" si="4"/>
        <v>-17</v>
      </c>
      <c r="AA38" s="169">
        <f t="shared" si="5"/>
        <v>-21</v>
      </c>
      <c r="AB38" s="630"/>
      <c r="AC38" s="171">
        <f t="shared" si="6"/>
        <v>0</v>
      </c>
      <c r="AD38" s="183">
        <f t="shared" si="7"/>
        <v>0</v>
      </c>
      <c r="AE38" s="172">
        <f t="shared" si="8"/>
        <v>0</v>
      </c>
      <c r="AF38" s="173">
        <f t="shared" si="9"/>
        <v>0</v>
      </c>
      <c r="AG38" s="172">
        <f t="shared" si="10"/>
        <v>0</v>
      </c>
      <c r="AH38" s="623"/>
      <c r="AI38" s="42">
        <v>1.6086065735683599</v>
      </c>
      <c r="AJ38" s="299">
        <v>40</v>
      </c>
      <c r="AK38" s="298">
        <v>0</v>
      </c>
      <c r="AL38" s="299">
        <v>38</v>
      </c>
      <c r="AM38" s="298">
        <v>1.86269569860032</v>
      </c>
      <c r="AN38" s="299">
        <v>19</v>
      </c>
      <c r="AO38" s="298">
        <v>0</v>
      </c>
      <c r="AP38" s="299">
        <v>15</v>
      </c>
      <c r="AQ38" s="111"/>
      <c r="AR38" s="170">
        <f t="shared" si="11"/>
        <v>-2</v>
      </c>
      <c r="AS38" s="169">
        <f t="shared" si="12"/>
        <v>-21</v>
      </c>
      <c r="AT38" s="169">
        <f t="shared" si="13"/>
        <v>-25</v>
      </c>
      <c r="AU38" s="31"/>
      <c r="AV38" s="171">
        <f t="shared" si="14"/>
        <v>0</v>
      </c>
      <c r="AW38" s="171">
        <f t="shared" si="15"/>
        <v>0.25408912503196013</v>
      </c>
      <c r="AX38" s="172">
        <f t="shared" si="16"/>
        <v>0</v>
      </c>
      <c r="AY38" s="31"/>
      <c r="AZ38" s="31"/>
      <c r="BA38" s="31"/>
      <c r="BB38" s="31"/>
    </row>
    <row r="39" spans="1:54" ht="18.600000000000001" thickBot="1" x14ac:dyDescent="0.4">
      <c r="A39" s="365" t="s">
        <v>95</v>
      </c>
      <c r="B39" s="169">
        <f>RANK(C39,C$7:C$71,0)</f>
        <v>17</v>
      </c>
      <c r="C39" s="172">
        <f t="shared" si="0"/>
        <v>1</v>
      </c>
      <c r="D39" s="76"/>
      <c r="E39" s="74">
        <v>1</v>
      </c>
      <c r="F39" s="858"/>
      <c r="G39" s="667" t="s">
        <v>466</v>
      </c>
      <c r="H39" s="627"/>
      <c r="I39" s="172">
        <v>5.1898813583921299</v>
      </c>
      <c r="J39" s="41">
        <v>1</v>
      </c>
      <c r="K39" s="438">
        <v>6.7364203279191397</v>
      </c>
      <c r="L39" s="41">
        <v>27</v>
      </c>
      <c r="M39" s="438">
        <v>4.0606055300780497</v>
      </c>
      <c r="N39" s="41">
        <v>8</v>
      </c>
      <c r="O39" s="173">
        <v>2.4924499783618699</v>
      </c>
      <c r="P39" s="169">
        <v>9</v>
      </c>
      <c r="Q39" s="623"/>
      <c r="R39" s="171">
        <v>5.0563395077557702</v>
      </c>
      <c r="S39" s="41">
        <v>39</v>
      </c>
      <c r="T39" s="173">
        <v>4.9563719857907698</v>
      </c>
      <c r="U39" s="41">
        <v>24</v>
      </c>
      <c r="V39" s="111"/>
      <c r="W39" s="170">
        <f t="shared" si="1"/>
        <v>0</v>
      </c>
      <c r="X39" s="174">
        <f t="shared" si="2"/>
        <v>0</v>
      </c>
      <c r="Y39" s="664">
        <f t="shared" si="3"/>
        <v>0</v>
      </c>
      <c r="Z39" s="170">
        <f t="shared" si="4"/>
        <v>0</v>
      </c>
      <c r="AA39" s="169">
        <f t="shared" si="5"/>
        <v>0</v>
      </c>
      <c r="AB39" s="630"/>
      <c r="AC39" s="171">
        <f t="shared" si="6"/>
        <v>1.5465389695270098</v>
      </c>
      <c r="AD39" s="183">
        <f t="shared" si="7"/>
        <v>0</v>
      </c>
      <c r="AE39" s="172">
        <f t="shared" si="8"/>
        <v>0</v>
      </c>
      <c r="AF39" s="173">
        <f t="shared" si="9"/>
        <v>0</v>
      </c>
      <c r="AG39" s="172">
        <f t="shared" si="10"/>
        <v>0</v>
      </c>
      <c r="AH39" s="623"/>
      <c r="AI39" s="42">
        <v>0</v>
      </c>
      <c r="AJ39" s="299">
        <v>44</v>
      </c>
      <c r="AK39" s="298">
        <v>0</v>
      </c>
      <c r="AL39" s="299">
        <v>38</v>
      </c>
      <c r="AM39" s="298">
        <v>0</v>
      </c>
      <c r="AN39" s="299">
        <v>28</v>
      </c>
      <c r="AO39" s="298">
        <v>0</v>
      </c>
      <c r="AP39" s="299">
        <v>15</v>
      </c>
      <c r="AQ39" s="111"/>
      <c r="AR39" s="170">
        <f t="shared" si="11"/>
        <v>-6</v>
      </c>
      <c r="AS39" s="169">
        <f t="shared" si="12"/>
        <v>-16</v>
      </c>
      <c r="AT39" s="169">
        <f t="shared" si="13"/>
        <v>-29</v>
      </c>
      <c r="AU39" s="31"/>
      <c r="AV39" s="171">
        <f t="shared" si="14"/>
        <v>0</v>
      </c>
      <c r="AW39" s="171">
        <f t="shared" si="15"/>
        <v>0</v>
      </c>
      <c r="AX39" s="172">
        <f t="shared" si="16"/>
        <v>0</v>
      </c>
      <c r="AY39" s="31"/>
      <c r="AZ39" s="31"/>
      <c r="BA39" s="31"/>
      <c r="BB39" s="31"/>
    </row>
    <row r="40" spans="1:54" ht="18.600000000000001" thickBot="1" x14ac:dyDescent="0.4">
      <c r="A40" s="365" t="s">
        <v>122</v>
      </c>
      <c r="B40" s="169">
        <f>RANK(C40,C$7:C$71,0)</f>
        <v>34</v>
      </c>
      <c r="C40" s="172">
        <f t="shared" si="0"/>
        <v>0</v>
      </c>
      <c r="D40" s="76"/>
      <c r="E40" s="74"/>
      <c r="F40" s="858"/>
      <c r="G40" s="669"/>
      <c r="H40" s="627"/>
      <c r="I40" s="172">
        <v>3.00929684435566</v>
      </c>
      <c r="J40" s="41">
        <v>19</v>
      </c>
      <c r="K40" s="438">
        <v>3.07150986669471</v>
      </c>
      <c r="L40" s="41">
        <v>44</v>
      </c>
      <c r="M40" s="438">
        <v>0</v>
      </c>
      <c r="N40" s="41">
        <v>7</v>
      </c>
      <c r="O40" s="173">
        <v>0</v>
      </c>
      <c r="P40" s="41">
        <v>10</v>
      </c>
      <c r="Q40" s="623"/>
      <c r="R40" s="171">
        <v>0</v>
      </c>
      <c r="S40" s="41">
        <v>45</v>
      </c>
      <c r="T40" s="173">
        <v>3.07150986669471</v>
      </c>
      <c r="U40" s="41">
        <v>19</v>
      </c>
      <c r="V40" s="111"/>
      <c r="W40" s="170">
        <f t="shared" si="1"/>
        <v>0</v>
      </c>
      <c r="X40" s="174">
        <f t="shared" si="2"/>
        <v>-12</v>
      </c>
      <c r="Y40" s="664">
        <f t="shared" si="3"/>
        <v>-9</v>
      </c>
      <c r="Z40" s="170">
        <f t="shared" si="4"/>
        <v>0</v>
      </c>
      <c r="AA40" s="169">
        <f t="shared" si="5"/>
        <v>0</v>
      </c>
      <c r="AB40" s="630"/>
      <c r="AC40" s="171">
        <f t="shared" si="6"/>
        <v>6.2213022339050017E-2</v>
      </c>
      <c r="AD40" s="183">
        <f t="shared" si="7"/>
        <v>0</v>
      </c>
      <c r="AE40" s="172">
        <f t="shared" si="8"/>
        <v>0</v>
      </c>
      <c r="AF40" s="173">
        <f t="shared" si="9"/>
        <v>0</v>
      </c>
      <c r="AG40" s="172">
        <f t="shared" si="10"/>
        <v>6.2213022339050017E-2</v>
      </c>
      <c r="AH40" s="623"/>
      <c r="AI40" s="42">
        <v>5.4891876289377501</v>
      </c>
      <c r="AJ40" s="299">
        <v>13</v>
      </c>
      <c r="AK40" s="298">
        <v>6.0952604605494303</v>
      </c>
      <c r="AL40" s="299">
        <v>12</v>
      </c>
      <c r="AM40" s="298">
        <v>1.29649124915944</v>
      </c>
      <c r="AN40" s="299">
        <v>26</v>
      </c>
      <c r="AO40" s="298">
        <v>0</v>
      </c>
      <c r="AP40" s="299">
        <v>15</v>
      </c>
      <c r="AQ40" s="111"/>
      <c r="AR40" s="170">
        <f t="shared" si="11"/>
        <v>-1</v>
      </c>
      <c r="AS40" s="169">
        <f t="shared" si="12"/>
        <v>0</v>
      </c>
      <c r="AT40" s="169">
        <f t="shared" si="13"/>
        <v>0</v>
      </c>
      <c r="AU40" s="31"/>
      <c r="AV40" s="171">
        <f t="shared" si="14"/>
        <v>0.60607283161168013</v>
      </c>
      <c r="AW40" s="171">
        <f t="shared" si="15"/>
        <v>0</v>
      </c>
      <c r="AX40" s="172">
        <f t="shared" si="16"/>
        <v>0</v>
      </c>
      <c r="AY40" s="31"/>
      <c r="AZ40" s="31"/>
      <c r="BA40" s="31"/>
      <c r="BB40" s="31"/>
    </row>
    <row r="41" spans="1:54" ht="18.600000000000001" thickBot="1" x14ac:dyDescent="0.4">
      <c r="A41" s="365" t="s">
        <v>103</v>
      </c>
      <c r="B41" s="169">
        <f>RANK(C41,C$7:C$71,0)</f>
        <v>12</v>
      </c>
      <c r="C41" s="172">
        <f t="shared" ref="C41:C71" si="17">SUM(D41:E41)</f>
        <v>2</v>
      </c>
      <c r="D41" s="76"/>
      <c r="E41" s="74">
        <v>2</v>
      </c>
      <c r="F41" s="858"/>
      <c r="G41" s="669" t="s">
        <v>468</v>
      </c>
      <c r="H41" s="627"/>
      <c r="I41" s="172">
        <v>4.4054590858045097</v>
      </c>
      <c r="J41" s="41">
        <v>3</v>
      </c>
      <c r="K41" s="438">
        <v>0</v>
      </c>
      <c r="L41" s="41">
        <v>2</v>
      </c>
      <c r="M41" s="438">
        <v>4.3873849431076204</v>
      </c>
      <c r="N41" s="41">
        <v>49</v>
      </c>
      <c r="O41" s="173">
        <v>2.0519916302971599</v>
      </c>
      <c r="P41" s="169">
        <v>11</v>
      </c>
      <c r="Q41" s="623"/>
      <c r="R41" s="171">
        <v>4.3873849431076204</v>
      </c>
      <c r="S41" s="41">
        <v>25</v>
      </c>
      <c r="T41" s="173">
        <v>2.0519916302971599</v>
      </c>
      <c r="U41" s="41">
        <v>2</v>
      </c>
      <c r="V41" s="111"/>
      <c r="W41" s="170">
        <f t="shared" ref="W41:W71" si="18">MIN(L41-$J41,0)</f>
        <v>-1</v>
      </c>
      <c r="X41" s="174">
        <f t="shared" ref="X41:X71" si="19">MIN(N41-$J41,0)</f>
        <v>0</v>
      </c>
      <c r="Y41" s="664">
        <f t="shared" ref="Y41:Y71" si="20">MIN(P41-$J41,0)</f>
        <v>0</v>
      </c>
      <c r="Z41" s="170">
        <f t="shared" ref="Z41:Z71" si="21">MIN(S41-$J41,0)</f>
        <v>0</v>
      </c>
      <c r="AA41" s="169">
        <f t="shared" ref="AA41:AA71" si="22">MIN(U41-$J41,0)</f>
        <v>-1</v>
      </c>
      <c r="AB41" s="630"/>
      <c r="AC41" s="171">
        <f t="shared" ref="AC41:AC71" si="23">MAX(K41-$I41,0)</f>
        <v>0</v>
      </c>
      <c r="AD41" s="183">
        <f t="shared" ref="AD41:AD71" si="24">MAX(M41-$I41,0)</f>
        <v>0</v>
      </c>
      <c r="AE41" s="172">
        <f t="shared" ref="AE41:AE71" si="25">MAX(O41-$I41,0)</f>
        <v>0</v>
      </c>
      <c r="AF41" s="173">
        <f t="shared" ref="AF41:AF71" si="26">MAX(R41-$I41,0)</f>
        <v>0</v>
      </c>
      <c r="AG41" s="172">
        <f t="shared" ref="AG41:AG71" si="27">MAX(T41-$I41,0)</f>
        <v>0</v>
      </c>
      <c r="AH41" s="623"/>
      <c r="AI41" s="42">
        <v>2.1475626147451301</v>
      </c>
      <c r="AJ41" s="299">
        <v>37</v>
      </c>
      <c r="AK41" s="298">
        <v>0</v>
      </c>
      <c r="AL41" s="299">
        <v>38</v>
      </c>
      <c r="AM41" s="298">
        <v>1.7366478325933199</v>
      </c>
      <c r="AN41" s="299">
        <v>22</v>
      </c>
      <c r="AO41" s="298">
        <v>2.6195638583932301</v>
      </c>
      <c r="AP41" s="299">
        <v>13</v>
      </c>
      <c r="AQ41" s="111"/>
      <c r="AR41" s="170">
        <f t="shared" ref="AR41:AR71" si="28">MIN(AL41-$AJ41,0)</f>
        <v>0</v>
      </c>
      <c r="AS41" s="169">
        <f t="shared" ref="AS41:AS71" si="29">MIN(AN41-$AJ41,0)</f>
        <v>-15</v>
      </c>
      <c r="AT41" s="169">
        <f t="shared" ref="AT41:AT71" si="30">MIN(AP41-$AJ41,0)</f>
        <v>-24</v>
      </c>
      <c r="AU41" s="31"/>
      <c r="AV41" s="171">
        <f t="shared" ref="AV41:AV71" si="31">MAX(AK41-$AI41,0)</f>
        <v>0</v>
      </c>
      <c r="AW41" s="171">
        <f t="shared" ref="AW41:AW71" si="32">MAX(AM41-$AI41,0)</f>
        <v>0</v>
      </c>
      <c r="AX41" s="172">
        <f t="shared" ref="AX41:AX71" si="33">MAX(AO41-$AI41,0)</f>
        <v>0.47200124364810003</v>
      </c>
      <c r="AY41" s="31"/>
      <c r="AZ41" s="31"/>
      <c r="BA41" s="31"/>
      <c r="BB41" s="31"/>
    </row>
    <row r="42" spans="1:54" ht="18.600000000000001" thickBot="1" x14ac:dyDescent="0.4">
      <c r="A42" s="364" t="s">
        <v>309</v>
      </c>
      <c r="B42" s="169">
        <f>RANK(C42,C$7:C$71,0)</f>
        <v>3</v>
      </c>
      <c r="C42" s="172">
        <f t="shared" si="17"/>
        <v>3</v>
      </c>
      <c r="D42" s="76"/>
      <c r="E42" s="74">
        <v>3</v>
      </c>
      <c r="F42" s="858"/>
      <c r="G42" s="670" t="s">
        <v>470</v>
      </c>
      <c r="H42" s="627"/>
      <c r="I42" s="172">
        <v>5.6763095003170596</v>
      </c>
      <c r="J42" s="41">
        <v>7</v>
      </c>
      <c r="K42" s="438">
        <v>1.2252211195711999</v>
      </c>
      <c r="L42" s="41">
        <v>1</v>
      </c>
      <c r="M42" s="438">
        <v>5.4346664885721996</v>
      </c>
      <c r="N42" s="41">
        <v>13</v>
      </c>
      <c r="O42" s="173">
        <v>3.1385337578022399</v>
      </c>
      <c r="P42" s="169">
        <v>13</v>
      </c>
      <c r="Q42" s="623"/>
      <c r="R42" s="171">
        <v>5.6739611674540802</v>
      </c>
      <c r="S42" s="41">
        <v>41</v>
      </c>
      <c r="T42" s="173">
        <v>1.3880332622862901</v>
      </c>
      <c r="U42" s="41">
        <v>52</v>
      </c>
      <c r="V42" s="111"/>
      <c r="W42" s="170">
        <f t="shared" si="18"/>
        <v>-6</v>
      </c>
      <c r="X42" s="174">
        <f t="shared" si="19"/>
        <v>0</v>
      </c>
      <c r="Y42" s="664">
        <f t="shared" si="20"/>
        <v>0</v>
      </c>
      <c r="Z42" s="170">
        <f t="shared" si="21"/>
        <v>0</v>
      </c>
      <c r="AA42" s="169">
        <f t="shared" si="22"/>
        <v>0</v>
      </c>
      <c r="AB42" s="630"/>
      <c r="AC42" s="171">
        <f t="shared" si="23"/>
        <v>0</v>
      </c>
      <c r="AD42" s="183">
        <f t="shared" si="24"/>
        <v>0</v>
      </c>
      <c r="AE42" s="172">
        <f t="shared" si="25"/>
        <v>0</v>
      </c>
      <c r="AF42" s="173">
        <f t="shared" si="26"/>
        <v>0</v>
      </c>
      <c r="AG42" s="172">
        <f t="shared" si="27"/>
        <v>0</v>
      </c>
      <c r="AH42" s="623"/>
      <c r="AI42" s="42">
        <v>0</v>
      </c>
      <c r="AJ42" s="299">
        <v>44</v>
      </c>
      <c r="AK42" s="298">
        <v>0</v>
      </c>
      <c r="AL42" s="299">
        <v>38</v>
      </c>
      <c r="AM42" s="298">
        <v>0</v>
      </c>
      <c r="AN42" s="299">
        <v>28</v>
      </c>
      <c r="AO42" s="298">
        <v>0</v>
      </c>
      <c r="AP42" s="299">
        <v>15</v>
      </c>
      <c r="AQ42" s="111"/>
      <c r="AR42" s="170">
        <f t="shared" si="28"/>
        <v>-6</v>
      </c>
      <c r="AS42" s="169">
        <f t="shared" si="29"/>
        <v>-16</v>
      </c>
      <c r="AT42" s="169">
        <f t="shared" si="30"/>
        <v>-29</v>
      </c>
      <c r="AU42" s="31"/>
      <c r="AV42" s="171">
        <f t="shared" si="31"/>
        <v>0</v>
      </c>
      <c r="AW42" s="171">
        <f t="shared" si="32"/>
        <v>0</v>
      </c>
      <c r="AX42" s="172">
        <f t="shared" si="33"/>
        <v>0</v>
      </c>
      <c r="AY42" s="31"/>
      <c r="AZ42" s="31"/>
      <c r="BA42" s="31"/>
      <c r="BB42" s="31"/>
    </row>
    <row r="43" spans="1:54" ht="18.600000000000001" thickBot="1" x14ac:dyDescent="0.4">
      <c r="A43" s="365" t="s">
        <v>123</v>
      </c>
      <c r="B43" s="169">
        <f>RANK(C43,C$7:C$71,0)</f>
        <v>17</v>
      </c>
      <c r="C43" s="172">
        <f t="shared" si="17"/>
        <v>1</v>
      </c>
      <c r="D43" s="76"/>
      <c r="E43" s="74">
        <v>1</v>
      </c>
      <c r="F43" s="858"/>
      <c r="G43" s="667"/>
      <c r="H43" s="627"/>
      <c r="I43" s="172">
        <v>4.9132001314357296</v>
      </c>
      <c r="J43" s="41">
        <v>42</v>
      </c>
      <c r="K43" s="438">
        <v>4.5530091907135004</v>
      </c>
      <c r="L43" s="41">
        <v>32</v>
      </c>
      <c r="M43" s="438">
        <v>3.87128465562449</v>
      </c>
      <c r="N43" s="41">
        <v>21</v>
      </c>
      <c r="O43" s="173">
        <v>0</v>
      </c>
      <c r="P43" s="41">
        <v>14</v>
      </c>
      <c r="Q43" s="623"/>
      <c r="R43" s="171">
        <v>4.4573016842654596</v>
      </c>
      <c r="S43" s="41">
        <v>16</v>
      </c>
      <c r="T43" s="173">
        <v>4.1167233071303597</v>
      </c>
      <c r="U43" s="41">
        <v>25</v>
      </c>
      <c r="V43" s="111"/>
      <c r="W43" s="170">
        <f t="shared" si="18"/>
        <v>-10</v>
      </c>
      <c r="X43" s="174">
        <f t="shared" si="19"/>
        <v>-21</v>
      </c>
      <c r="Y43" s="664">
        <f t="shared" si="20"/>
        <v>-28</v>
      </c>
      <c r="Z43" s="170">
        <f t="shared" si="21"/>
        <v>-26</v>
      </c>
      <c r="AA43" s="169">
        <f t="shared" si="22"/>
        <v>-17</v>
      </c>
      <c r="AB43" s="630"/>
      <c r="AC43" s="171">
        <f t="shared" si="23"/>
        <v>0</v>
      </c>
      <c r="AD43" s="183">
        <f t="shared" si="24"/>
        <v>0</v>
      </c>
      <c r="AE43" s="172">
        <f t="shared" si="25"/>
        <v>0</v>
      </c>
      <c r="AF43" s="173">
        <f t="shared" si="26"/>
        <v>0</v>
      </c>
      <c r="AG43" s="172">
        <f t="shared" si="27"/>
        <v>0</v>
      </c>
      <c r="AH43" s="623"/>
      <c r="AI43" s="42">
        <v>4.6676051953440698</v>
      </c>
      <c r="AJ43" s="299">
        <v>16</v>
      </c>
      <c r="AK43" s="298">
        <v>5.1652492219120001</v>
      </c>
      <c r="AL43" s="299">
        <v>16</v>
      </c>
      <c r="AM43" s="298">
        <v>2.6479082321482998</v>
      </c>
      <c r="AN43" s="299">
        <v>16</v>
      </c>
      <c r="AO43" s="298">
        <v>0</v>
      </c>
      <c r="AP43" s="299">
        <v>15</v>
      </c>
      <c r="AQ43" s="111"/>
      <c r="AR43" s="170">
        <f t="shared" si="28"/>
        <v>0</v>
      </c>
      <c r="AS43" s="169">
        <f t="shared" si="29"/>
        <v>0</v>
      </c>
      <c r="AT43" s="169">
        <f t="shared" si="30"/>
        <v>-1</v>
      </c>
      <c r="AU43" s="31"/>
      <c r="AV43" s="171">
        <f t="shared" si="31"/>
        <v>0.49764402656793028</v>
      </c>
      <c r="AW43" s="171">
        <f t="shared" si="32"/>
        <v>0</v>
      </c>
      <c r="AX43" s="172">
        <f t="shared" si="33"/>
        <v>0</v>
      </c>
      <c r="AY43" s="31"/>
      <c r="AZ43" s="31"/>
      <c r="BA43" s="31"/>
      <c r="BB43" s="31"/>
    </row>
    <row r="44" spans="1:54" ht="18.600000000000001" thickBot="1" x14ac:dyDescent="0.4">
      <c r="A44" s="365" t="s">
        <v>294</v>
      </c>
      <c r="B44" s="169">
        <f>RANK(C44,C$7:C$71,0)</f>
        <v>3</v>
      </c>
      <c r="C44" s="172">
        <f t="shared" si="17"/>
        <v>3</v>
      </c>
      <c r="D44" s="76">
        <v>2</v>
      </c>
      <c r="E44" s="74">
        <v>1</v>
      </c>
      <c r="F44" s="858"/>
      <c r="G44" s="667" t="s">
        <v>466</v>
      </c>
      <c r="H44" s="627"/>
      <c r="I44" s="172">
        <v>2.8082045344317099</v>
      </c>
      <c r="J44" s="41">
        <v>39</v>
      </c>
      <c r="K44" s="438">
        <v>2.19720445816567</v>
      </c>
      <c r="L44" s="41">
        <v>24</v>
      </c>
      <c r="M44" s="438">
        <v>1.55508583136496</v>
      </c>
      <c r="N44" s="41">
        <v>45</v>
      </c>
      <c r="O44" s="173">
        <v>2.9355201940245701</v>
      </c>
      <c r="P44" s="169">
        <v>15</v>
      </c>
      <c r="Q44" s="623"/>
      <c r="R44" s="171">
        <v>2.7272449289638998</v>
      </c>
      <c r="S44" s="41">
        <v>5</v>
      </c>
      <c r="T44" s="173">
        <v>2.16577478138151</v>
      </c>
      <c r="U44" s="41">
        <v>28</v>
      </c>
      <c r="V44" s="111"/>
      <c r="W44" s="170">
        <f t="shared" si="18"/>
        <v>-15</v>
      </c>
      <c r="X44" s="174">
        <f t="shared" si="19"/>
        <v>0</v>
      </c>
      <c r="Y44" s="664">
        <f t="shared" si="20"/>
        <v>-24</v>
      </c>
      <c r="Z44" s="170">
        <f t="shared" si="21"/>
        <v>-34</v>
      </c>
      <c r="AA44" s="169">
        <f t="shared" si="22"/>
        <v>-11</v>
      </c>
      <c r="AB44" s="630"/>
      <c r="AC44" s="171">
        <f t="shared" si="23"/>
        <v>0</v>
      </c>
      <c r="AD44" s="183">
        <f t="shared" si="24"/>
        <v>0</v>
      </c>
      <c r="AE44" s="172">
        <f t="shared" si="25"/>
        <v>0.12731565959286018</v>
      </c>
      <c r="AF44" s="173">
        <f t="shared" si="26"/>
        <v>0</v>
      </c>
      <c r="AG44" s="172">
        <f t="shared" si="27"/>
        <v>0</v>
      </c>
      <c r="AH44" s="623"/>
      <c r="AI44" s="42">
        <v>2.7461000527396502</v>
      </c>
      <c r="AJ44" s="299">
        <v>32</v>
      </c>
      <c r="AK44" s="298">
        <v>3.04938290365636</v>
      </c>
      <c r="AL44" s="299">
        <v>30</v>
      </c>
      <c r="AM44" s="298">
        <v>0</v>
      </c>
      <c r="AN44" s="299">
        <v>28</v>
      </c>
      <c r="AO44" s="298">
        <v>0</v>
      </c>
      <c r="AP44" s="299">
        <v>15</v>
      </c>
      <c r="AQ44" s="111"/>
      <c r="AR44" s="170">
        <f t="shared" si="28"/>
        <v>-2</v>
      </c>
      <c r="AS44" s="169">
        <f t="shared" si="29"/>
        <v>-4</v>
      </c>
      <c r="AT44" s="169">
        <f t="shared" si="30"/>
        <v>-17</v>
      </c>
      <c r="AU44" s="31"/>
      <c r="AV44" s="171">
        <f t="shared" si="31"/>
        <v>0.30328285091670981</v>
      </c>
      <c r="AW44" s="171">
        <f t="shared" si="32"/>
        <v>0</v>
      </c>
      <c r="AX44" s="172">
        <f t="shared" si="33"/>
        <v>0</v>
      </c>
      <c r="AY44" s="31"/>
      <c r="AZ44" s="31"/>
      <c r="BA44" s="31"/>
      <c r="BB44" s="31"/>
    </row>
    <row r="45" spans="1:54" ht="18.600000000000001" thickBot="1" x14ac:dyDescent="0.4">
      <c r="A45" s="365" t="s">
        <v>7</v>
      </c>
      <c r="B45" s="169">
        <f>RANK(C45,C$7:C$71,0)</f>
        <v>3</v>
      </c>
      <c r="C45" s="172">
        <f t="shared" si="17"/>
        <v>3</v>
      </c>
      <c r="D45" s="76">
        <v>1</v>
      </c>
      <c r="E45" s="74">
        <v>2</v>
      </c>
      <c r="F45" s="858"/>
      <c r="G45" s="669" t="s">
        <v>472</v>
      </c>
      <c r="H45" s="627"/>
      <c r="I45" s="172">
        <v>7.9799126043586703</v>
      </c>
      <c r="J45" s="41">
        <v>44</v>
      </c>
      <c r="K45" s="438">
        <v>8.4097997874185193</v>
      </c>
      <c r="L45" s="41">
        <v>49</v>
      </c>
      <c r="M45" s="438">
        <v>7.5184722215390201</v>
      </c>
      <c r="N45" s="41">
        <v>51</v>
      </c>
      <c r="O45" s="173">
        <v>6.3435717180487803</v>
      </c>
      <c r="P45" s="169">
        <v>16</v>
      </c>
      <c r="Q45" s="623"/>
      <c r="R45" s="171">
        <v>7.9770106883778498</v>
      </c>
      <c r="S45" s="41">
        <v>54</v>
      </c>
      <c r="T45" s="173">
        <v>3.5773074244660901</v>
      </c>
      <c r="U45" s="41">
        <v>18</v>
      </c>
      <c r="V45" s="111"/>
      <c r="W45" s="170">
        <f t="shared" si="18"/>
        <v>0</v>
      </c>
      <c r="X45" s="174">
        <f t="shared" si="19"/>
        <v>0</v>
      </c>
      <c r="Y45" s="664">
        <f t="shared" si="20"/>
        <v>-28</v>
      </c>
      <c r="Z45" s="170">
        <f t="shared" si="21"/>
        <v>0</v>
      </c>
      <c r="AA45" s="169">
        <f t="shared" si="22"/>
        <v>-26</v>
      </c>
      <c r="AB45" s="630"/>
      <c r="AC45" s="171">
        <f t="shared" si="23"/>
        <v>0.42988718305984897</v>
      </c>
      <c r="AD45" s="183">
        <f t="shared" si="24"/>
        <v>0</v>
      </c>
      <c r="AE45" s="172">
        <f t="shared" si="25"/>
        <v>0</v>
      </c>
      <c r="AF45" s="173">
        <f t="shared" si="26"/>
        <v>0</v>
      </c>
      <c r="AG45" s="172">
        <f t="shared" si="27"/>
        <v>0</v>
      </c>
      <c r="AH45" s="623"/>
      <c r="AI45" s="42">
        <v>3.4393268323190802</v>
      </c>
      <c r="AJ45" s="299">
        <v>28</v>
      </c>
      <c r="AK45" s="298">
        <v>3.3247513399065198</v>
      </c>
      <c r="AL45" s="299">
        <v>29</v>
      </c>
      <c r="AM45" s="298">
        <v>3.5610113521699098</v>
      </c>
      <c r="AN45" s="299">
        <v>12</v>
      </c>
      <c r="AO45" s="298">
        <v>0</v>
      </c>
      <c r="AP45" s="299">
        <v>15</v>
      </c>
      <c r="AQ45" s="111"/>
      <c r="AR45" s="170">
        <f t="shared" si="28"/>
        <v>0</v>
      </c>
      <c r="AS45" s="169">
        <f t="shared" si="29"/>
        <v>-16</v>
      </c>
      <c r="AT45" s="169">
        <f t="shared" si="30"/>
        <v>-13</v>
      </c>
      <c r="AU45" s="31"/>
      <c r="AV45" s="171">
        <f t="shared" si="31"/>
        <v>0</v>
      </c>
      <c r="AW45" s="171">
        <f t="shared" si="32"/>
        <v>0.12168451985082962</v>
      </c>
      <c r="AX45" s="172">
        <f t="shared" si="33"/>
        <v>0</v>
      </c>
      <c r="AY45" s="31"/>
      <c r="AZ45" s="31"/>
      <c r="BA45" s="31"/>
      <c r="BB45" s="31"/>
    </row>
    <row r="46" spans="1:54" ht="18.600000000000001" thickBot="1" x14ac:dyDescent="0.4">
      <c r="A46" s="365" t="s">
        <v>124</v>
      </c>
      <c r="B46" s="169">
        <f>RANK(C46,C$7:C$71,0)</f>
        <v>2</v>
      </c>
      <c r="C46" s="172">
        <f t="shared" si="17"/>
        <v>5</v>
      </c>
      <c r="D46" s="76">
        <v>3</v>
      </c>
      <c r="E46" s="74">
        <v>2</v>
      </c>
      <c r="F46" s="858"/>
      <c r="G46" s="667" t="s">
        <v>471</v>
      </c>
      <c r="H46" s="627"/>
      <c r="I46" s="172">
        <v>4.0447952712566702</v>
      </c>
      <c r="J46" s="41">
        <v>11</v>
      </c>
      <c r="K46" s="438">
        <v>3.78504220939833</v>
      </c>
      <c r="L46" s="41">
        <v>25</v>
      </c>
      <c r="M46" s="438">
        <v>3.40262701722098</v>
      </c>
      <c r="N46" s="41">
        <v>6</v>
      </c>
      <c r="O46" s="173">
        <v>0</v>
      </c>
      <c r="P46" s="41">
        <v>20</v>
      </c>
      <c r="Q46" s="623"/>
      <c r="R46" s="171">
        <v>0</v>
      </c>
      <c r="S46" s="41">
        <v>24</v>
      </c>
      <c r="T46" s="173">
        <v>4.1253525234053301</v>
      </c>
      <c r="U46" s="41">
        <v>48</v>
      </c>
      <c r="V46" s="111"/>
      <c r="W46" s="170">
        <f t="shared" si="18"/>
        <v>0</v>
      </c>
      <c r="X46" s="174">
        <f t="shared" si="19"/>
        <v>-5</v>
      </c>
      <c r="Y46" s="664">
        <f t="shared" si="20"/>
        <v>0</v>
      </c>
      <c r="Z46" s="170">
        <f t="shared" si="21"/>
        <v>0</v>
      </c>
      <c r="AA46" s="169">
        <f t="shared" si="22"/>
        <v>0</v>
      </c>
      <c r="AB46" s="630"/>
      <c r="AC46" s="171">
        <f t="shared" si="23"/>
        <v>0</v>
      </c>
      <c r="AD46" s="183">
        <f t="shared" si="24"/>
        <v>0</v>
      </c>
      <c r="AE46" s="172">
        <f t="shared" si="25"/>
        <v>0</v>
      </c>
      <c r="AF46" s="173">
        <f t="shared" si="26"/>
        <v>0</v>
      </c>
      <c r="AG46" s="172">
        <f t="shared" si="27"/>
        <v>8.0557252148659941E-2</v>
      </c>
      <c r="AH46" s="623"/>
      <c r="AI46" s="42">
        <v>4.3662328149163496</v>
      </c>
      <c r="AJ46" s="299">
        <v>20</v>
      </c>
      <c r="AK46" s="298">
        <v>4.3269887097952902</v>
      </c>
      <c r="AL46" s="299">
        <v>23</v>
      </c>
      <c r="AM46" s="298">
        <v>4.2123015189282897</v>
      </c>
      <c r="AN46" s="299">
        <v>8</v>
      </c>
      <c r="AO46" s="298">
        <v>3.6497317615804601</v>
      </c>
      <c r="AP46" s="299">
        <v>7</v>
      </c>
      <c r="AQ46" s="111"/>
      <c r="AR46" s="170">
        <f t="shared" si="28"/>
        <v>0</v>
      </c>
      <c r="AS46" s="169">
        <f t="shared" si="29"/>
        <v>-12</v>
      </c>
      <c r="AT46" s="169">
        <f t="shared" si="30"/>
        <v>-13</v>
      </c>
      <c r="AU46" s="31"/>
      <c r="AV46" s="171">
        <f t="shared" si="31"/>
        <v>0</v>
      </c>
      <c r="AW46" s="171">
        <f t="shared" si="32"/>
        <v>0</v>
      </c>
      <c r="AX46" s="172">
        <f t="shared" si="33"/>
        <v>0</v>
      </c>
      <c r="AY46" s="31"/>
      <c r="AZ46" s="31"/>
      <c r="BA46" s="31"/>
      <c r="BB46" s="31"/>
    </row>
    <row r="47" spans="1:54" ht="18.600000000000001" thickBot="1" x14ac:dyDescent="0.4">
      <c r="A47" s="365" t="s">
        <v>125</v>
      </c>
      <c r="B47" s="169">
        <f>RANK(C47,C$7:C$71,0)</f>
        <v>17</v>
      </c>
      <c r="C47" s="172">
        <f t="shared" si="17"/>
        <v>1</v>
      </c>
      <c r="D47" s="76">
        <v>1</v>
      </c>
      <c r="E47" s="74"/>
      <c r="F47" s="858"/>
      <c r="G47" s="667"/>
      <c r="H47" s="627"/>
      <c r="I47" s="172">
        <v>3.7463881015550902</v>
      </c>
      <c r="J47" s="41">
        <v>52</v>
      </c>
      <c r="K47" s="438">
        <v>2.7344209636730201</v>
      </c>
      <c r="L47" s="41">
        <v>51</v>
      </c>
      <c r="M47" s="438">
        <v>3.2926349837242599</v>
      </c>
      <c r="N47" s="41">
        <v>25</v>
      </c>
      <c r="O47" s="173">
        <v>2.66648879887927</v>
      </c>
      <c r="P47" s="169">
        <v>21</v>
      </c>
      <c r="Q47" s="623"/>
      <c r="R47" s="171">
        <v>2.5839711724007799</v>
      </c>
      <c r="S47" s="41">
        <v>56</v>
      </c>
      <c r="T47" s="173">
        <v>3.36905903579368</v>
      </c>
      <c r="U47" s="41">
        <v>3</v>
      </c>
      <c r="V47" s="111"/>
      <c r="W47" s="170">
        <f t="shared" si="18"/>
        <v>-1</v>
      </c>
      <c r="X47" s="174">
        <f t="shared" si="19"/>
        <v>-27</v>
      </c>
      <c r="Y47" s="664">
        <f t="shared" si="20"/>
        <v>-31</v>
      </c>
      <c r="Z47" s="170">
        <f t="shared" si="21"/>
        <v>0</v>
      </c>
      <c r="AA47" s="169">
        <f t="shared" si="22"/>
        <v>-49</v>
      </c>
      <c r="AB47" s="630"/>
      <c r="AC47" s="171">
        <f t="shared" si="23"/>
        <v>0</v>
      </c>
      <c r="AD47" s="183">
        <f t="shared" si="24"/>
        <v>0</v>
      </c>
      <c r="AE47" s="172">
        <f t="shared" si="25"/>
        <v>0</v>
      </c>
      <c r="AF47" s="173">
        <f t="shared" si="26"/>
        <v>0</v>
      </c>
      <c r="AG47" s="172">
        <f t="shared" si="27"/>
        <v>0</v>
      </c>
      <c r="AH47" s="623"/>
      <c r="AI47" s="42">
        <v>0</v>
      </c>
      <c r="AJ47" s="299">
        <v>44</v>
      </c>
      <c r="AK47" s="298">
        <v>0</v>
      </c>
      <c r="AL47" s="299">
        <v>38</v>
      </c>
      <c r="AM47" s="298">
        <v>0</v>
      </c>
      <c r="AN47" s="299">
        <v>28</v>
      </c>
      <c r="AO47" s="298">
        <v>0</v>
      </c>
      <c r="AP47" s="299">
        <v>15</v>
      </c>
      <c r="AQ47" s="111"/>
      <c r="AR47" s="170">
        <f t="shared" si="28"/>
        <v>-6</v>
      </c>
      <c r="AS47" s="169">
        <f t="shared" si="29"/>
        <v>-16</v>
      </c>
      <c r="AT47" s="169">
        <f t="shared" si="30"/>
        <v>-29</v>
      </c>
      <c r="AU47" s="31"/>
      <c r="AV47" s="171">
        <f t="shared" si="31"/>
        <v>0</v>
      </c>
      <c r="AW47" s="171">
        <f t="shared" si="32"/>
        <v>0</v>
      </c>
      <c r="AX47" s="172">
        <f t="shared" si="33"/>
        <v>0</v>
      </c>
      <c r="AY47" s="31"/>
      <c r="AZ47" s="31"/>
      <c r="BA47" s="31"/>
      <c r="BB47" s="31"/>
    </row>
    <row r="48" spans="1:54" ht="18.600000000000001" thickBot="1" x14ac:dyDescent="0.4">
      <c r="A48" s="365" t="s">
        <v>447</v>
      </c>
      <c r="B48" s="169">
        <f>RANK(C48,C$7:C$71,0)</f>
        <v>34</v>
      </c>
      <c r="C48" s="172">
        <f t="shared" si="17"/>
        <v>0</v>
      </c>
      <c r="D48" s="76"/>
      <c r="E48" s="74"/>
      <c r="F48" s="858"/>
      <c r="G48" s="667"/>
      <c r="H48" s="627"/>
      <c r="I48" s="172"/>
      <c r="J48" s="41"/>
      <c r="K48" s="438"/>
      <c r="L48" s="41"/>
      <c r="M48" s="438"/>
      <c r="N48" s="41"/>
      <c r="O48" s="173"/>
      <c r="P48" s="169"/>
      <c r="Q48" s="623"/>
      <c r="R48" s="171"/>
      <c r="S48" s="41"/>
      <c r="T48" s="173"/>
      <c r="U48" s="41"/>
      <c r="V48" s="111"/>
      <c r="W48" s="170"/>
      <c r="X48" s="174"/>
      <c r="Y48" s="664"/>
      <c r="Z48" s="170"/>
      <c r="AA48" s="169"/>
      <c r="AB48" s="630"/>
      <c r="AC48" s="171"/>
      <c r="AD48" s="183"/>
      <c r="AE48" s="172"/>
      <c r="AF48" s="173"/>
      <c r="AG48" s="172"/>
      <c r="AH48" s="623"/>
      <c r="AI48" s="42"/>
      <c r="AJ48" s="299"/>
      <c r="AK48" s="298"/>
      <c r="AL48" s="299"/>
      <c r="AM48" s="298"/>
      <c r="AN48" s="299"/>
      <c r="AO48" s="298"/>
      <c r="AP48" s="299"/>
      <c r="AQ48" s="111"/>
      <c r="AR48" s="170"/>
      <c r="AS48" s="169"/>
      <c r="AT48" s="169"/>
      <c r="AU48" s="31"/>
      <c r="AV48" s="171"/>
      <c r="AW48" s="171"/>
      <c r="AX48" s="172"/>
      <c r="AY48" s="31"/>
      <c r="AZ48" s="31"/>
      <c r="BA48" s="31"/>
      <c r="BB48" s="31"/>
    </row>
    <row r="49" spans="1:54" ht="18.600000000000001" thickBot="1" x14ac:dyDescent="0.4">
      <c r="A49" s="365" t="s">
        <v>460</v>
      </c>
      <c r="B49" s="169">
        <f>RANK(C49,C$7:C$71,0)</f>
        <v>34</v>
      </c>
      <c r="C49" s="172">
        <f t="shared" si="17"/>
        <v>0</v>
      </c>
      <c r="D49" s="76"/>
      <c r="E49" s="74"/>
      <c r="F49" s="858"/>
      <c r="G49" s="669"/>
      <c r="H49" s="627"/>
      <c r="I49" s="172">
        <v>6.3492164527464201</v>
      </c>
      <c r="J49" s="41">
        <v>2</v>
      </c>
      <c r="K49" s="438">
        <v>3.5058634275101399</v>
      </c>
      <c r="L49" s="41">
        <v>39</v>
      </c>
      <c r="M49" s="438">
        <v>6.0602981694564999</v>
      </c>
      <c r="N49" s="41">
        <v>22</v>
      </c>
      <c r="O49" s="173">
        <v>2.1869742816032001</v>
      </c>
      <c r="P49" s="169">
        <v>22</v>
      </c>
      <c r="Q49" s="623"/>
      <c r="R49" s="171">
        <v>6.3463969443769104</v>
      </c>
      <c r="S49" s="41">
        <v>15</v>
      </c>
      <c r="T49" s="173">
        <v>1.57248051509869</v>
      </c>
      <c r="U49" s="41">
        <v>1</v>
      </c>
      <c r="V49" s="111"/>
      <c r="W49" s="170">
        <f t="shared" si="18"/>
        <v>0</v>
      </c>
      <c r="X49" s="174">
        <f t="shared" si="19"/>
        <v>0</v>
      </c>
      <c r="Y49" s="664">
        <f t="shared" si="20"/>
        <v>0</v>
      </c>
      <c r="Z49" s="170">
        <f t="shared" si="21"/>
        <v>0</v>
      </c>
      <c r="AA49" s="169">
        <f t="shared" si="22"/>
        <v>-1</v>
      </c>
      <c r="AB49" s="630"/>
      <c r="AC49" s="171">
        <f t="shared" si="23"/>
        <v>0</v>
      </c>
      <c r="AD49" s="183">
        <f t="shared" si="24"/>
        <v>0</v>
      </c>
      <c r="AE49" s="172">
        <f t="shared" si="25"/>
        <v>0</v>
      </c>
      <c r="AF49" s="173">
        <f t="shared" si="26"/>
        <v>0</v>
      </c>
      <c r="AG49" s="172">
        <f t="shared" si="27"/>
        <v>0</v>
      </c>
      <c r="AH49" s="623"/>
      <c r="AI49" s="42">
        <v>1.5066921456690601</v>
      </c>
      <c r="AJ49" s="299">
        <v>41</v>
      </c>
      <c r="AK49" s="298">
        <v>0</v>
      </c>
      <c r="AL49" s="299">
        <v>44</v>
      </c>
      <c r="AM49" s="298">
        <v>1.7446832712034701</v>
      </c>
      <c r="AN49" s="299">
        <v>21</v>
      </c>
      <c r="AO49" s="298">
        <v>0</v>
      </c>
      <c r="AP49" s="299">
        <v>44</v>
      </c>
      <c r="AQ49" s="111"/>
      <c r="AR49" s="170">
        <f t="shared" si="28"/>
        <v>0</v>
      </c>
      <c r="AS49" s="169">
        <f t="shared" si="29"/>
        <v>-20</v>
      </c>
      <c r="AT49" s="169">
        <f t="shared" si="30"/>
        <v>0</v>
      </c>
      <c r="AU49" s="31"/>
      <c r="AV49" s="171">
        <f t="shared" si="31"/>
        <v>0</v>
      </c>
      <c r="AW49" s="171">
        <f t="shared" si="32"/>
        <v>0.23799112553441004</v>
      </c>
      <c r="AX49" s="172">
        <f t="shared" si="33"/>
        <v>0</v>
      </c>
      <c r="AY49" s="31"/>
      <c r="AZ49" s="31"/>
      <c r="BA49" s="31"/>
      <c r="BB49" s="31"/>
    </row>
    <row r="50" spans="1:54" ht="18.600000000000001" thickBot="1" x14ac:dyDescent="0.4">
      <c r="A50" s="365" t="s">
        <v>461</v>
      </c>
      <c r="B50" s="169">
        <f>RANK(C50,C$7:C$71,0)</f>
        <v>17</v>
      </c>
      <c r="C50" s="172">
        <f t="shared" si="17"/>
        <v>1</v>
      </c>
      <c r="D50" s="76">
        <v>1</v>
      </c>
      <c r="E50" s="74"/>
      <c r="F50" s="858"/>
      <c r="G50" s="667"/>
      <c r="H50" s="627"/>
      <c r="I50" s="172">
        <v>2.4698884927300901</v>
      </c>
      <c r="J50" s="41">
        <v>46</v>
      </c>
      <c r="K50" s="438">
        <v>2.3170643678256102</v>
      </c>
      <c r="L50" s="41">
        <v>4</v>
      </c>
      <c r="M50" s="438">
        <v>1.8717857048664901</v>
      </c>
      <c r="N50" s="41">
        <v>23</v>
      </c>
      <c r="O50" s="173">
        <v>0</v>
      </c>
      <c r="P50" s="41">
        <v>23</v>
      </c>
      <c r="Q50" s="623"/>
      <c r="R50" s="171">
        <v>2.1205158617702899</v>
      </c>
      <c r="S50" s="41">
        <v>7</v>
      </c>
      <c r="T50" s="173">
        <v>2.1360187592212099</v>
      </c>
      <c r="U50" s="41">
        <v>36</v>
      </c>
      <c r="V50" s="111"/>
      <c r="W50" s="170">
        <f t="shared" si="18"/>
        <v>-42</v>
      </c>
      <c r="X50" s="174">
        <f t="shared" si="19"/>
        <v>-23</v>
      </c>
      <c r="Y50" s="664">
        <f t="shared" si="20"/>
        <v>-23</v>
      </c>
      <c r="Z50" s="170">
        <f t="shared" si="21"/>
        <v>-39</v>
      </c>
      <c r="AA50" s="169">
        <f t="shared" si="22"/>
        <v>-10</v>
      </c>
      <c r="AB50" s="630"/>
      <c r="AC50" s="171">
        <f t="shared" si="23"/>
        <v>0</v>
      </c>
      <c r="AD50" s="183">
        <f t="shared" si="24"/>
        <v>0</v>
      </c>
      <c r="AE50" s="172">
        <f t="shared" si="25"/>
        <v>0</v>
      </c>
      <c r="AF50" s="173">
        <f t="shared" si="26"/>
        <v>0</v>
      </c>
      <c r="AG50" s="172">
        <f t="shared" si="27"/>
        <v>0</v>
      </c>
      <c r="AH50" s="623"/>
      <c r="AI50" s="42">
        <v>0</v>
      </c>
      <c r="AJ50" s="299">
        <v>44</v>
      </c>
      <c r="AK50" s="298">
        <v>0</v>
      </c>
      <c r="AL50" s="299">
        <v>44</v>
      </c>
      <c r="AM50" s="298">
        <v>0</v>
      </c>
      <c r="AN50" s="299">
        <v>44</v>
      </c>
      <c r="AO50" s="298">
        <v>0</v>
      </c>
      <c r="AP50" s="299">
        <v>44</v>
      </c>
      <c r="AQ50" s="111"/>
      <c r="AR50" s="170">
        <f t="shared" si="28"/>
        <v>0</v>
      </c>
      <c r="AS50" s="169">
        <f t="shared" si="29"/>
        <v>0</v>
      </c>
      <c r="AT50" s="169">
        <f t="shared" si="30"/>
        <v>0</v>
      </c>
      <c r="AU50" s="31"/>
      <c r="AV50" s="171">
        <f t="shared" si="31"/>
        <v>0</v>
      </c>
      <c r="AW50" s="171">
        <f t="shared" si="32"/>
        <v>0</v>
      </c>
      <c r="AX50" s="172">
        <f t="shared" si="33"/>
        <v>0</v>
      </c>
      <c r="AY50" s="31"/>
      <c r="AZ50" s="31"/>
      <c r="BA50" s="31"/>
      <c r="BB50" s="31"/>
    </row>
    <row r="51" spans="1:54" ht="18.600000000000001" thickBot="1" x14ac:dyDescent="0.4">
      <c r="A51" s="365" t="s">
        <v>448</v>
      </c>
      <c r="B51" s="169">
        <f t="shared" ref="B51:B52" si="34">RANK(C51,C$7:C$71,0)</f>
        <v>34</v>
      </c>
      <c r="C51" s="172">
        <f t="shared" si="17"/>
        <v>0</v>
      </c>
      <c r="D51" s="76"/>
      <c r="E51" s="74"/>
      <c r="F51" s="858"/>
      <c r="G51" s="667"/>
      <c r="H51" s="627"/>
      <c r="I51" s="172"/>
      <c r="J51" s="41"/>
      <c r="K51" s="438"/>
      <c r="L51" s="41"/>
      <c r="M51" s="438"/>
      <c r="N51" s="41"/>
      <c r="O51" s="173"/>
      <c r="P51" s="174"/>
      <c r="Q51" s="623"/>
      <c r="R51" s="171"/>
      <c r="S51" s="41"/>
      <c r="T51" s="173"/>
      <c r="U51" s="41"/>
      <c r="V51" s="111"/>
      <c r="W51" s="170"/>
      <c r="X51" s="174"/>
      <c r="Y51" s="664"/>
      <c r="Z51" s="170"/>
      <c r="AA51" s="169"/>
      <c r="AB51" s="630"/>
      <c r="AC51" s="171"/>
      <c r="AD51" s="183"/>
      <c r="AE51" s="172"/>
      <c r="AF51" s="173"/>
      <c r="AG51" s="172"/>
      <c r="AH51" s="623"/>
      <c r="AI51" s="42"/>
      <c r="AJ51" s="299"/>
      <c r="AK51" s="298"/>
      <c r="AL51" s="299"/>
      <c r="AM51" s="298"/>
      <c r="AN51" s="299"/>
      <c r="AO51" s="298"/>
      <c r="AP51" s="299"/>
      <c r="AQ51" s="111"/>
      <c r="AR51" s="170"/>
      <c r="AS51" s="169"/>
      <c r="AT51" s="169"/>
      <c r="AU51" s="31"/>
      <c r="AV51" s="171"/>
      <c r="AW51" s="171"/>
      <c r="AX51" s="172"/>
      <c r="AY51" s="31"/>
      <c r="AZ51" s="31"/>
      <c r="BA51" s="31"/>
      <c r="BB51" s="31"/>
    </row>
    <row r="52" spans="1:54" ht="18.600000000000001" thickBot="1" x14ac:dyDescent="0.4">
      <c r="A52" s="365" t="s">
        <v>464</v>
      </c>
      <c r="B52" s="169">
        <f t="shared" si="34"/>
        <v>34</v>
      </c>
      <c r="C52" s="172">
        <f t="shared" si="17"/>
        <v>0</v>
      </c>
      <c r="D52" s="76"/>
      <c r="E52" s="74"/>
      <c r="F52" s="858"/>
      <c r="G52" s="667"/>
      <c r="H52" s="627"/>
      <c r="I52" s="172"/>
      <c r="J52" s="41"/>
      <c r="K52" s="438"/>
      <c r="L52" s="41"/>
      <c r="M52" s="438"/>
      <c r="N52" s="41"/>
      <c r="O52" s="173"/>
      <c r="P52" s="174"/>
      <c r="Q52" s="623"/>
      <c r="R52" s="171"/>
      <c r="S52" s="41"/>
      <c r="T52" s="173"/>
      <c r="U52" s="41"/>
      <c r="V52" s="111"/>
      <c r="W52" s="170"/>
      <c r="X52" s="174"/>
      <c r="Y52" s="664"/>
      <c r="Z52" s="170"/>
      <c r="AA52" s="169"/>
      <c r="AB52" s="630"/>
      <c r="AC52" s="171"/>
      <c r="AD52" s="183"/>
      <c r="AE52" s="172"/>
      <c r="AF52" s="173"/>
      <c r="AG52" s="172"/>
      <c r="AH52" s="623"/>
      <c r="AI52" s="42"/>
      <c r="AJ52" s="299"/>
      <c r="AK52" s="298"/>
      <c r="AL52" s="299"/>
      <c r="AM52" s="298"/>
      <c r="AN52" s="299"/>
      <c r="AO52" s="298"/>
      <c r="AP52" s="299"/>
      <c r="AQ52" s="111"/>
      <c r="AR52" s="170"/>
      <c r="AS52" s="169"/>
      <c r="AT52" s="169"/>
      <c r="AU52" s="31"/>
      <c r="AV52" s="171"/>
      <c r="AW52" s="171"/>
      <c r="AX52" s="172"/>
      <c r="AY52" s="31"/>
      <c r="AZ52" s="31"/>
      <c r="BA52" s="31"/>
      <c r="BB52" s="31"/>
    </row>
    <row r="53" spans="1:54" ht="18.600000000000001" thickBot="1" x14ac:dyDescent="0.4">
      <c r="A53" s="365" t="s">
        <v>421</v>
      </c>
      <c r="B53" s="169">
        <f>RANK(C53,C$7:C$71,0)</f>
        <v>3</v>
      </c>
      <c r="C53" s="172">
        <f t="shared" si="17"/>
        <v>3</v>
      </c>
      <c r="D53" s="76">
        <v>2</v>
      </c>
      <c r="E53" s="74">
        <v>1</v>
      </c>
      <c r="F53" s="858"/>
      <c r="G53" s="667" t="s">
        <v>466</v>
      </c>
      <c r="H53" s="627"/>
      <c r="I53" s="172">
        <v>3.7484480092545298</v>
      </c>
      <c r="J53" s="41">
        <v>28</v>
      </c>
      <c r="K53" s="438">
        <v>2.30590533429192</v>
      </c>
      <c r="L53" s="41">
        <v>52</v>
      </c>
      <c r="M53" s="438">
        <v>3.4474798794033901</v>
      </c>
      <c r="N53" s="41">
        <v>41</v>
      </c>
      <c r="O53" s="173">
        <v>3.33475533289996</v>
      </c>
      <c r="P53" s="169">
        <v>24</v>
      </c>
      <c r="Q53" s="623"/>
      <c r="R53" s="171">
        <v>3.1137550191849499</v>
      </c>
      <c r="S53" s="41">
        <v>9</v>
      </c>
      <c r="T53" s="173">
        <v>3.7596605062849102</v>
      </c>
      <c r="U53" s="41">
        <v>4</v>
      </c>
      <c r="V53" s="111"/>
      <c r="W53" s="170">
        <f t="shared" si="18"/>
        <v>0</v>
      </c>
      <c r="X53" s="174">
        <f t="shared" si="19"/>
        <v>0</v>
      </c>
      <c r="Y53" s="664">
        <f t="shared" si="20"/>
        <v>-4</v>
      </c>
      <c r="Z53" s="170">
        <f t="shared" si="21"/>
        <v>-19</v>
      </c>
      <c r="AA53" s="169">
        <f t="shared" si="22"/>
        <v>-24</v>
      </c>
      <c r="AB53" s="630"/>
      <c r="AC53" s="171">
        <f t="shared" si="23"/>
        <v>0</v>
      </c>
      <c r="AD53" s="183">
        <f t="shared" si="24"/>
        <v>0</v>
      </c>
      <c r="AE53" s="172">
        <f t="shared" si="25"/>
        <v>0</v>
      </c>
      <c r="AF53" s="173">
        <f t="shared" si="26"/>
        <v>0</v>
      </c>
      <c r="AG53" s="172">
        <f t="shared" si="27"/>
        <v>1.1212497030380408E-2</v>
      </c>
      <c r="AH53" s="623"/>
      <c r="AI53" s="42">
        <v>2.4591344959510302</v>
      </c>
      <c r="AJ53" s="299">
        <v>35</v>
      </c>
      <c r="AK53" s="298">
        <v>2.73072449864434</v>
      </c>
      <c r="AL53" s="299">
        <v>34</v>
      </c>
      <c r="AM53" s="298">
        <v>0</v>
      </c>
      <c r="AN53" s="299">
        <v>44</v>
      </c>
      <c r="AO53" s="298">
        <v>0</v>
      </c>
      <c r="AP53" s="299">
        <v>44</v>
      </c>
      <c r="AQ53" s="111"/>
      <c r="AR53" s="170">
        <f t="shared" si="28"/>
        <v>-1</v>
      </c>
      <c r="AS53" s="169">
        <f t="shared" si="29"/>
        <v>0</v>
      </c>
      <c r="AT53" s="169">
        <f t="shared" si="30"/>
        <v>0</v>
      </c>
      <c r="AU53" s="31"/>
      <c r="AV53" s="171">
        <f t="shared" si="31"/>
        <v>0.2715900026933098</v>
      </c>
      <c r="AW53" s="171">
        <f t="shared" si="32"/>
        <v>0</v>
      </c>
      <c r="AX53" s="172">
        <f t="shared" si="33"/>
        <v>0</v>
      </c>
      <c r="AY53" s="31"/>
      <c r="AZ53" s="31"/>
      <c r="BA53" s="31"/>
      <c r="BB53" s="31"/>
    </row>
    <row r="54" spans="1:54" ht="18.600000000000001" thickBot="1" x14ac:dyDescent="0.4">
      <c r="A54" s="365" t="s">
        <v>100</v>
      </c>
      <c r="B54" s="169">
        <f>RANK(C54,C$7:C$71,0)</f>
        <v>3</v>
      </c>
      <c r="C54" s="172">
        <f t="shared" si="17"/>
        <v>3</v>
      </c>
      <c r="D54" s="76">
        <v>1</v>
      </c>
      <c r="E54" s="74">
        <v>2</v>
      </c>
      <c r="F54" s="858"/>
      <c r="G54" s="667" t="s">
        <v>472</v>
      </c>
      <c r="H54" s="627"/>
      <c r="I54" s="172">
        <v>10</v>
      </c>
      <c r="J54" s="41">
        <v>51</v>
      </c>
      <c r="K54" s="438">
        <v>11.152580947453099</v>
      </c>
      <c r="L54" s="41">
        <v>28</v>
      </c>
      <c r="M54" s="438">
        <v>8.8481770903463097</v>
      </c>
      <c r="N54" s="41">
        <v>3</v>
      </c>
      <c r="O54" s="173">
        <v>10</v>
      </c>
      <c r="P54" s="169">
        <v>26</v>
      </c>
      <c r="Q54" s="623"/>
      <c r="R54" s="171">
        <v>7.4995744765803298</v>
      </c>
      <c r="S54" s="41">
        <v>10</v>
      </c>
      <c r="T54" s="173">
        <v>13.151953381285599</v>
      </c>
      <c r="U54" s="41">
        <v>41</v>
      </c>
      <c r="V54" s="111"/>
      <c r="W54" s="170">
        <f t="shared" si="18"/>
        <v>-23</v>
      </c>
      <c r="X54" s="174">
        <f t="shared" si="19"/>
        <v>-48</v>
      </c>
      <c r="Y54" s="664">
        <f t="shared" si="20"/>
        <v>-25</v>
      </c>
      <c r="Z54" s="170">
        <f t="shared" si="21"/>
        <v>-41</v>
      </c>
      <c r="AA54" s="169">
        <f t="shared" si="22"/>
        <v>-10</v>
      </c>
      <c r="AB54" s="630"/>
      <c r="AC54" s="171">
        <f t="shared" si="23"/>
        <v>1.1525809474530995</v>
      </c>
      <c r="AD54" s="183">
        <f t="shared" si="24"/>
        <v>0</v>
      </c>
      <c r="AE54" s="172">
        <f t="shared" si="25"/>
        <v>0</v>
      </c>
      <c r="AF54" s="173">
        <f t="shared" si="26"/>
        <v>0</v>
      </c>
      <c r="AG54" s="172">
        <f t="shared" si="27"/>
        <v>3.1519533812855993</v>
      </c>
      <c r="AH54" s="623"/>
      <c r="AI54" s="42">
        <v>1.5066921456690601</v>
      </c>
      <c r="AJ54" s="299">
        <v>41</v>
      </c>
      <c r="AK54" s="298">
        <v>0</v>
      </c>
      <c r="AL54" s="299">
        <v>44</v>
      </c>
      <c r="AM54" s="298">
        <v>1.7446832712034701</v>
      </c>
      <c r="AN54" s="299">
        <v>21</v>
      </c>
      <c r="AO54" s="298">
        <v>0</v>
      </c>
      <c r="AP54" s="299">
        <v>44</v>
      </c>
      <c r="AQ54" s="111"/>
      <c r="AR54" s="170">
        <f t="shared" si="28"/>
        <v>0</v>
      </c>
      <c r="AS54" s="169">
        <f t="shared" si="29"/>
        <v>-20</v>
      </c>
      <c r="AT54" s="169">
        <f t="shared" si="30"/>
        <v>0</v>
      </c>
      <c r="AU54" s="31"/>
      <c r="AV54" s="171">
        <f t="shared" si="31"/>
        <v>0</v>
      </c>
      <c r="AW54" s="171">
        <f t="shared" si="32"/>
        <v>0.23799112553441004</v>
      </c>
      <c r="AX54" s="172">
        <f t="shared" si="33"/>
        <v>0</v>
      </c>
      <c r="AY54" s="31"/>
      <c r="AZ54" s="31"/>
      <c r="BA54" s="31"/>
      <c r="BB54" s="31"/>
    </row>
    <row r="55" spans="1:54" ht="18.600000000000001" thickBot="1" x14ac:dyDescent="0.4">
      <c r="A55" s="365" t="s">
        <v>15</v>
      </c>
      <c r="B55" s="169">
        <f>RANK(C55,C$7:C$71,0)</f>
        <v>34</v>
      </c>
      <c r="C55" s="172">
        <f t="shared" si="17"/>
        <v>0</v>
      </c>
      <c r="D55" s="76"/>
      <c r="E55" s="74"/>
      <c r="F55" s="858"/>
      <c r="G55" s="667"/>
      <c r="H55" s="627"/>
      <c r="I55" s="172">
        <v>3.6949157100907</v>
      </c>
      <c r="J55" s="41">
        <v>32</v>
      </c>
      <c r="K55" s="438">
        <v>3.3569326712805201</v>
      </c>
      <c r="L55" s="41">
        <v>48</v>
      </c>
      <c r="M55" s="438">
        <v>3.2412603611034698</v>
      </c>
      <c r="N55" s="41">
        <v>36</v>
      </c>
      <c r="O55" s="173">
        <v>0</v>
      </c>
      <c r="P55" s="41">
        <v>27</v>
      </c>
      <c r="Q55" s="623"/>
      <c r="R55" s="171">
        <v>3.68122755232972</v>
      </c>
      <c r="S55" s="41">
        <v>11</v>
      </c>
      <c r="T55" s="173">
        <v>1.8717857048664901</v>
      </c>
      <c r="U55" s="41">
        <v>20</v>
      </c>
      <c r="V55" s="111"/>
      <c r="W55" s="170">
        <f t="shared" si="18"/>
        <v>0</v>
      </c>
      <c r="X55" s="174">
        <f t="shared" si="19"/>
        <v>0</v>
      </c>
      <c r="Y55" s="664">
        <f t="shared" si="20"/>
        <v>-5</v>
      </c>
      <c r="Z55" s="170">
        <f t="shared" si="21"/>
        <v>-21</v>
      </c>
      <c r="AA55" s="169">
        <f t="shared" si="22"/>
        <v>-12</v>
      </c>
      <c r="AB55" s="630"/>
      <c r="AC55" s="171">
        <f t="shared" si="23"/>
        <v>0</v>
      </c>
      <c r="AD55" s="183">
        <f t="shared" si="24"/>
        <v>0</v>
      </c>
      <c r="AE55" s="172">
        <f t="shared" si="25"/>
        <v>0</v>
      </c>
      <c r="AF55" s="173">
        <f t="shared" si="26"/>
        <v>0</v>
      </c>
      <c r="AG55" s="172">
        <f t="shared" si="27"/>
        <v>0</v>
      </c>
      <c r="AH55" s="623"/>
      <c r="AI55" s="42">
        <v>0</v>
      </c>
      <c r="AJ55" s="299">
        <v>44</v>
      </c>
      <c r="AK55" s="298">
        <v>0</v>
      </c>
      <c r="AL55" s="299">
        <v>44</v>
      </c>
      <c r="AM55" s="298">
        <v>0</v>
      </c>
      <c r="AN55" s="299">
        <v>44</v>
      </c>
      <c r="AO55" s="298">
        <v>0</v>
      </c>
      <c r="AP55" s="299">
        <v>44</v>
      </c>
      <c r="AQ55" s="111"/>
      <c r="AR55" s="170">
        <f t="shared" si="28"/>
        <v>0</v>
      </c>
      <c r="AS55" s="169">
        <f t="shared" si="29"/>
        <v>0</v>
      </c>
      <c r="AT55" s="169">
        <f t="shared" si="30"/>
        <v>0</v>
      </c>
      <c r="AU55" s="31"/>
      <c r="AV55" s="171">
        <f t="shared" si="31"/>
        <v>0</v>
      </c>
      <c r="AW55" s="171">
        <f t="shared" si="32"/>
        <v>0</v>
      </c>
      <c r="AX55" s="172">
        <f t="shared" si="33"/>
        <v>0</v>
      </c>
      <c r="AY55" s="31"/>
      <c r="AZ55" s="31"/>
      <c r="BA55" s="31"/>
      <c r="BB55" s="31"/>
    </row>
    <row r="56" spans="1:54" ht="18.600000000000001" thickBot="1" x14ac:dyDescent="0.4">
      <c r="A56" s="365" t="s">
        <v>176</v>
      </c>
      <c r="B56" s="169">
        <f>RANK(C56,C$7:C$71,0)</f>
        <v>17</v>
      </c>
      <c r="C56" s="172">
        <f t="shared" si="17"/>
        <v>1</v>
      </c>
      <c r="D56" s="76">
        <v>1</v>
      </c>
      <c r="E56" s="74"/>
      <c r="F56" s="858"/>
      <c r="G56" s="667"/>
      <c r="H56" s="627"/>
      <c r="I56" s="172">
        <v>2.5061447170814</v>
      </c>
      <c r="J56" s="41">
        <v>49</v>
      </c>
      <c r="K56" s="438">
        <v>0</v>
      </c>
      <c r="L56" s="41">
        <v>41</v>
      </c>
      <c r="M56" s="438">
        <v>2.4348470125270398</v>
      </c>
      <c r="N56" s="41">
        <v>56</v>
      </c>
      <c r="O56" s="173">
        <v>1.6377338936901</v>
      </c>
      <c r="P56" s="169">
        <v>28</v>
      </c>
      <c r="Q56" s="623"/>
      <c r="R56" s="171">
        <v>2.5061447170814</v>
      </c>
      <c r="S56" s="41">
        <v>14</v>
      </c>
      <c r="T56" s="173">
        <v>0</v>
      </c>
      <c r="U56" s="41">
        <v>33</v>
      </c>
      <c r="V56" s="111"/>
      <c r="W56" s="170">
        <f t="shared" si="18"/>
        <v>-8</v>
      </c>
      <c r="X56" s="174">
        <f t="shared" si="19"/>
        <v>0</v>
      </c>
      <c r="Y56" s="664">
        <f t="shared" si="20"/>
        <v>-21</v>
      </c>
      <c r="Z56" s="170">
        <f t="shared" si="21"/>
        <v>-35</v>
      </c>
      <c r="AA56" s="169">
        <f t="shared" si="22"/>
        <v>-16</v>
      </c>
      <c r="AB56" s="630"/>
      <c r="AC56" s="171">
        <f t="shared" si="23"/>
        <v>0</v>
      </c>
      <c r="AD56" s="183">
        <f t="shared" si="24"/>
        <v>0</v>
      </c>
      <c r="AE56" s="172">
        <f t="shared" si="25"/>
        <v>0</v>
      </c>
      <c r="AF56" s="173">
        <f t="shared" si="26"/>
        <v>0</v>
      </c>
      <c r="AG56" s="172">
        <f t="shared" si="27"/>
        <v>0</v>
      </c>
      <c r="AH56" s="623"/>
      <c r="AI56" s="42">
        <v>2.4591344959510302</v>
      </c>
      <c r="AJ56" s="299">
        <v>35</v>
      </c>
      <c r="AK56" s="298">
        <v>2.73072449864434</v>
      </c>
      <c r="AL56" s="299">
        <v>34</v>
      </c>
      <c r="AM56" s="298">
        <v>0</v>
      </c>
      <c r="AN56" s="299">
        <v>44</v>
      </c>
      <c r="AO56" s="298">
        <v>0</v>
      </c>
      <c r="AP56" s="299">
        <v>44</v>
      </c>
      <c r="AQ56" s="111"/>
      <c r="AR56" s="170">
        <f t="shared" si="28"/>
        <v>-1</v>
      </c>
      <c r="AS56" s="169">
        <f t="shared" si="29"/>
        <v>0</v>
      </c>
      <c r="AT56" s="169">
        <f t="shared" si="30"/>
        <v>0</v>
      </c>
      <c r="AU56" s="31"/>
      <c r="AV56" s="171">
        <f t="shared" si="31"/>
        <v>0.2715900026933098</v>
      </c>
      <c r="AW56" s="171">
        <f t="shared" si="32"/>
        <v>0</v>
      </c>
      <c r="AX56" s="172">
        <f t="shared" si="33"/>
        <v>0</v>
      </c>
      <c r="AY56" s="31"/>
      <c r="AZ56" s="31"/>
      <c r="BA56" s="31"/>
      <c r="BB56" s="31"/>
    </row>
    <row r="57" spans="1:54" ht="18.600000000000001" thickBot="1" x14ac:dyDescent="0.4">
      <c r="A57" s="365" t="s">
        <v>126</v>
      </c>
      <c r="B57" s="169">
        <f>RANK(C57,C$7:C$71,0)</f>
        <v>34</v>
      </c>
      <c r="C57" s="172">
        <f t="shared" si="17"/>
        <v>0</v>
      </c>
      <c r="D57" s="76"/>
      <c r="E57" s="74"/>
      <c r="F57" s="858"/>
      <c r="G57" s="669"/>
      <c r="H57" s="627"/>
      <c r="I57" s="172">
        <v>3.4295130196147898</v>
      </c>
      <c r="J57" s="41">
        <v>36</v>
      </c>
      <c r="K57" s="438">
        <v>0</v>
      </c>
      <c r="L57" s="41">
        <v>42</v>
      </c>
      <c r="M57" s="438">
        <v>3.1988748506097302</v>
      </c>
      <c r="N57" s="41">
        <v>9</v>
      </c>
      <c r="O57" s="173">
        <v>2.0181622164907198</v>
      </c>
      <c r="P57" s="169">
        <v>32</v>
      </c>
      <c r="Q57" s="623"/>
      <c r="R57" s="171">
        <v>3.2452968532537398</v>
      </c>
      <c r="S57" s="41">
        <v>20</v>
      </c>
      <c r="T57" s="173">
        <v>1.97023269056094</v>
      </c>
      <c r="U57" s="41">
        <v>46</v>
      </c>
      <c r="V57" s="111"/>
      <c r="W57" s="170">
        <f t="shared" si="18"/>
        <v>0</v>
      </c>
      <c r="X57" s="174">
        <f t="shared" si="19"/>
        <v>-27</v>
      </c>
      <c r="Y57" s="664">
        <f t="shared" si="20"/>
        <v>-4</v>
      </c>
      <c r="Z57" s="170">
        <f t="shared" si="21"/>
        <v>-16</v>
      </c>
      <c r="AA57" s="169">
        <f t="shared" si="22"/>
        <v>0</v>
      </c>
      <c r="AB57" s="630"/>
      <c r="AC57" s="171">
        <f t="shared" si="23"/>
        <v>0</v>
      </c>
      <c r="AD57" s="183">
        <f t="shared" si="24"/>
        <v>0</v>
      </c>
      <c r="AE57" s="172">
        <f t="shared" si="25"/>
        <v>0</v>
      </c>
      <c r="AF57" s="173">
        <f t="shared" si="26"/>
        <v>0</v>
      </c>
      <c r="AG57" s="172">
        <f t="shared" si="27"/>
        <v>0</v>
      </c>
      <c r="AH57" s="623"/>
      <c r="AI57" s="42">
        <v>0</v>
      </c>
      <c r="AJ57" s="299">
        <v>44</v>
      </c>
      <c r="AK57" s="298">
        <v>0</v>
      </c>
      <c r="AL57" s="299">
        <v>44</v>
      </c>
      <c r="AM57" s="298">
        <v>0</v>
      </c>
      <c r="AN57" s="299">
        <v>44</v>
      </c>
      <c r="AO57" s="298">
        <v>0</v>
      </c>
      <c r="AP57" s="299">
        <v>44</v>
      </c>
      <c r="AQ57" s="111"/>
      <c r="AR57" s="170">
        <f t="shared" si="28"/>
        <v>0</v>
      </c>
      <c r="AS57" s="169">
        <f t="shared" si="29"/>
        <v>0</v>
      </c>
      <c r="AT57" s="169">
        <f t="shared" si="30"/>
        <v>0</v>
      </c>
      <c r="AU57" s="31"/>
      <c r="AV57" s="171">
        <f t="shared" si="31"/>
        <v>0</v>
      </c>
      <c r="AW57" s="171">
        <f t="shared" si="32"/>
        <v>0</v>
      </c>
      <c r="AX57" s="172">
        <f t="shared" si="33"/>
        <v>0</v>
      </c>
      <c r="AY57" s="31"/>
      <c r="AZ57" s="31"/>
      <c r="BA57" s="31"/>
      <c r="BB57" s="31"/>
    </row>
    <row r="58" spans="1:54" ht="18.600000000000001" thickBot="1" x14ac:dyDescent="0.4">
      <c r="A58" s="365" t="s">
        <v>96</v>
      </c>
      <c r="B58" s="169">
        <f>RANK(C58,C$7:C$71,0)</f>
        <v>17</v>
      </c>
      <c r="C58" s="172">
        <f t="shared" si="17"/>
        <v>1</v>
      </c>
      <c r="D58" s="76"/>
      <c r="E58" s="74">
        <v>1</v>
      </c>
      <c r="F58" s="858"/>
      <c r="G58" s="669" t="s">
        <v>466</v>
      </c>
      <c r="H58" s="627"/>
      <c r="I58" s="172">
        <v>8.7412085466832998</v>
      </c>
      <c r="J58" s="41">
        <v>24</v>
      </c>
      <c r="K58" s="438">
        <v>8.2476830041455695</v>
      </c>
      <c r="L58" s="41">
        <v>36</v>
      </c>
      <c r="M58" s="438">
        <v>6.39640492462157</v>
      </c>
      <c r="N58" s="41">
        <v>24</v>
      </c>
      <c r="O58" s="173">
        <v>3.8841118407636501</v>
      </c>
      <c r="P58" s="169">
        <v>35</v>
      </c>
      <c r="Q58" s="623"/>
      <c r="R58" s="171">
        <v>7.0001586425483504</v>
      </c>
      <c r="S58" s="41">
        <v>22</v>
      </c>
      <c r="T58" s="173">
        <v>8.0498219956243098</v>
      </c>
      <c r="U58" s="41">
        <v>44</v>
      </c>
      <c r="V58" s="111"/>
      <c r="W58" s="170">
        <f t="shared" si="18"/>
        <v>0</v>
      </c>
      <c r="X58" s="174">
        <f t="shared" si="19"/>
        <v>0</v>
      </c>
      <c r="Y58" s="664">
        <f t="shared" si="20"/>
        <v>0</v>
      </c>
      <c r="Z58" s="170">
        <f t="shared" si="21"/>
        <v>-2</v>
      </c>
      <c r="AA58" s="169">
        <f t="shared" si="22"/>
        <v>0</v>
      </c>
      <c r="AB58" s="630"/>
      <c r="AC58" s="171">
        <f t="shared" si="23"/>
        <v>0</v>
      </c>
      <c r="AD58" s="183">
        <f t="shared" si="24"/>
        <v>0</v>
      </c>
      <c r="AE58" s="172">
        <f t="shared" si="25"/>
        <v>0</v>
      </c>
      <c r="AF58" s="173">
        <f t="shared" si="26"/>
        <v>0</v>
      </c>
      <c r="AG58" s="172">
        <f t="shared" si="27"/>
        <v>0</v>
      </c>
      <c r="AH58" s="623"/>
      <c r="AI58" s="42">
        <v>9.7465731314616093</v>
      </c>
      <c r="AJ58" s="299">
        <v>2</v>
      </c>
      <c r="AK58" s="298">
        <v>7.7729406452055398</v>
      </c>
      <c r="AL58" s="299">
        <v>5</v>
      </c>
      <c r="AM58" s="298">
        <v>10</v>
      </c>
      <c r="AN58" s="299">
        <v>1</v>
      </c>
      <c r="AO58" s="298">
        <v>10</v>
      </c>
      <c r="AP58" s="299">
        <v>1</v>
      </c>
      <c r="AQ58" s="111"/>
      <c r="AR58" s="170">
        <f t="shared" si="28"/>
        <v>0</v>
      </c>
      <c r="AS58" s="169">
        <f t="shared" si="29"/>
        <v>-1</v>
      </c>
      <c r="AT58" s="169">
        <f t="shared" si="30"/>
        <v>-1</v>
      </c>
      <c r="AU58" s="31"/>
      <c r="AV58" s="171">
        <f t="shared" si="31"/>
        <v>0</v>
      </c>
      <c r="AW58" s="171">
        <f t="shared" si="32"/>
        <v>0.25342686853839069</v>
      </c>
      <c r="AX58" s="172">
        <f t="shared" si="33"/>
        <v>0.25342686853839069</v>
      </c>
      <c r="AY58" s="31"/>
      <c r="AZ58" s="31"/>
      <c r="BA58" s="31"/>
      <c r="BB58" s="31"/>
    </row>
    <row r="59" spans="1:54" ht="18.600000000000001" thickBot="1" x14ac:dyDescent="0.4">
      <c r="A59" s="365" t="s">
        <v>450</v>
      </c>
      <c r="B59" s="169">
        <f>RANK(C59,C$7:C$71,0)</f>
        <v>34</v>
      </c>
      <c r="C59" s="172">
        <f t="shared" si="17"/>
        <v>0</v>
      </c>
      <c r="D59" s="76"/>
      <c r="E59" s="74"/>
      <c r="F59" s="858"/>
      <c r="G59" s="669"/>
      <c r="H59" s="627"/>
      <c r="I59" s="172"/>
      <c r="J59" s="41"/>
      <c r="K59" s="438"/>
      <c r="L59" s="41"/>
      <c r="M59" s="438"/>
      <c r="N59" s="41"/>
      <c r="O59" s="173"/>
      <c r="P59" s="174"/>
      <c r="Q59" s="623"/>
      <c r="R59" s="171"/>
      <c r="S59" s="41"/>
      <c r="T59" s="173"/>
      <c r="U59" s="41"/>
      <c r="V59" s="111"/>
      <c r="W59" s="170"/>
      <c r="X59" s="174"/>
      <c r="Y59" s="664"/>
      <c r="Z59" s="170"/>
      <c r="AA59" s="169"/>
      <c r="AB59" s="630"/>
      <c r="AC59" s="171"/>
      <c r="AD59" s="183"/>
      <c r="AE59" s="172"/>
      <c r="AF59" s="173"/>
      <c r="AG59" s="172"/>
      <c r="AH59" s="623"/>
      <c r="AI59" s="42"/>
      <c r="AJ59" s="299"/>
      <c r="AK59" s="298"/>
      <c r="AL59" s="299"/>
      <c r="AM59" s="298"/>
      <c r="AN59" s="299"/>
      <c r="AO59" s="298"/>
      <c r="AP59" s="299"/>
      <c r="AQ59" s="111"/>
      <c r="AR59" s="170"/>
      <c r="AS59" s="169"/>
      <c r="AT59" s="169"/>
      <c r="AU59" s="31"/>
      <c r="AV59" s="171"/>
      <c r="AW59" s="171"/>
      <c r="AX59" s="172"/>
      <c r="AY59" s="31"/>
      <c r="AZ59" s="31"/>
      <c r="BA59" s="31"/>
      <c r="BB59" s="31"/>
    </row>
    <row r="60" spans="1:54" ht="18.600000000000001" thickBot="1" x14ac:dyDescent="0.4">
      <c r="A60" s="365" t="s">
        <v>127</v>
      </c>
      <c r="B60" s="169">
        <f>RANK(C60,C$7:C$71,0)</f>
        <v>34</v>
      </c>
      <c r="C60" s="172">
        <f t="shared" si="17"/>
        <v>0</v>
      </c>
      <c r="D60" s="76"/>
      <c r="E60" s="74"/>
      <c r="F60" s="858"/>
      <c r="G60" s="669"/>
      <c r="H60" s="627"/>
      <c r="I60" s="172">
        <v>2.1880535056712</v>
      </c>
      <c r="J60" s="41">
        <v>21</v>
      </c>
      <c r="K60" s="438">
        <v>2.3743572669099802</v>
      </c>
      <c r="L60" s="41">
        <v>20</v>
      </c>
      <c r="M60" s="438">
        <v>0</v>
      </c>
      <c r="N60" s="41">
        <v>11</v>
      </c>
      <c r="O60" s="173">
        <v>0</v>
      </c>
      <c r="P60" s="41">
        <v>38</v>
      </c>
      <c r="Q60" s="623"/>
      <c r="R60" s="171">
        <v>0</v>
      </c>
      <c r="S60" s="41">
        <v>23</v>
      </c>
      <c r="T60" s="173">
        <v>2.3743572669099802</v>
      </c>
      <c r="U60" s="41">
        <v>50</v>
      </c>
      <c r="V60" s="111"/>
      <c r="W60" s="170">
        <f t="shared" si="18"/>
        <v>-1</v>
      </c>
      <c r="X60" s="174">
        <f t="shared" si="19"/>
        <v>-10</v>
      </c>
      <c r="Y60" s="664">
        <f t="shared" si="20"/>
        <v>0</v>
      </c>
      <c r="Z60" s="170">
        <f t="shared" si="21"/>
        <v>0</v>
      </c>
      <c r="AA60" s="169">
        <f t="shared" si="22"/>
        <v>0</v>
      </c>
      <c r="AB60" s="630"/>
      <c r="AC60" s="171">
        <f t="shared" si="23"/>
        <v>0.18630376123878012</v>
      </c>
      <c r="AD60" s="183">
        <f t="shared" si="24"/>
        <v>0</v>
      </c>
      <c r="AE60" s="172">
        <f t="shared" si="25"/>
        <v>0</v>
      </c>
      <c r="AF60" s="173">
        <f t="shared" si="26"/>
        <v>0</v>
      </c>
      <c r="AG60" s="172">
        <f t="shared" si="27"/>
        <v>0.18630376123878012</v>
      </c>
      <c r="AH60" s="623"/>
      <c r="AI60" s="42">
        <v>0</v>
      </c>
      <c r="AJ60" s="299">
        <v>44</v>
      </c>
      <c r="AK60" s="298">
        <v>0</v>
      </c>
      <c r="AL60" s="299">
        <v>44</v>
      </c>
      <c r="AM60" s="298">
        <v>0</v>
      </c>
      <c r="AN60" s="299">
        <v>28</v>
      </c>
      <c r="AO60" s="298">
        <v>0</v>
      </c>
      <c r="AP60" s="299">
        <v>44</v>
      </c>
      <c r="AQ60" s="111"/>
      <c r="AR60" s="170">
        <f t="shared" si="28"/>
        <v>0</v>
      </c>
      <c r="AS60" s="169">
        <f t="shared" si="29"/>
        <v>-16</v>
      </c>
      <c r="AT60" s="169">
        <f t="shared" si="30"/>
        <v>0</v>
      </c>
      <c r="AU60" s="31"/>
      <c r="AV60" s="171">
        <f t="shared" si="31"/>
        <v>0</v>
      </c>
      <c r="AW60" s="171">
        <f t="shared" si="32"/>
        <v>0</v>
      </c>
      <c r="AX60" s="172">
        <f t="shared" si="33"/>
        <v>0</v>
      </c>
      <c r="AY60" s="31"/>
      <c r="AZ60" s="31"/>
      <c r="BA60" s="31"/>
      <c r="BB60" s="31"/>
    </row>
    <row r="61" spans="1:54" ht="18.600000000000001" thickBot="1" x14ac:dyDescent="0.4">
      <c r="A61" s="365" t="s">
        <v>178</v>
      </c>
      <c r="B61" s="169">
        <f>RANK(C61,C$7:C$71,0)</f>
        <v>34</v>
      </c>
      <c r="C61" s="172">
        <f t="shared" si="17"/>
        <v>0</v>
      </c>
      <c r="D61" s="76"/>
      <c r="E61" s="74"/>
      <c r="F61" s="858"/>
      <c r="G61" s="667"/>
      <c r="H61" s="627"/>
      <c r="I61" s="172">
        <v>2.9546617478096202</v>
      </c>
      <c r="J61" s="41">
        <v>45</v>
      </c>
      <c r="K61" s="438">
        <v>2.9737251297338401</v>
      </c>
      <c r="L61" s="41">
        <v>50</v>
      </c>
      <c r="M61" s="438">
        <v>2.74855654193503</v>
      </c>
      <c r="N61" s="41">
        <v>16</v>
      </c>
      <c r="O61" s="173">
        <v>2.87771777023461</v>
      </c>
      <c r="P61" s="169">
        <v>41</v>
      </c>
      <c r="Q61" s="623"/>
      <c r="R61" s="171">
        <v>2.9466144040914601</v>
      </c>
      <c r="S61" s="41">
        <v>26</v>
      </c>
      <c r="T61" s="173">
        <v>1.67827374074846</v>
      </c>
      <c r="U61" s="41">
        <v>49</v>
      </c>
      <c r="V61" s="111"/>
      <c r="W61" s="170">
        <f t="shared" si="18"/>
        <v>0</v>
      </c>
      <c r="X61" s="174">
        <f t="shared" si="19"/>
        <v>-29</v>
      </c>
      <c r="Y61" s="664">
        <f t="shared" si="20"/>
        <v>-4</v>
      </c>
      <c r="Z61" s="170">
        <f t="shared" si="21"/>
        <v>-19</v>
      </c>
      <c r="AA61" s="169">
        <f t="shared" si="22"/>
        <v>0</v>
      </c>
      <c r="AB61" s="630"/>
      <c r="AC61" s="171">
        <f t="shared" si="23"/>
        <v>1.9063381924219858E-2</v>
      </c>
      <c r="AD61" s="183">
        <f t="shared" si="24"/>
        <v>0</v>
      </c>
      <c r="AE61" s="172">
        <f t="shared" si="25"/>
        <v>0</v>
      </c>
      <c r="AF61" s="173">
        <f t="shared" si="26"/>
        <v>0</v>
      </c>
      <c r="AG61" s="172">
        <f t="shared" si="27"/>
        <v>0</v>
      </c>
      <c r="AH61" s="623"/>
      <c r="AI61" s="42">
        <v>7.5754008245066098</v>
      </c>
      <c r="AJ61" s="299">
        <v>4</v>
      </c>
      <c r="AK61" s="298">
        <v>8.2318785744136704</v>
      </c>
      <c r="AL61" s="299">
        <v>3</v>
      </c>
      <c r="AM61" s="298">
        <v>5.8591115838408996</v>
      </c>
      <c r="AN61" s="299">
        <v>4</v>
      </c>
      <c r="AO61" s="298">
        <v>3.8916473750556202</v>
      </c>
      <c r="AP61" s="299">
        <v>6</v>
      </c>
      <c r="AQ61" s="111"/>
      <c r="AR61" s="170">
        <f t="shared" si="28"/>
        <v>-1</v>
      </c>
      <c r="AS61" s="169">
        <f t="shared" si="29"/>
        <v>0</v>
      </c>
      <c r="AT61" s="169">
        <f t="shared" si="30"/>
        <v>0</v>
      </c>
      <c r="AU61" s="31"/>
      <c r="AV61" s="171">
        <f t="shared" si="31"/>
        <v>0.65647774990706065</v>
      </c>
      <c r="AW61" s="171">
        <f t="shared" si="32"/>
        <v>0</v>
      </c>
      <c r="AX61" s="172">
        <f t="shared" si="33"/>
        <v>0</v>
      </c>
      <c r="AY61" s="31"/>
      <c r="AZ61" s="31"/>
      <c r="BA61" s="31"/>
      <c r="BB61" s="31"/>
    </row>
    <row r="62" spans="1:54" ht="18.600000000000001" thickBot="1" x14ac:dyDescent="0.4">
      <c r="A62" s="365" t="s">
        <v>128</v>
      </c>
      <c r="B62" s="169">
        <f>RANK(C62,C$7:C$71,0)</f>
        <v>17</v>
      </c>
      <c r="C62" s="172">
        <f t="shared" si="17"/>
        <v>1</v>
      </c>
      <c r="D62" s="76">
        <v>1</v>
      </c>
      <c r="E62" s="74"/>
      <c r="F62" s="858"/>
      <c r="G62" s="669"/>
      <c r="H62" s="627"/>
      <c r="I62" s="172">
        <v>1.70479755759426</v>
      </c>
      <c r="J62" s="41">
        <v>41</v>
      </c>
      <c r="K62" s="438">
        <v>1.74004187346595</v>
      </c>
      <c r="L62" s="41">
        <v>26</v>
      </c>
      <c r="M62" s="438">
        <v>0</v>
      </c>
      <c r="N62" s="41">
        <v>20</v>
      </c>
      <c r="O62" s="173">
        <v>0</v>
      </c>
      <c r="P62" s="41">
        <v>44</v>
      </c>
      <c r="Q62" s="623"/>
      <c r="R62" s="171">
        <v>0</v>
      </c>
      <c r="S62" s="41">
        <v>27</v>
      </c>
      <c r="T62" s="173">
        <v>1.74004187346595</v>
      </c>
      <c r="U62" s="41">
        <v>51</v>
      </c>
      <c r="V62" s="111"/>
      <c r="W62" s="170">
        <f t="shared" si="18"/>
        <v>-15</v>
      </c>
      <c r="X62" s="174">
        <f t="shared" si="19"/>
        <v>-21</v>
      </c>
      <c r="Y62" s="664">
        <f t="shared" si="20"/>
        <v>0</v>
      </c>
      <c r="Z62" s="170">
        <f t="shared" si="21"/>
        <v>-14</v>
      </c>
      <c r="AA62" s="169">
        <f t="shared" si="22"/>
        <v>0</v>
      </c>
      <c r="AB62" s="630"/>
      <c r="AC62" s="171">
        <f t="shared" si="23"/>
        <v>3.5244315871689968E-2</v>
      </c>
      <c r="AD62" s="183">
        <f t="shared" si="24"/>
        <v>0</v>
      </c>
      <c r="AE62" s="172">
        <f t="shared" si="25"/>
        <v>0</v>
      </c>
      <c r="AF62" s="173">
        <f t="shared" si="26"/>
        <v>0</v>
      </c>
      <c r="AG62" s="172">
        <f t="shared" si="27"/>
        <v>3.5244315871689968E-2</v>
      </c>
      <c r="AH62" s="623"/>
      <c r="AI62" s="42">
        <v>6.9103984557911602</v>
      </c>
      <c r="AJ62" s="299">
        <v>6</v>
      </c>
      <c r="AK62" s="298">
        <v>7.6630857306711597</v>
      </c>
      <c r="AL62" s="299">
        <v>6</v>
      </c>
      <c r="AM62" s="298">
        <v>2.2317217888417402</v>
      </c>
      <c r="AN62" s="299">
        <v>18</v>
      </c>
      <c r="AO62" s="298">
        <v>3.5198368374046001</v>
      </c>
      <c r="AP62" s="299">
        <v>9</v>
      </c>
      <c r="AQ62" s="111"/>
      <c r="AR62" s="170">
        <f t="shared" si="28"/>
        <v>0</v>
      </c>
      <c r="AS62" s="169">
        <f t="shared" si="29"/>
        <v>0</v>
      </c>
      <c r="AT62" s="169">
        <f t="shared" si="30"/>
        <v>0</v>
      </c>
      <c r="AU62" s="31"/>
      <c r="AV62" s="171">
        <f t="shared" si="31"/>
        <v>0.75268727487999953</v>
      </c>
      <c r="AW62" s="171">
        <f t="shared" si="32"/>
        <v>0</v>
      </c>
      <c r="AX62" s="172">
        <f t="shared" si="33"/>
        <v>0</v>
      </c>
      <c r="AY62" s="31"/>
      <c r="AZ62" s="31"/>
      <c r="BA62" s="31"/>
      <c r="BB62" s="31"/>
    </row>
    <row r="63" spans="1:54" ht="18.600000000000001" thickBot="1" x14ac:dyDescent="0.4">
      <c r="A63" s="365" t="s">
        <v>18</v>
      </c>
      <c r="B63" s="169">
        <f>RANK(C63,C$7:C$71,0)</f>
        <v>34</v>
      </c>
      <c r="C63" s="172">
        <f t="shared" si="17"/>
        <v>0</v>
      </c>
      <c r="D63" s="76"/>
      <c r="E63" s="74"/>
      <c r="F63" s="858"/>
      <c r="G63" s="667"/>
      <c r="H63" s="627"/>
      <c r="I63" s="172">
        <v>3.14897701083413</v>
      </c>
      <c r="J63" s="41">
        <v>25</v>
      </c>
      <c r="K63" s="438">
        <v>2.8082045344317099</v>
      </c>
      <c r="L63" s="41">
        <v>56</v>
      </c>
      <c r="M63" s="438">
        <v>2.30590533429192</v>
      </c>
      <c r="N63" s="41">
        <v>26</v>
      </c>
      <c r="O63" s="173">
        <v>0</v>
      </c>
      <c r="P63" s="41">
        <v>48</v>
      </c>
      <c r="Q63" s="623"/>
      <c r="R63" s="171">
        <v>3.1249457124808799</v>
      </c>
      <c r="S63" s="41">
        <v>28</v>
      </c>
      <c r="T63" s="173">
        <v>1.6377338936901</v>
      </c>
      <c r="U63" s="41">
        <v>40</v>
      </c>
      <c r="V63" s="111"/>
      <c r="W63" s="170">
        <f t="shared" si="18"/>
        <v>0</v>
      </c>
      <c r="X63" s="174">
        <f t="shared" si="19"/>
        <v>0</v>
      </c>
      <c r="Y63" s="664">
        <f t="shared" si="20"/>
        <v>0</v>
      </c>
      <c r="Z63" s="170">
        <f t="shared" si="21"/>
        <v>0</v>
      </c>
      <c r="AA63" s="169">
        <f t="shared" si="22"/>
        <v>0</v>
      </c>
      <c r="AB63" s="630"/>
      <c r="AC63" s="171">
        <f t="shared" si="23"/>
        <v>0</v>
      </c>
      <c r="AD63" s="183">
        <f t="shared" si="24"/>
        <v>0</v>
      </c>
      <c r="AE63" s="172">
        <f t="shared" si="25"/>
        <v>0</v>
      </c>
      <c r="AF63" s="173">
        <f t="shared" si="26"/>
        <v>0</v>
      </c>
      <c r="AG63" s="172">
        <f t="shared" si="27"/>
        <v>0</v>
      </c>
      <c r="AH63" s="623"/>
      <c r="AI63" s="42">
        <v>6.1895336926856803</v>
      </c>
      <c r="AJ63" s="299">
        <v>10</v>
      </c>
      <c r="AK63" s="298">
        <v>6.8725609156987</v>
      </c>
      <c r="AL63" s="299">
        <v>8</v>
      </c>
      <c r="AM63" s="298">
        <v>1.7880349861071301</v>
      </c>
      <c r="AN63" s="299">
        <v>20</v>
      </c>
      <c r="AO63" s="298">
        <v>0</v>
      </c>
      <c r="AP63" s="299">
        <v>44</v>
      </c>
      <c r="AQ63" s="111"/>
      <c r="AR63" s="170">
        <f t="shared" si="28"/>
        <v>-2</v>
      </c>
      <c r="AS63" s="169">
        <f t="shared" si="29"/>
        <v>0</v>
      </c>
      <c r="AT63" s="169">
        <f t="shared" si="30"/>
        <v>0</v>
      </c>
      <c r="AU63" s="31"/>
      <c r="AV63" s="171">
        <f t="shared" si="31"/>
        <v>0.68302722301301966</v>
      </c>
      <c r="AW63" s="171">
        <f t="shared" si="32"/>
        <v>0</v>
      </c>
      <c r="AX63" s="172">
        <f t="shared" si="33"/>
        <v>0</v>
      </c>
      <c r="AY63" s="31"/>
      <c r="AZ63" s="31"/>
      <c r="BA63" s="31"/>
      <c r="BB63" s="31"/>
    </row>
    <row r="64" spans="1:54" ht="18.600000000000001" thickBot="1" x14ac:dyDescent="0.4">
      <c r="A64" s="365" t="s">
        <v>129</v>
      </c>
      <c r="B64" s="169">
        <f>RANK(C64,C$7:C$71,0)</f>
        <v>17</v>
      </c>
      <c r="C64" s="172">
        <f t="shared" si="17"/>
        <v>1</v>
      </c>
      <c r="D64" s="76">
        <v>1</v>
      </c>
      <c r="E64" s="74"/>
      <c r="F64" s="858"/>
      <c r="G64" s="669"/>
      <c r="H64" s="627"/>
      <c r="I64" s="172">
        <v>3.4856183898906998</v>
      </c>
      <c r="J64" s="41">
        <v>48</v>
      </c>
      <c r="K64" s="438">
        <v>2.5446702539451298</v>
      </c>
      <c r="L64" s="41">
        <v>16</v>
      </c>
      <c r="M64" s="438">
        <v>0</v>
      </c>
      <c r="N64" s="41">
        <v>28</v>
      </c>
      <c r="O64" s="173">
        <v>0</v>
      </c>
      <c r="P64" s="41">
        <v>50</v>
      </c>
      <c r="Q64" s="623"/>
      <c r="R64" s="171">
        <v>0</v>
      </c>
      <c r="S64" s="41">
        <v>32</v>
      </c>
      <c r="T64" s="173">
        <v>2.5446702539451298</v>
      </c>
      <c r="U64" s="41">
        <v>26</v>
      </c>
      <c r="V64" s="111"/>
      <c r="W64" s="170">
        <f t="shared" si="18"/>
        <v>-32</v>
      </c>
      <c r="X64" s="174">
        <f t="shared" si="19"/>
        <v>-20</v>
      </c>
      <c r="Y64" s="664">
        <f t="shared" si="20"/>
        <v>0</v>
      </c>
      <c r="Z64" s="170">
        <f t="shared" si="21"/>
        <v>-16</v>
      </c>
      <c r="AA64" s="169">
        <f t="shared" si="22"/>
        <v>-22</v>
      </c>
      <c r="AB64" s="630"/>
      <c r="AC64" s="171">
        <f t="shared" si="23"/>
        <v>0</v>
      </c>
      <c r="AD64" s="183">
        <f t="shared" si="24"/>
        <v>0</v>
      </c>
      <c r="AE64" s="172">
        <f t="shared" si="25"/>
        <v>0</v>
      </c>
      <c r="AF64" s="173">
        <f t="shared" si="26"/>
        <v>0</v>
      </c>
      <c r="AG64" s="172">
        <f t="shared" si="27"/>
        <v>0</v>
      </c>
      <c r="AH64" s="623"/>
      <c r="AI64" s="42">
        <v>5.5655533943911699</v>
      </c>
      <c r="AJ64" s="299">
        <v>11</v>
      </c>
      <c r="AK64" s="298">
        <v>5.5502470557640704</v>
      </c>
      <c r="AL64" s="299">
        <v>14</v>
      </c>
      <c r="AM64" s="298">
        <v>5.3987341568236697</v>
      </c>
      <c r="AN64" s="299">
        <v>6</v>
      </c>
      <c r="AO64" s="298">
        <v>4.3811094101388104</v>
      </c>
      <c r="AP64" s="299">
        <v>5</v>
      </c>
      <c r="AQ64" s="111"/>
      <c r="AR64" s="170">
        <f t="shared" si="28"/>
        <v>0</v>
      </c>
      <c r="AS64" s="169">
        <f t="shared" si="29"/>
        <v>-5</v>
      </c>
      <c r="AT64" s="169">
        <f t="shared" si="30"/>
        <v>-6</v>
      </c>
      <c r="AU64" s="31"/>
      <c r="AV64" s="171">
        <f t="shared" si="31"/>
        <v>0</v>
      </c>
      <c r="AW64" s="171">
        <f t="shared" si="32"/>
        <v>0</v>
      </c>
      <c r="AX64" s="172">
        <f t="shared" si="33"/>
        <v>0</v>
      </c>
      <c r="AY64" s="31"/>
      <c r="AZ64" s="31"/>
      <c r="BA64" s="31"/>
      <c r="BB64" s="31"/>
    </row>
    <row r="65" spans="1:54" ht="18.600000000000001" thickBot="1" x14ac:dyDescent="0.4">
      <c r="A65" s="365" t="s">
        <v>451</v>
      </c>
      <c r="B65" s="169">
        <f>RANK(C65,C$7:C$71,0)</f>
        <v>34</v>
      </c>
      <c r="C65" s="172">
        <f t="shared" si="17"/>
        <v>0</v>
      </c>
      <c r="D65" s="76"/>
      <c r="E65" s="74"/>
      <c r="F65" s="858"/>
      <c r="G65" s="667"/>
      <c r="H65" s="627"/>
      <c r="I65" s="172"/>
      <c r="J65" s="41"/>
      <c r="K65" s="438"/>
      <c r="L65" s="41"/>
      <c r="M65" s="438"/>
      <c r="N65" s="41"/>
      <c r="O65" s="173"/>
      <c r="P65" s="41"/>
      <c r="Q65" s="623"/>
      <c r="R65" s="171"/>
      <c r="S65" s="41"/>
      <c r="T65" s="173"/>
      <c r="U65" s="41"/>
      <c r="V65" s="111"/>
      <c r="W65" s="170"/>
      <c r="X65" s="174"/>
      <c r="Y65" s="664"/>
      <c r="Z65" s="170"/>
      <c r="AA65" s="169"/>
      <c r="AB65" s="630"/>
      <c r="AC65" s="171"/>
      <c r="AD65" s="183"/>
      <c r="AE65" s="172"/>
      <c r="AF65" s="173"/>
      <c r="AG65" s="172"/>
      <c r="AH65" s="623"/>
      <c r="AI65" s="42"/>
      <c r="AJ65" s="299"/>
      <c r="AK65" s="298"/>
      <c r="AL65" s="299"/>
      <c r="AM65" s="298"/>
      <c r="AN65" s="299"/>
      <c r="AO65" s="298"/>
      <c r="AP65" s="299"/>
      <c r="AQ65" s="111"/>
      <c r="AR65" s="170"/>
      <c r="AS65" s="169"/>
      <c r="AT65" s="169"/>
      <c r="AU65" s="31"/>
      <c r="AV65" s="171"/>
      <c r="AW65" s="171"/>
      <c r="AX65" s="172"/>
      <c r="AY65" s="31"/>
      <c r="AZ65" s="31"/>
      <c r="BA65" s="31"/>
      <c r="BB65" s="31"/>
    </row>
    <row r="66" spans="1:54" ht="18.600000000000001" thickBot="1" x14ac:dyDescent="0.4">
      <c r="A66" s="365" t="s">
        <v>291</v>
      </c>
      <c r="B66" s="169">
        <f>RANK(C66,C$7:C$71,0)</f>
        <v>17</v>
      </c>
      <c r="C66" s="172">
        <f t="shared" si="17"/>
        <v>1</v>
      </c>
      <c r="D66" s="76">
        <v>1</v>
      </c>
      <c r="E66" s="74"/>
      <c r="F66" s="858"/>
      <c r="G66" s="667"/>
      <c r="H66" s="627"/>
      <c r="I66" s="172">
        <v>4.0877592580285</v>
      </c>
      <c r="J66" s="41">
        <v>20</v>
      </c>
      <c r="K66" s="438">
        <v>4.0049622399254696</v>
      </c>
      <c r="L66" s="41">
        <v>34</v>
      </c>
      <c r="M66" s="438">
        <v>0</v>
      </c>
      <c r="N66" s="41">
        <v>32</v>
      </c>
      <c r="O66" s="173">
        <v>0</v>
      </c>
      <c r="P66" s="41">
        <v>51</v>
      </c>
      <c r="Q66" s="623"/>
      <c r="R66" s="171">
        <v>0</v>
      </c>
      <c r="S66" s="41">
        <v>38</v>
      </c>
      <c r="T66" s="173">
        <v>4.0049622399254696</v>
      </c>
      <c r="U66" s="41">
        <v>56</v>
      </c>
      <c r="V66" s="111"/>
      <c r="W66" s="170">
        <f t="shared" si="18"/>
        <v>0</v>
      </c>
      <c r="X66" s="174">
        <f t="shared" si="19"/>
        <v>0</v>
      </c>
      <c r="Y66" s="664">
        <f t="shared" si="20"/>
        <v>0</v>
      </c>
      <c r="Z66" s="170">
        <f t="shared" si="21"/>
        <v>0</v>
      </c>
      <c r="AA66" s="169">
        <f t="shared" si="22"/>
        <v>0</v>
      </c>
      <c r="AB66" s="630"/>
      <c r="AC66" s="171">
        <f t="shared" si="23"/>
        <v>0</v>
      </c>
      <c r="AD66" s="183">
        <f t="shared" si="24"/>
        <v>0</v>
      </c>
      <c r="AE66" s="172">
        <f t="shared" si="25"/>
        <v>0</v>
      </c>
      <c r="AF66" s="173">
        <f t="shared" si="26"/>
        <v>0</v>
      </c>
      <c r="AG66" s="172">
        <f t="shared" si="27"/>
        <v>0</v>
      </c>
      <c r="AH66" s="623"/>
      <c r="AI66" s="42">
        <v>6.76174369568953</v>
      </c>
      <c r="AJ66" s="299">
        <v>7</v>
      </c>
      <c r="AK66" s="298">
        <v>7.5085194379465898</v>
      </c>
      <c r="AL66" s="299">
        <v>7</v>
      </c>
      <c r="AM66" s="298">
        <v>0</v>
      </c>
      <c r="AN66" s="299">
        <v>44</v>
      </c>
      <c r="AO66" s="298">
        <v>0</v>
      </c>
      <c r="AP66" s="299">
        <v>44</v>
      </c>
      <c r="AQ66" s="111"/>
      <c r="AR66" s="170">
        <f t="shared" si="28"/>
        <v>0</v>
      </c>
      <c r="AS66" s="169">
        <f t="shared" si="29"/>
        <v>0</v>
      </c>
      <c r="AT66" s="169">
        <f t="shared" si="30"/>
        <v>0</v>
      </c>
      <c r="AU66" s="31"/>
      <c r="AV66" s="171">
        <f t="shared" si="31"/>
        <v>0.74677574225705978</v>
      </c>
      <c r="AW66" s="171">
        <f t="shared" si="32"/>
        <v>0</v>
      </c>
      <c r="AX66" s="172">
        <f t="shared" si="33"/>
        <v>0</v>
      </c>
      <c r="AY66" s="31"/>
      <c r="AZ66" s="31"/>
      <c r="BA66" s="31"/>
      <c r="BB66" s="31"/>
    </row>
    <row r="67" spans="1:54" ht="18.600000000000001" thickBot="1" x14ac:dyDescent="0.4">
      <c r="A67" s="365" t="s">
        <v>335</v>
      </c>
      <c r="B67" s="169">
        <f>RANK(C67,C$7:C$71,0)</f>
        <v>3</v>
      </c>
      <c r="C67" s="172">
        <f t="shared" si="17"/>
        <v>3</v>
      </c>
      <c r="D67" s="76">
        <v>2</v>
      </c>
      <c r="E67" s="74">
        <v>1</v>
      </c>
      <c r="F67" s="858"/>
      <c r="G67" s="667" t="s">
        <v>78</v>
      </c>
      <c r="H67" s="627"/>
      <c r="I67" s="172">
        <v>5.0025711054602002</v>
      </c>
      <c r="J67" s="41">
        <v>16</v>
      </c>
      <c r="K67" s="438">
        <v>5.3862817061941399</v>
      </c>
      <c r="L67" s="41">
        <v>21</v>
      </c>
      <c r="M67" s="438">
        <v>2.8390166872490901</v>
      </c>
      <c r="N67" s="41">
        <v>48</v>
      </c>
      <c r="O67" s="173">
        <v>0</v>
      </c>
      <c r="P67" s="41">
        <v>52</v>
      </c>
      <c r="Q67" s="623"/>
      <c r="R67" s="171">
        <v>1.6377338936901</v>
      </c>
      <c r="S67" s="41">
        <v>48</v>
      </c>
      <c r="T67" s="173">
        <v>5.4265418268494203</v>
      </c>
      <c r="U67" s="41">
        <v>34</v>
      </c>
      <c r="V67" s="111"/>
      <c r="W67" s="170">
        <f t="shared" si="18"/>
        <v>0</v>
      </c>
      <c r="X67" s="174">
        <f t="shared" si="19"/>
        <v>0</v>
      </c>
      <c r="Y67" s="664">
        <f t="shared" si="20"/>
        <v>0</v>
      </c>
      <c r="Z67" s="170">
        <f t="shared" si="21"/>
        <v>0</v>
      </c>
      <c r="AA67" s="169">
        <f t="shared" si="22"/>
        <v>0</v>
      </c>
      <c r="AB67" s="630"/>
      <c r="AC67" s="171">
        <f t="shared" si="23"/>
        <v>0.3837106007339397</v>
      </c>
      <c r="AD67" s="183">
        <f t="shared" si="24"/>
        <v>0</v>
      </c>
      <c r="AE67" s="172">
        <f t="shared" si="25"/>
        <v>0</v>
      </c>
      <c r="AF67" s="173">
        <f t="shared" si="26"/>
        <v>0</v>
      </c>
      <c r="AG67" s="172">
        <f t="shared" si="27"/>
        <v>0.4239707213892201</v>
      </c>
      <c r="AH67" s="623"/>
      <c r="AI67" s="42">
        <v>6.6650644551654796</v>
      </c>
      <c r="AJ67" s="299">
        <v>9</v>
      </c>
      <c r="AK67" s="298">
        <v>6.5980320216171098</v>
      </c>
      <c r="AL67" s="299">
        <v>9</v>
      </c>
      <c r="AM67" s="298">
        <v>6.55660079217619</v>
      </c>
      <c r="AN67" s="299">
        <v>3</v>
      </c>
      <c r="AO67" s="298">
        <v>5.1387470727017304</v>
      </c>
      <c r="AP67" s="299">
        <v>4</v>
      </c>
      <c r="AQ67" s="111"/>
      <c r="AR67" s="170">
        <f t="shared" si="28"/>
        <v>0</v>
      </c>
      <c r="AS67" s="169">
        <f t="shared" si="29"/>
        <v>-6</v>
      </c>
      <c r="AT67" s="169">
        <f t="shared" si="30"/>
        <v>-5</v>
      </c>
      <c r="AU67" s="31"/>
      <c r="AV67" s="171">
        <f t="shared" si="31"/>
        <v>0</v>
      </c>
      <c r="AW67" s="171">
        <f t="shared" si="32"/>
        <v>0</v>
      </c>
      <c r="AX67" s="172">
        <f t="shared" si="33"/>
        <v>0</v>
      </c>
      <c r="AY67" s="31"/>
      <c r="AZ67" s="31"/>
      <c r="BA67" s="31"/>
      <c r="BB67" s="31"/>
    </row>
    <row r="68" spans="1:54" ht="18.600000000000001" thickBot="1" x14ac:dyDescent="0.4">
      <c r="A68" s="365" t="s">
        <v>111</v>
      </c>
      <c r="B68" s="169">
        <f>RANK(C68,C$7:C$71,0)</f>
        <v>17</v>
      </c>
      <c r="C68" s="172">
        <f t="shared" si="17"/>
        <v>1</v>
      </c>
      <c r="D68" s="76"/>
      <c r="E68" s="74">
        <v>1</v>
      </c>
      <c r="F68" s="858"/>
      <c r="G68" s="670" t="s">
        <v>466</v>
      </c>
      <c r="H68" s="627"/>
      <c r="I68" s="172">
        <v>7.2756927704275904</v>
      </c>
      <c r="J68" s="41">
        <v>50</v>
      </c>
      <c r="K68" s="438">
        <v>5.1273354927908796</v>
      </c>
      <c r="L68" s="41">
        <v>33</v>
      </c>
      <c r="M68" s="438">
        <v>7.0785320182644504</v>
      </c>
      <c r="N68" s="41">
        <v>50</v>
      </c>
      <c r="O68" s="173">
        <v>6.7693892201707797</v>
      </c>
      <c r="P68" s="169">
        <v>53</v>
      </c>
      <c r="Q68" s="623"/>
      <c r="R68" s="171">
        <v>7.27226109392568</v>
      </c>
      <c r="S68" s="41">
        <v>50</v>
      </c>
      <c r="T68" s="173">
        <v>3.41777446907503</v>
      </c>
      <c r="U68" s="41">
        <v>16</v>
      </c>
      <c r="V68" s="111"/>
      <c r="W68" s="170">
        <f t="shared" si="18"/>
        <v>-17</v>
      </c>
      <c r="X68" s="174">
        <f t="shared" si="19"/>
        <v>0</v>
      </c>
      <c r="Y68" s="664">
        <f t="shared" si="20"/>
        <v>0</v>
      </c>
      <c r="Z68" s="170">
        <f t="shared" si="21"/>
        <v>0</v>
      </c>
      <c r="AA68" s="169">
        <f t="shared" si="22"/>
        <v>-34</v>
      </c>
      <c r="AB68" s="630"/>
      <c r="AC68" s="171">
        <f t="shared" si="23"/>
        <v>0</v>
      </c>
      <c r="AD68" s="183">
        <f t="shared" si="24"/>
        <v>0</v>
      </c>
      <c r="AE68" s="172">
        <f t="shared" si="25"/>
        <v>0</v>
      </c>
      <c r="AF68" s="173">
        <f t="shared" si="26"/>
        <v>0</v>
      </c>
      <c r="AG68" s="172">
        <f t="shared" si="27"/>
        <v>0</v>
      </c>
      <c r="AH68" s="623"/>
      <c r="AI68" s="42">
        <v>3.6094088780762501</v>
      </c>
      <c r="AJ68" s="299">
        <v>27</v>
      </c>
      <c r="AK68" s="298">
        <v>4.0080366751861698</v>
      </c>
      <c r="AL68" s="299">
        <v>27</v>
      </c>
      <c r="AM68" s="298">
        <v>0</v>
      </c>
      <c r="AN68" s="299">
        <v>44</v>
      </c>
      <c r="AO68" s="298">
        <v>0</v>
      </c>
      <c r="AP68" s="299">
        <v>44</v>
      </c>
      <c r="AQ68" s="111"/>
      <c r="AR68" s="170">
        <f t="shared" si="28"/>
        <v>0</v>
      </c>
      <c r="AS68" s="169">
        <f t="shared" si="29"/>
        <v>0</v>
      </c>
      <c r="AT68" s="169">
        <f t="shared" si="30"/>
        <v>0</v>
      </c>
      <c r="AU68" s="31"/>
      <c r="AV68" s="171">
        <f t="shared" si="31"/>
        <v>0.39862779710991969</v>
      </c>
      <c r="AW68" s="171">
        <f t="shared" si="32"/>
        <v>0</v>
      </c>
      <c r="AX68" s="172">
        <f t="shared" si="33"/>
        <v>0</v>
      </c>
      <c r="AY68" s="31"/>
      <c r="AZ68" s="31"/>
      <c r="BA68" s="31"/>
      <c r="BB68" s="31"/>
    </row>
    <row r="69" spans="1:54" ht="18.600000000000001" thickBot="1" x14ac:dyDescent="0.4">
      <c r="A69" s="1158" t="s">
        <v>179</v>
      </c>
      <c r="B69" s="169">
        <f>RANK(C69,C$7:C$71,0)</f>
        <v>1</v>
      </c>
      <c r="C69" s="172">
        <f t="shared" si="17"/>
        <v>10</v>
      </c>
      <c r="D69" s="76">
        <v>10</v>
      </c>
      <c r="E69" s="74"/>
      <c r="F69" s="858"/>
      <c r="G69" s="669"/>
      <c r="H69" s="627"/>
      <c r="I69" s="172">
        <v>1.70479755759426</v>
      </c>
      <c r="J69" s="41">
        <v>56</v>
      </c>
      <c r="K69" s="438">
        <v>1.5359401753796</v>
      </c>
      <c r="L69" s="41">
        <v>45</v>
      </c>
      <c r="M69" s="438">
        <v>1.50482991215744</v>
      </c>
      <c r="N69" s="41">
        <v>52</v>
      </c>
      <c r="O69" s="173">
        <v>0</v>
      </c>
      <c r="P69" s="41">
        <v>54</v>
      </c>
      <c r="Q69" s="623"/>
      <c r="R69" s="171">
        <v>1.50482991215744</v>
      </c>
      <c r="S69" s="41">
        <v>52</v>
      </c>
      <c r="T69" s="173">
        <v>1.5359401753796</v>
      </c>
      <c r="U69" s="41">
        <v>21</v>
      </c>
      <c r="V69" s="111"/>
      <c r="W69" s="170">
        <f t="shared" si="18"/>
        <v>-11</v>
      </c>
      <c r="X69" s="174">
        <f t="shared" si="19"/>
        <v>-4</v>
      </c>
      <c r="Y69" s="664">
        <f t="shared" si="20"/>
        <v>-2</v>
      </c>
      <c r="Z69" s="170">
        <f t="shared" si="21"/>
        <v>-4</v>
      </c>
      <c r="AA69" s="169">
        <f t="shared" si="22"/>
        <v>-35</v>
      </c>
      <c r="AB69" s="630"/>
      <c r="AC69" s="171">
        <f t="shared" si="23"/>
        <v>0</v>
      </c>
      <c r="AD69" s="183">
        <f t="shared" si="24"/>
        <v>0</v>
      </c>
      <c r="AE69" s="172">
        <f t="shared" si="25"/>
        <v>0</v>
      </c>
      <c r="AF69" s="173">
        <f t="shared" si="26"/>
        <v>0</v>
      </c>
      <c r="AG69" s="172">
        <f t="shared" si="27"/>
        <v>0</v>
      </c>
      <c r="AH69" s="623"/>
      <c r="AI69" s="42">
        <v>4.4411624389622704</v>
      </c>
      <c r="AJ69" s="299">
        <v>18</v>
      </c>
      <c r="AK69" s="298">
        <v>4.7727087744457997</v>
      </c>
      <c r="AL69" s="299">
        <v>18</v>
      </c>
      <c r="AM69" s="298">
        <v>3.3685424689205101</v>
      </c>
      <c r="AN69" s="299">
        <v>13</v>
      </c>
      <c r="AO69" s="298">
        <v>3.4556050768783799</v>
      </c>
      <c r="AP69" s="299">
        <v>11</v>
      </c>
      <c r="AQ69" s="111"/>
      <c r="AR69" s="170">
        <f t="shared" si="28"/>
        <v>0</v>
      </c>
      <c r="AS69" s="169">
        <f t="shared" si="29"/>
        <v>-5</v>
      </c>
      <c r="AT69" s="169">
        <f t="shared" si="30"/>
        <v>-7</v>
      </c>
      <c r="AU69" s="31"/>
      <c r="AV69" s="171">
        <f t="shared" si="31"/>
        <v>0.3315463354835293</v>
      </c>
      <c r="AW69" s="171">
        <f t="shared" si="32"/>
        <v>0</v>
      </c>
      <c r="AX69" s="172">
        <f t="shared" si="33"/>
        <v>0</v>
      </c>
      <c r="AY69" s="31"/>
      <c r="AZ69" s="31"/>
      <c r="BA69" s="31"/>
      <c r="BB69" s="31"/>
    </row>
    <row r="70" spans="1:54" ht="18.600000000000001" thickBot="1" x14ac:dyDescent="0.4">
      <c r="A70" s="1288" t="s">
        <v>454</v>
      </c>
      <c r="B70" s="169">
        <f>RANK(C70,C$7:C$71,0)</f>
        <v>34</v>
      </c>
      <c r="C70" s="172">
        <f t="shared" si="17"/>
        <v>0</v>
      </c>
      <c r="D70" s="1284"/>
      <c r="E70" s="1285"/>
      <c r="F70" s="1286"/>
      <c r="G70" s="1287"/>
      <c r="H70" s="627"/>
      <c r="I70" s="172"/>
      <c r="J70" s="41"/>
      <c r="K70" s="436"/>
      <c r="L70" s="176"/>
      <c r="M70" s="436"/>
      <c r="N70" s="176"/>
      <c r="O70" s="180"/>
      <c r="P70" s="181"/>
      <c r="Q70" s="623"/>
      <c r="R70" s="178"/>
      <c r="S70" s="176"/>
      <c r="T70" s="180"/>
      <c r="U70" s="176"/>
      <c r="V70" s="111"/>
      <c r="W70" s="177"/>
      <c r="X70" s="181"/>
      <c r="Y70" s="665"/>
      <c r="Z70" s="177"/>
      <c r="AA70" s="175"/>
      <c r="AB70" s="630"/>
      <c r="AC70" s="178"/>
      <c r="AD70" s="184"/>
      <c r="AE70" s="179"/>
      <c r="AF70" s="180"/>
      <c r="AG70" s="179"/>
      <c r="AH70" s="623"/>
      <c r="AI70" s="742"/>
      <c r="AJ70" s="299"/>
      <c r="AK70" s="743"/>
      <c r="AL70" s="299"/>
      <c r="AM70" s="743"/>
      <c r="AN70" s="299"/>
      <c r="AO70" s="743"/>
      <c r="AP70" s="299"/>
      <c r="AQ70" s="111"/>
      <c r="AR70" s="177"/>
      <c r="AS70" s="175"/>
      <c r="AT70" s="175"/>
      <c r="AU70" s="31"/>
      <c r="AV70" s="178"/>
      <c r="AW70" s="178"/>
      <c r="AX70" s="179"/>
      <c r="AY70" s="31"/>
      <c r="AZ70" s="31"/>
      <c r="BA70" s="31"/>
      <c r="BB70" s="31"/>
    </row>
    <row r="71" spans="1:54" ht="18.600000000000001" thickBot="1" x14ac:dyDescent="0.4">
      <c r="A71" s="366" t="s">
        <v>180</v>
      </c>
      <c r="B71" s="342">
        <f>RANK(C71,C$7:C$71,0)</f>
        <v>17</v>
      </c>
      <c r="C71" s="564">
        <f t="shared" si="17"/>
        <v>1</v>
      </c>
      <c r="D71" s="77"/>
      <c r="E71" s="341">
        <v>1</v>
      </c>
      <c r="F71" s="859"/>
      <c r="G71" s="671" t="s">
        <v>466</v>
      </c>
      <c r="H71" s="627"/>
      <c r="I71" s="172">
        <v>7.0805784853092497</v>
      </c>
      <c r="J71" s="41">
        <v>26</v>
      </c>
      <c r="K71" s="436">
        <v>3.5517345624872201</v>
      </c>
      <c r="L71" s="176">
        <v>46</v>
      </c>
      <c r="M71" s="436">
        <v>6.8202690283819596</v>
      </c>
      <c r="N71" s="176">
        <v>53</v>
      </c>
      <c r="O71" s="180">
        <v>4.6582692635462601</v>
      </c>
      <c r="P71" s="175">
        <v>56</v>
      </c>
      <c r="Q71" s="623"/>
      <c r="R71" s="178">
        <v>7.0350021372913902</v>
      </c>
      <c r="S71" s="176">
        <v>53</v>
      </c>
      <c r="T71" s="180">
        <v>3.5709994529503799</v>
      </c>
      <c r="U71" s="176">
        <v>45</v>
      </c>
      <c r="V71" s="111"/>
      <c r="W71" s="177">
        <f t="shared" si="18"/>
        <v>0</v>
      </c>
      <c r="X71" s="181">
        <f t="shared" si="19"/>
        <v>0</v>
      </c>
      <c r="Y71" s="665">
        <f t="shared" si="20"/>
        <v>0</v>
      </c>
      <c r="Z71" s="177">
        <f t="shared" si="21"/>
        <v>0</v>
      </c>
      <c r="AA71" s="175">
        <f t="shared" si="22"/>
        <v>0</v>
      </c>
      <c r="AB71" s="630"/>
      <c r="AC71" s="178">
        <f t="shared" si="23"/>
        <v>0</v>
      </c>
      <c r="AD71" s="184">
        <f t="shared" si="24"/>
        <v>0</v>
      </c>
      <c r="AE71" s="179">
        <f t="shared" si="25"/>
        <v>0</v>
      </c>
      <c r="AF71" s="180">
        <f t="shared" si="26"/>
        <v>0</v>
      </c>
      <c r="AG71" s="179">
        <f t="shared" si="27"/>
        <v>0</v>
      </c>
      <c r="AH71" s="623"/>
      <c r="AI71" s="742">
        <v>7.3585966636466802</v>
      </c>
      <c r="AJ71" s="299">
        <v>5</v>
      </c>
      <c r="AK71" s="743">
        <v>8.1344398599733001</v>
      </c>
      <c r="AL71" s="299">
        <v>4</v>
      </c>
      <c r="AM71" s="743">
        <v>4.1991159458501404</v>
      </c>
      <c r="AN71" s="299">
        <v>9</v>
      </c>
      <c r="AO71" s="743">
        <v>3.5736586967731898</v>
      </c>
      <c r="AP71" s="299">
        <v>8</v>
      </c>
      <c r="AQ71" s="111"/>
      <c r="AR71" s="177">
        <f t="shared" si="28"/>
        <v>-1</v>
      </c>
      <c r="AS71" s="175">
        <f t="shared" si="29"/>
        <v>0</v>
      </c>
      <c r="AT71" s="175">
        <f t="shared" si="30"/>
        <v>0</v>
      </c>
      <c r="AU71" s="31"/>
      <c r="AV71" s="178">
        <f t="shared" si="31"/>
        <v>0.77584319632661991</v>
      </c>
      <c r="AW71" s="178">
        <f t="shared" si="32"/>
        <v>0</v>
      </c>
      <c r="AX71" s="179">
        <f t="shared" si="33"/>
        <v>0</v>
      </c>
      <c r="AY71" s="31"/>
      <c r="AZ71" s="31"/>
      <c r="BA71" s="31"/>
      <c r="BB71" s="31"/>
    </row>
    <row r="72" spans="1:54" x14ac:dyDescent="0.35">
      <c r="E72" s="34"/>
      <c r="G72" s="34"/>
      <c r="H72" s="31"/>
      <c r="I72" s="394"/>
      <c r="J72" s="34"/>
      <c r="K72" s="394"/>
      <c r="L72" s="30"/>
      <c r="M72" s="394"/>
      <c r="N72" s="30"/>
      <c r="O72" s="394"/>
      <c r="P72" s="30"/>
      <c r="Q72" s="31"/>
      <c r="R72" s="31"/>
      <c r="S72" s="31"/>
      <c r="T72" s="394"/>
      <c r="U72" s="30"/>
      <c r="V72" s="31"/>
      <c r="W72" s="515"/>
      <c r="X72" s="515"/>
      <c r="Y72" s="515"/>
      <c r="Z72" s="515"/>
      <c r="AA72" s="515"/>
      <c r="AB72" s="70"/>
      <c r="AC72" s="493"/>
      <c r="AD72" s="493"/>
      <c r="AE72" s="493"/>
      <c r="AF72" s="493"/>
      <c r="AG72" s="493"/>
      <c r="AH72" s="70"/>
      <c r="AI72" s="31"/>
      <c r="AJ72" s="110"/>
      <c r="AK72" s="31"/>
      <c r="AL72" s="110"/>
      <c r="AM72" s="31"/>
      <c r="AN72" s="110"/>
      <c r="AO72" s="31"/>
      <c r="AP72" s="110"/>
      <c r="AQ72" s="31"/>
      <c r="AR72" s="31"/>
      <c r="AS72" s="31"/>
      <c r="AT72" s="31"/>
      <c r="AU72" s="31"/>
      <c r="AV72" s="555"/>
      <c r="AW72" s="555"/>
      <c r="AX72" s="555"/>
      <c r="AY72" s="31"/>
      <c r="AZ72" s="31"/>
      <c r="BA72" s="31"/>
      <c r="BB72" s="31"/>
    </row>
    <row r="73" spans="1:54" x14ac:dyDescent="0.35">
      <c r="E73" s="34"/>
      <c r="F73" s="1356"/>
      <c r="G73" s="434" t="s">
        <v>467</v>
      </c>
      <c r="H73" s="437" t="s">
        <v>106</v>
      </c>
      <c r="I73" s="487"/>
      <c r="J73" s="74"/>
      <c r="K73" s="487"/>
      <c r="L73" s="488"/>
      <c r="M73" s="487"/>
      <c r="N73" s="488"/>
      <c r="O73" s="487"/>
      <c r="P73" s="488"/>
      <c r="Q73" s="489"/>
      <c r="R73" s="489"/>
      <c r="S73" s="490"/>
      <c r="T73" s="394"/>
      <c r="U73" s="30"/>
      <c r="V73" s="31"/>
      <c r="W73" s="397"/>
      <c r="X73" s="515"/>
      <c r="Y73" s="515"/>
      <c r="Z73" s="515"/>
      <c r="AA73" s="515"/>
      <c r="AB73" s="70"/>
      <c r="AC73" s="493"/>
      <c r="AD73" s="493"/>
      <c r="AE73" s="493"/>
      <c r="AF73" s="493"/>
      <c r="AG73" s="493"/>
      <c r="AH73" s="70"/>
      <c r="AI73" s="31"/>
      <c r="AJ73" s="110"/>
      <c r="AK73" s="31"/>
      <c r="AL73" s="110"/>
      <c r="AM73" s="31"/>
      <c r="AN73" s="110"/>
      <c r="AO73" s="31"/>
      <c r="AP73" s="110"/>
      <c r="AQ73" s="31"/>
      <c r="AR73" s="31"/>
      <c r="AS73" s="31"/>
      <c r="AT73" s="31"/>
      <c r="AU73" s="31"/>
      <c r="AV73" s="555"/>
      <c r="AW73" s="555"/>
      <c r="AX73" s="555"/>
      <c r="AY73" s="31"/>
      <c r="AZ73" s="31"/>
      <c r="BA73" s="31"/>
      <c r="BB73" s="31"/>
    </row>
    <row r="74" spans="1:54" x14ac:dyDescent="0.35">
      <c r="E74" s="34"/>
      <c r="F74" s="1356"/>
      <c r="G74" s="434" t="s">
        <v>105</v>
      </c>
      <c r="H74" s="437" t="s">
        <v>107</v>
      </c>
      <c r="I74" s="487"/>
      <c r="J74" s="74"/>
      <c r="K74" s="487"/>
      <c r="L74" s="488"/>
      <c r="M74" s="487"/>
      <c r="N74" s="488"/>
      <c r="O74" s="487"/>
      <c r="P74" s="488"/>
      <c r="Q74" s="489"/>
      <c r="R74" s="489"/>
      <c r="S74" s="490"/>
      <c r="T74" s="394"/>
      <c r="U74" s="30"/>
      <c r="V74" s="31"/>
      <c r="W74" s="515"/>
      <c r="X74" s="515"/>
      <c r="Y74" s="515"/>
      <c r="Z74" s="515"/>
      <c r="AA74" s="515"/>
      <c r="AB74" s="70"/>
      <c r="AC74" s="493"/>
      <c r="AD74" s="493"/>
      <c r="AE74" s="493"/>
      <c r="AF74" s="493"/>
      <c r="AG74" s="493"/>
      <c r="AH74" s="70"/>
      <c r="AI74" s="31"/>
      <c r="AJ74" s="110"/>
      <c r="AK74" s="31"/>
      <c r="AL74" s="110"/>
      <c r="AM74" s="31"/>
      <c r="AN74" s="110"/>
      <c r="AO74" s="31"/>
      <c r="AP74" s="110"/>
      <c r="AQ74" s="31"/>
      <c r="AR74" s="31"/>
      <c r="AS74" s="31"/>
      <c r="AT74" s="31"/>
      <c r="AU74" s="31"/>
      <c r="AV74" s="555"/>
      <c r="AW74" s="555"/>
      <c r="AX74" s="555"/>
      <c r="AY74" s="31"/>
      <c r="AZ74" s="31"/>
      <c r="BA74" s="31"/>
      <c r="BB74" s="31"/>
    </row>
    <row r="75" spans="1:54" x14ac:dyDescent="0.35">
      <c r="E75" s="34"/>
      <c r="F75" s="1357"/>
      <c r="G75" s="491" t="s">
        <v>465</v>
      </c>
      <c r="H75" s="489" t="s">
        <v>258</v>
      </c>
      <c r="I75" s="487"/>
      <c r="J75" s="74"/>
      <c r="K75" s="487"/>
      <c r="L75" s="488"/>
      <c r="M75" s="487"/>
      <c r="N75" s="488"/>
      <c r="O75" s="487"/>
      <c r="P75" s="488"/>
      <c r="Q75" s="489"/>
      <c r="R75" s="489"/>
      <c r="S75" s="490"/>
      <c r="T75" s="394"/>
      <c r="U75" s="30"/>
      <c r="V75" s="31"/>
      <c r="W75" s="515"/>
      <c r="X75" s="515"/>
      <c r="Y75" s="515"/>
      <c r="Z75" s="515"/>
      <c r="AA75" s="515"/>
      <c r="AB75" s="70"/>
      <c r="AC75" s="493"/>
      <c r="AD75" s="493"/>
      <c r="AE75" s="493"/>
      <c r="AF75" s="493"/>
      <c r="AG75" s="493"/>
      <c r="AH75" s="70"/>
      <c r="AI75" s="31"/>
      <c r="AJ75" s="110"/>
      <c r="AK75" s="31"/>
      <c r="AL75" s="110"/>
      <c r="AM75" s="31"/>
      <c r="AN75" s="110"/>
      <c r="AO75" s="31"/>
      <c r="AP75" s="110"/>
      <c r="AQ75" s="31"/>
      <c r="AR75" s="31"/>
      <c r="AS75" s="31"/>
      <c r="AT75" s="31"/>
      <c r="AU75" s="31"/>
      <c r="AV75" s="555"/>
      <c r="AW75" s="555"/>
      <c r="AX75" s="555"/>
      <c r="AY75" s="31"/>
      <c r="AZ75" s="31"/>
      <c r="BA75" s="31"/>
      <c r="BB75" s="31"/>
    </row>
    <row r="76" spans="1:54" x14ac:dyDescent="0.35">
      <c r="A76" s="8"/>
      <c r="B76" s="1"/>
      <c r="C76" s="31"/>
      <c r="D76" s="70"/>
      <c r="E76" s="34"/>
      <c r="F76" s="1356"/>
      <c r="G76" s="434" t="s">
        <v>138</v>
      </c>
      <c r="H76" s="492" t="s">
        <v>139</v>
      </c>
      <c r="I76" s="489"/>
      <c r="J76" s="489"/>
      <c r="K76" s="489"/>
      <c r="L76" s="489"/>
      <c r="M76" s="489"/>
      <c r="N76" s="489"/>
      <c r="O76" s="489"/>
      <c r="P76" s="489"/>
      <c r="Q76" s="489"/>
      <c r="R76" s="489"/>
      <c r="S76" s="490"/>
      <c r="T76" s="31"/>
      <c r="U76" s="31"/>
      <c r="V76" s="31"/>
      <c r="W76" s="515"/>
      <c r="X76" s="515"/>
      <c r="Y76" s="515"/>
      <c r="Z76" s="515"/>
      <c r="AA76" s="515"/>
      <c r="AB76" s="70"/>
      <c r="AC76" s="493"/>
      <c r="AD76" s="493"/>
      <c r="AE76" s="493"/>
      <c r="AF76" s="493"/>
      <c r="AG76" s="493"/>
      <c r="AH76" s="70"/>
      <c r="AI76" s="31"/>
      <c r="AJ76" s="110"/>
      <c r="AK76" s="31"/>
      <c r="AL76" s="110"/>
      <c r="AM76" s="31"/>
      <c r="AN76" s="110"/>
      <c r="AO76" s="31"/>
      <c r="AP76" s="110"/>
      <c r="AQ76" s="31"/>
      <c r="AR76" s="31"/>
      <c r="AS76" s="31"/>
      <c r="AT76" s="31"/>
      <c r="AU76" s="31"/>
      <c r="AV76" s="555"/>
      <c r="AW76" s="555"/>
      <c r="AX76" s="555"/>
      <c r="AY76" s="31"/>
      <c r="AZ76" s="31"/>
      <c r="BA76" s="31"/>
      <c r="BB76" s="31"/>
    </row>
    <row r="77" spans="1:54" x14ac:dyDescent="0.35">
      <c r="E77" s="34"/>
      <c r="G77" s="34"/>
      <c r="H77" s="70"/>
      <c r="I77" s="493"/>
      <c r="J77" s="71"/>
      <c r="K77" s="493"/>
      <c r="L77" s="110"/>
      <c r="M77" s="493"/>
      <c r="N77" s="110"/>
      <c r="O77" s="493"/>
      <c r="P77" s="110"/>
      <c r="Q77" s="70"/>
      <c r="R77" s="70"/>
      <c r="S77" s="70"/>
      <c r="T77" s="394"/>
      <c r="U77" s="30"/>
      <c r="V77" s="31"/>
      <c r="W77" s="515"/>
      <c r="X77" s="515"/>
      <c r="Y77" s="515"/>
      <c r="Z77" s="515"/>
      <c r="AA77" s="515"/>
      <c r="AB77" s="70"/>
      <c r="AC77" s="493"/>
      <c r="AD77" s="493"/>
      <c r="AE77" s="493"/>
      <c r="AF77" s="493"/>
      <c r="AG77" s="493"/>
      <c r="AH77" s="70"/>
      <c r="AI77" s="31"/>
      <c r="AJ77" s="110"/>
      <c r="AK77" s="31"/>
      <c r="AL77" s="110"/>
      <c r="AM77" s="31"/>
      <c r="AN77" s="110"/>
      <c r="AO77" s="31"/>
      <c r="AP77" s="110"/>
      <c r="AQ77" s="31"/>
      <c r="AR77" s="31"/>
      <c r="AS77" s="31"/>
      <c r="AT77" s="31"/>
      <c r="AU77" s="31"/>
      <c r="AV77" s="555"/>
      <c r="AW77" s="555"/>
      <c r="AX77" s="555"/>
      <c r="AY77" s="31"/>
      <c r="AZ77" s="31"/>
      <c r="BA77" s="31"/>
      <c r="BB77" s="31"/>
    </row>
    <row r="78" spans="1:54" x14ac:dyDescent="0.35">
      <c r="E78" s="34"/>
      <c r="G78" s="34"/>
      <c r="H78" s="31"/>
      <c r="I78" s="394"/>
      <c r="J78" s="34"/>
      <c r="K78" s="394"/>
      <c r="L78" s="30"/>
      <c r="M78" s="394"/>
      <c r="N78" s="30"/>
      <c r="O78" s="394"/>
      <c r="P78" s="30"/>
      <c r="Q78" s="31"/>
      <c r="R78" s="31"/>
      <c r="S78" s="31"/>
      <c r="T78" s="394"/>
      <c r="U78" s="30"/>
      <c r="V78" s="31"/>
      <c r="W78" s="515"/>
      <c r="X78" s="515"/>
      <c r="Y78" s="515"/>
      <c r="Z78" s="515"/>
      <c r="AA78" s="515"/>
      <c r="AB78" s="70"/>
      <c r="AC78" s="493"/>
      <c r="AD78" s="493"/>
      <c r="AE78" s="493"/>
      <c r="AF78" s="493"/>
      <c r="AG78" s="493"/>
      <c r="AH78" s="70"/>
      <c r="AI78" s="31"/>
      <c r="AJ78" s="110"/>
      <c r="AK78" s="31"/>
      <c r="AL78" s="110"/>
      <c r="AM78" s="31"/>
      <c r="AN78" s="110"/>
      <c r="AO78" s="31"/>
      <c r="AP78" s="110"/>
      <c r="AQ78" s="31"/>
      <c r="AR78" s="31"/>
      <c r="AS78" s="31"/>
      <c r="AT78" s="31"/>
      <c r="AU78" s="31"/>
      <c r="AV78" s="555"/>
      <c r="AW78" s="555"/>
      <c r="AX78" s="555"/>
      <c r="AY78" s="31"/>
      <c r="AZ78" s="31"/>
      <c r="BA78" s="31"/>
      <c r="BB78" s="31"/>
    </row>
    <row r="79" spans="1:54" x14ac:dyDescent="0.35">
      <c r="E79" s="34"/>
      <c r="G79" s="34"/>
      <c r="H79" s="31"/>
      <c r="I79" s="394"/>
      <c r="J79" s="34"/>
      <c r="K79" s="394"/>
      <c r="L79" s="30"/>
      <c r="M79" s="394"/>
      <c r="N79" s="30"/>
      <c r="O79" s="394"/>
      <c r="P79" s="30"/>
      <c r="Q79" s="31"/>
      <c r="R79" s="31"/>
      <c r="S79" s="31"/>
      <c r="T79" s="394"/>
      <c r="U79" s="30"/>
      <c r="V79" s="31"/>
      <c r="W79" s="515"/>
      <c r="X79" s="515"/>
      <c r="Y79" s="515"/>
      <c r="Z79" s="515"/>
      <c r="AA79" s="515"/>
      <c r="AB79" s="70"/>
      <c r="AC79" s="493"/>
      <c r="AD79" s="493"/>
      <c r="AE79" s="493"/>
      <c r="AF79" s="493"/>
      <c r="AG79" s="493"/>
      <c r="AH79" s="70"/>
      <c r="AI79" s="31"/>
      <c r="AJ79" s="110"/>
      <c r="AK79" s="31"/>
      <c r="AL79" s="110"/>
      <c r="AM79" s="31"/>
      <c r="AN79" s="110"/>
      <c r="AO79" s="31"/>
      <c r="AP79" s="110"/>
      <c r="AQ79" s="31"/>
      <c r="AR79" s="31"/>
      <c r="AS79" s="31"/>
      <c r="AT79" s="31"/>
      <c r="AU79" s="31"/>
      <c r="AV79" s="555"/>
      <c r="AW79" s="555"/>
      <c r="AX79" s="555"/>
      <c r="AY79" s="31"/>
      <c r="AZ79" s="31"/>
      <c r="BA79" s="31"/>
      <c r="BB79" s="31"/>
    </row>
    <row r="80" spans="1:54" x14ac:dyDescent="0.35">
      <c r="E80" s="34"/>
      <c r="G80" s="34"/>
      <c r="H80" s="31"/>
      <c r="I80" s="394"/>
      <c r="J80" s="34"/>
      <c r="K80" s="394"/>
      <c r="L80" s="30"/>
      <c r="M80" s="394"/>
      <c r="N80" s="30"/>
      <c r="O80" s="394"/>
      <c r="P80" s="30"/>
      <c r="Q80" s="31"/>
      <c r="R80" s="31"/>
      <c r="S80" s="31"/>
      <c r="T80" s="394"/>
      <c r="U80" s="30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110"/>
      <c r="AK80" s="31"/>
      <c r="AL80" s="110"/>
      <c r="AM80" s="31"/>
      <c r="AN80" s="110"/>
      <c r="AO80" s="31"/>
      <c r="AP80" s="110"/>
      <c r="AQ80" s="31"/>
      <c r="AR80" s="31"/>
      <c r="AS80" s="31"/>
      <c r="AT80" s="31"/>
      <c r="AU80" s="31"/>
      <c r="AV80" s="555"/>
      <c r="AW80" s="555"/>
      <c r="AX80" s="555"/>
      <c r="AY80" s="31"/>
      <c r="AZ80" s="31"/>
      <c r="BA80" s="31"/>
      <c r="BB80" s="31"/>
    </row>
    <row r="81" spans="5:54" x14ac:dyDescent="0.35">
      <c r="E81" s="34"/>
      <c r="G81" s="34"/>
      <c r="H81" s="31"/>
      <c r="I81" s="394"/>
      <c r="J81" s="34"/>
      <c r="K81" s="394"/>
      <c r="L81" s="30"/>
      <c r="M81" s="394"/>
      <c r="N81" s="30"/>
      <c r="O81" s="394"/>
      <c r="P81" s="30"/>
      <c r="Q81" s="31"/>
      <c r="R81" s="31"/>
      <c r="S81" s="31"/>
      <c r="T81" s="394"/>
      <c r="U81" s="30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110"/>
      <c r="AK81" s="31"/>
      <c r="AL81" s="110"/>
      <c r="AM81" s="31"/>
      <c r="AN81" s="110"/>
      <c r="AO81" s="31"/>
      <c r="AP81" s="110"/>
      <c r="AQ81" s="31"/>
      <c r="AR81" s="31"/>
      <c r="AS81" s="31"/>
      <c r="AT81" s="31"/>
      <c r="AU81" s="31"/>
      <c r="AV81" s="555"/>
      <c r="AW81" s="555"/>
      <c r="AX81" s="555"/>
      <c r="AY81" s="31"/>
      <c r="AZ81" s="31"/>
      <c r="BA81" s="31"/>
      <c r="BB81" s="31"/>
    </row>
    <row r="82" spans="5:54" x14ac:dyDescent="0.35">
      <c r="E82" s="34"/>
      <c r="G82" s="34"/>
      <c r="H82" s="31"/>
      <c r="I82" s="394"/>
      <c r="J82" s="34"/>
      <c r="K82" s="394"/>
      <c r="L82" s="30"/>
      <c r="M82" s="394"/>
      <c r="N82" s="30"/>
      <c r="O82" s="394"/>
      <c r="P82" s="30"/>
      <c r="Q82" s="31"/>
      <c r="R82" s="31"/>
      <c r="S82" s="31"/>
      <c r="T82" s="394"/>
      <c r="U82" s="30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110"/>
      <c r="AK82" s="31"/>
      <c r="AL82" s="110"/>
      <c r="AM82" s="31"/>
      <c r="AN82" s="110"/>
      <c r="AO82" s="31"/>
      <c r="AP82" s="110"/>
      <c r="AQ82" s="31"/>
      <c r="AR82" s="31"/>
      <c r="AS82" s="31"/>
      <c r="AT82" s="31"/>
      <c r="AU82" s="31"/>
      <c r="AV82" s="555"/>
      <c r="AW82" s="555"/>
      <c r="AX82" s="555"/>
      <c r="AY82" s="31"/>
      <c r="AZ82" s="31"/>
      <c r="BA82" s="31"/>
      <c r="BB82" s="31"/>
    </row>
    <row r="83" spans="5:54" x14ac:dyDescent="0.35">
      <c r="E83" s="34"/>
      <c r="G83" s="34"/>
      <c r="H83" s="31"/>
      <c r="I83" s="394"/>
      <c r="J83" s="34"/>
      <c r="K83" s="394"/>
      <c r="L83" s="30"/>
      <c r="M83" s="394"/>
      <c r="N83" s="30"/>
      <c r="O83" s="394"/>
      <c r="P83" s="30"/>
      <c r="Q83" s="31"/>
      <c r="R83" s="31"/>
      <c r="S83" s="31"/>
      <c r="T83" s="394"/>
      <c r="U83" s="30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110"/>
      <c r="AK83" s="31"/>
      <c r="AL83" s="110"/>
      <c r="AM83" s="31"/>
      <c r="AN83" s="110"/>
      <c r="AO83" s="31"/>
      <c r="AP83" s="110"/>
      <c r="AQ83" s="31"/>
      <c r="AR83" s="31"/>
      <c r="AS83" s="31"/>
      <c r="AT83" s="31"/>
      <c r="AU83" s="31"/>
      <c r="AV83" s="555"/>
      <c r="AW83" s="555"/>
      <c r="AX83" s="555"/>
      <c r="AY83" s="31"/>
      <c r="AZ83" s="31"/>
      <c r="BA83" s="31"/>
      <c r="BB83" s="31"/>
    </row>
    <row r="84" spans="5:54" x14ac:dyDescent="0.35">
      <c r="E84" s="34"/>
      <c r="G84" s="34"/>
      <c r="H84" s="31"/>
      <c r="I84" s="394"/>
      <c r="J84" s="34"/>
      <c r="K84" s="394"/>
      <c r="L84" s="30"/>
      <c r="M84" s="394"/>
      <c r="N84" s="30"/>
      <c r="O84" s="394"/>
      <c r="P84" s="30"/>
      <c r="Q84" s="31"/>
      <c r="R84" s="31"/>
      <c r="S84" s="31"/>
      <c r="T84" s="394"/>
      <c r="U84" s="30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110"/>
      <c r="AK84" s="31"/>
      <c r="AL84" s="110"/>
      <c r="AM84" s="31"/>
      <c r="AN84" s="110"/>
      <c r="AO84" s="31"/>
      <c r="AP84" s="110"/>
      <c r="AQ84" s="31"/>
      <c r="AR84" s="31"/>
      <c r="AS84" s="31"/>
      <c r="AT84" s="31"/>
      <c r="AU84" s="31"/>
      <c r="AV84" s="555"/>
      <c r="AW84" s="555"/>
      <c r="AX84" s="555"/>
      <c r="AY84" s="31"/>
      <c r="AZ84" s="31"/>
      <c r="BA84" s="31"/>
      <c r="BB84" s="31"/>
    </row>
    <row r="85" spans="5:54" x14ac:dyDescent="0.35">
      <c r="E85" s="34"/>
      <c r="G85" s="34"/>
      <c r="H85" s="31"/>
      <c r="I85" s="394"/>
      <c r="J85" s="34"/>
      <c r="K85" s="394"/>
      <c r="L85" s="30"/>
      <c r="M85" s="394"/>
      <c r="N85" s="30"/>
      <c r="O85" s="394"/>
      <c r="P85" s="30"/>
      <c r="Q85" s="31"/>
      <c r="R85" s="31"/>
      <c r="S85" s="31"/>
      <c r="T85" s="394"/>
      <c r="U85" s="30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110"/>
      <c r="AK85" s="31"/>
      <c r="AL85" s="110"/>
      <c r="AM85" s="31"/>
      <c r="AN85" s="110"/>
      <c r="AO85" s="31"/>
      <c r="AP85" s="110"/>
      <c r="AQ85" s="31"/>
      <c r="AR85" s="31"/>
      <c r="AS85" s="31"/>
      <c r="AT85" s="31"/>
      <c r="AU85" s="31"/>
      <c r="AV85" s="555"/>
      <c r="AW85" s="555"/>
      <c r="AX85" s="555"/>
      <c r="AY85" s="31"/>
      <c r="AZ85" s="31"/>
      <c r="BA85" s="31"/>
      <c r="BB85" s="31"/>
    </row>
    <row r="86" spans="5:54" x14ac:dyDescent="0.35">
      <c r="E86" s="34"/>
      <c r="G86" s="34"/>
      <c r="H86" s="31"/>
      <c r="I86" s="394"/>
      <c r="J86" s="34"/>
      <c r="K86" s="394"/>
      <c r="L86" s="30"/>
      <c r="M86" s="394"/>
      <c r="N86" s="30"/>
      <c r="O86" s="394"/>
      <c r="P86" s="30"/>
      <c r="Q86" s="31"/>
      <c r="R86" s="31"/>
      <c r="S86" s="31"/>
      <c r="T86" s="394"/>
      <c r="U86" s="30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110"/>
      <c r="AK86" s="31"/>
      <c r="AL86" s="110"/>
      <c r="AM86" s="31"/>
      <c r="AN86" s="110"/>
      <c r="AO86" s="31"/>
      <c r="AP86" s="110"/>
      <c r="AQ86" s="31"/>
      <c r="AR86" s="31"/>
      <c r="AS86" s="31"/>
      <c r="AT86" s="31"/>
      <c r="AU86" s="31"/>
      <c r="AV86" s="555"/>
      <c r="AW86" s="555"/>
      <c r="AX86" s="555"/>
      <c r="AY86" s="31"/>
      <c r="AZ86" s="31"/>
      <c r="BA86" s="31"/>
      <c r="BB86" s="31"/>
    </row>
    <row r="87" spans="5:54" x14ac:dyDescent="0.35">
      <c r="E87" s="34"/>
      <c r="G87" s="34"/>
      <c r="H87" s="31"/>
      <c r="I87" s="394"/>
      <c r="J87" s="34"/>
      <c r="K87" s="394"/>
      <c r="L87" s="30"/>
      <c r="M87" s="394"/>
      <c r="N87" s="30"/>
      <c r="O87" s="394"/>
      <c r="P87" s="30"/>
      <c r="Q87" s="31"/>
      <c r="R87" s="31"/>
      <c r="S87" s="31"/>
      <c r="T87" s="394"/>
      <c r="U87" s="30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110"/>
      <c r="AK87" s="31"/>
      <c r="AL87" s="110"/>
      <c r="AM87" s="31"/>
      <c r="AN87" s="110"/>
      <c r="AO87" s="31"/>
      <c r="AP87" s="110"/>
      <c r="AQ87" s="31"/>
      <c r="AR87" s="31"/>
      <c r="AS87" s="31"/>
      <c r="AT87" s="31"/>
      <c r="AU87" s="31"/>
      <c r="AV87" s="555"/>
      <c r="AW87" s="555"/>
      <c r="AX87" s="555"/>
      <c r="AY87" s="31"/>
      <c r="AZ87" s="31"/>
      <c r="BA87" s="31"/>
      <c r="BB87" s="31"/>
    </row>
    <row r="88" spans="5:54" x14ac:dyDescent="0.35">
      <c r="E88" s="34"/>
      <c r="G88" s="34"/>
      <c r="H88" s="31"/>
      <c r="I88" s="394"/>
      <c r="J88" s="34"/>
      <c r="K88" s="394"/>
      <c r="L88" s="30"/>
      <c r="M88" s="394"/>
      <c r="N88" s="30"/>
      <c r="O88" s="394"/>
      <c r="P88" s="30"/>
      <c r="Q88" s="31"/>
      <c r="R88" s="31"/>
      <c r="S88" s="31"/>
      <c r="T88" s="394"/>
      <c r="U88" s="30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110"/>
      <c r="AK88" s="31"/>
      <c r="AL88" s="110"/>
      <c r="AM88" s="31"/>
      <c r="AN88" s="110"/>
      <c r="AO88" s="31"/>
      <c r="AP88" s="110"/>
      <c r="AQ88" s="31"/>
      <c r="AR88" s="31"/>
      <c r="AS88" s="31"/>
      <c r="AT88" s="31"/>
      <c r="AU88" s="31"/>
      <c r="AV88" s="555"/>
      <c r="AW88" s="555"/>
      <c r="AX88" s="555"/>
      <c r="AY88" s="31"/>
      <c r="AZ88" s="31"/>
      <c r="BA88" s="31"/>
      <c r="BB88" s="31"/>
    </row>
    <row r="89" spans="5:54" x14ac:dyDescent="0.35">
      <c r="E89" s="34"/>
      <c r="G89" s="34"/>
      <c r="H89" s="31"/>
      <c r="I89" s="394"/>
      <c r="J89" s="34"/>
      <c r="K89" s="394"/>
      <c r="L89" s="30"/>
      <c r="M89" s="394"/>
      <c r="N89" s="30"/>
      <c r="O89" s="394"/>
      <c r="P89" s="30"/>
      <c r="Q89" s="31"/>
      <c r="R89" s="31"/>
      <c r="S89" s="31"/>
      <c r="T89" s="394"/>
      <c r="U89" s="30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110"/>
      <c r="AK89" s="31"/>
      <c r="AL89" s="110"/>
      <c r="AM89" s="31"/>
      <c r="AN89" s="110"/>
      <c r="AO89" s="31"/>
      <c r="AP89" s="110"/>
      <c r="AQ89" s="31"/>
      <c r="AR89" s="31"/>
      <c r="AS89" s="31"/>
      <c r="AT89" s="31"/>
      <c r="AU89" s="31"/>
      <c r="AV89" s="555"/>
      <c r="AW89" s="555"/>
      <c r="AX89" s="555"/>
      <c r="AY89" s="31"/>
      <c r="AZ89" s="31"/>
      <c r="BA89" s="31"/>
      <c r="BB89" s="31"/>
    </row>
    <row r="90" spans="5:54" x14ac:dyDescent="0.35">
      <c r="E90" s="34"/>
      <c r="G90" s="34"/>
      <c r="H90" s="31"/>
      <c r="I90" s="394"/>
      <c r="J90" s="34"/>
      <c r="K90" s="394"/>
      <c r="L90" s="30"/>
      <c r="M90" s="394"/>
      <c r="N90" s="30"/>
      <c r="O90" s="394"/>
      <c r="P90" s="30"/>
      <c r="Q90" s="31"/>
      <c r="R90" s="31"/>
      <c r="S90" s="31"/>
      <c r="T90" s="394"/>
      <c r="U90" s="30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110"/>
      <c r="AK90" s="31"/>
      <c r="AL90" s="110"/>
      <c r="AM90" s="31"/>
      <c r="AN90" s="110"/>
      <c r="AO90" s="31"/>
      <c r="AP90" s="110"/>
      <c r="AQ90" s="31"/>
      <c r="AR90" s="31"/>
      <c r="AS90" s="31"/>
      <c r="AT90" s="31"/>
      <c r="AU90" s="31"/>
      <c r="AV90" s="555"/>
      <c r="AW90" s="555"/>
      <c r="AX90" s="555"/>
      <c r="AY90" s="31"/>
      <c r="AZ90" s="31"/>
      <c r="BA90" s="31"/>
      <c r="BB90" s="31"/>
    </row>
    <row r="91" spans="5:54" x14ac:dyDescent="0.35">
      <c r="E91" s="34"/>
      <c r="G91" s="34"/>
      <c r="H91" s="31"/>
      <c r="I91" s="394"/>
      <c r="J91" s="34"/>
      <c r="K91" s="394"/>
      <c r="L91" s="30"/>
      <c r="M91" s="394"/>
      <c r="N91" s="30"/>
      <c r="O91" s="394"/>
      <c r="P91" s="30"/>
      <c r="Q91" s="31"/>
      <c r="R91" s="31"/>
      <c r="S91" s="31"/>
      <c r="T91" s="394"/>
      <c r="U91" s="30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110"/>
      <c r="AK91" s="31"/>
      <c r="AL91" s="110"/>
      <c r="AM91" s="31"/>
      <c r="AN91" s="110"/>
      <c r="AO91" s="31"/>
      <c r="AP91" s="110"/>
      <c r="AQ91" s="31"/>
      <c r="AR91" s="31"/>
      <c r="AS91" s="31"/>
      <c r="AT91" s="31"/>
      <c r="AU91" s="31"/>
      <c r="AV91" s="555"/>
      <c r="AW91" s="555"/>
      <c r="AX91" s="555"/>
      <c r="AY91" s="31"/>
      <c r="AZ91" s="31"/>
      <c r="BA91" s="31"/>
      <c r="BB91" s="31"/>
    </row>
    <row r="92" spans="5:54" x14ac:dyDescent="0.35">
      <c r="E92" s="34"/>
      <c r="G92" s="34"/>
      <c r="H92" s="31"/>
      <c r="I92" s="394"/>
      <c r="J92" s="34"/>
      <c r="K92" s="394"/>
      <c r="L92" s="30"/>
      <c r="M92" s="394"/>
      <c r="N92" s="30"/>
      <c r="O92" s="394"/>
      <c r="P92" s="30"/>
      <c r="Q92" s="31"/>
      <c r="R92" s="31"/>
      <c r="S92" s="31"/>
      <c r="T92" s="394"/>
      <c r="U92" s="30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110"/>
      <c r="AK92" s="31"/>
      <c r="AL92" s="110"/>
      <c r="AM92" s="31"/>
      <c r="AN92" s="110"/>
      <c r="AO92" s="31"/>
      <c r="AP92" s="110"/>
      <c r="AQ92" s="31"/>
      <c r="AR92" s="31"/>
      <c r="AS92" s="31"/>
      <c r="AT92" s="31"/>
      <c r="AU92" s="31"/>
      <c r="AV92" s="555"/>
      <c r="AW92" s="555"/>
      <c r="AX92" s="555"/>
      <c r="AY92" s="31"/>
      <c r="AZ92" s="31"/>
      <c r="BA92" s="31"/>
      <c r="BB92" s="31"/>
    </row>
    <row r="93" spans="5:54" x14ac:dyDescent="0.35">
      <c r="E93" s="34"/>
      <c r="G93" s="34"/>
      <c r="H93" s="31"/>
      <c r="I93" s="394"/>
      <c r="J93" s="34"/>
      <c r="K93" s="394"/>
      <c r="L93" s="30"/>
      <c r="M93" s="394"/>
      <c r="N93" s="30"/>
      <c r="O93" s="394"/>
      <c r="P93" s="30"/>
      <c r="Q93" s="31"/>
      <c r="R93" s="31"/>
      <c r="S93" s="31"/>
      <c r="T93" s="394"/>
      <c r="U93" s="30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110"/>
      <c r="AK93" s="31"/>
      <c r="AL93" s="110"/>
      <c r="AM93" s="31"/>
      <c r="AN93" s="110"/>
      <c r="AO93" s="31"/>
      <c r="AP93" s="110"/>
      <c r="AQ93" s="31"/>
      <c r="AR93" s="31"/>
      <c r="AS93" s="31"/>
      <c r="AT93" s="31"/>
      <c r="AU93" s="31"/>
      <c r="AV93" s="555"/>
      <c r="AW93" s="555"/>
      <c r="AX93" s="555"/>
      <c r="AY93" s="31"/>
      <c r="AZ93" s="31"/>
      <c r="BA93" s="31"/>
      <c r="BB93" s="31"/>
    </row>
    <row r="94" spans="5:54" x14ac:dyDescent="0.35">
      <c r="E94" s="34"/>
      <c r="G94" s="34"/>
      <c r="H94" s="31"/>
      <c r="I94" s="394"/>
      <c r="J94" s="34"/>
      <c r="K94" s="394"/>
      <c r="L94" s="30"/>
      <c r="M94" s="394"/>
      <c r="N94" s="30"/>
      <c r="O94" s="394"/>
      <c r="P94" s="30"/>
      <c r="Q94" s="31"/>
      <c r="R94" s="31"/>
      <c r="S94" s="31"/>
      <c r="T94" s="394"/>
      <c r="U94" s="30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110"/>
      <c r="AK94" s="31"/>
      <c r="AL94" s="110"/>
      <c r="AM94" s="31"/>
      <c r="AN94" s="110"/>
      <c r="AO94" s="31"/>
      <c r="AP94" s="110"/>
      <c r="AQ94" s="31"/>
      <c r="AR94" s="31"/>
      <c r="AS94" s="31"/>
      <c r="AT94" s="31"/>
      <c r="AU94" s="31"/>
      <c r="AV94" s="555"/>
      <c r="AW94" s="555"/>
      <c r="AX94" s="555"/>
      <c r="AY94" s="31"/>
      <c r="AZ94" s="31"/>
      <c r="BA94" s="31"/>
      <c r="BB94" s="31"/>
    </row>
    <row r="95" spans="5:54" x14ac:dyDescent="0.35">
      <c r="E95" s="34"/>
      <c r="G95" s="34"/>
      <c r="H95" s="31"/>
      <c r="I95" s="394"/>
      <c r="J95" s="34"/>
      <c r="K95" s="394"/>
      <c r="L95" s="30"/>
      <c r="M95" s="394"/>
      <c r="N95" s="30"/>
      <c r="O95" s="394"/>
      <c r="P95" s="30"/>
      <c r="Q95" s="31"/>
      <c r="R95" s="31"/>
      <c r="S95" s="31"/>
      <c r="T95" s="394"/>
      <c r="U95" s="30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110"/>
      <c r="AK95" s="31"/>
      <c r="AL95" s="110"/>
      <c r="AM95" s="31"/>
      <c r="AN95" s="110"/>
      <c r="AO95" s="31"/>
      <c r="AP95" s="110"/>
      <c r="AQ95" s="31"/>
      <c r="AR95" s="31"/>
      <c r="AS95" s="31"/>
      <c r="AT95" s="31"/>
      <c r="AU95" s="31"/>
      <c r="AV95" s="555"/>
      <c r="AW95" s="555"/>
      <c r="AX95" s="555"/>
      <c r="AY95" s="31"/>
      <c r="AZ95" s="31"/>
      <c r="BA95" s="31"/>
      <c r="BB95" s="31"/>
    </row>
    <row r="96" spans="5:54" x14ac:dyDescent="0.35">
      <c r="E96" s="34"/>
      <c r="G96" s="34"/>
      <c r="H96" s="31"/>
      <c r="I96" s="394"/>
      <c r="J96" s="34"/>
      <c r="K96" s="394"/>
      <c r="L96" s="30"/>
      <c r="M96" s="394"/>
      <c r="N96" s="30"/>
      <c r="O96" s="394"/>
      <c r="P96" s="30"/>
      <c r="Q96" s="31"/>
      <c r="R96" s="31"/>
      <c r="S96" s="31"/>
      <c r="T96" s="394"/>
      <c r="U96" s="30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110"/>
      <c r="AK96" s="31"/>
      <c r="AL96" s="110"/>
      <c r="AM96" s="31"/>
      <c r="AN96" s="110"/>
      <c r="AO96" s="31"/>
      <c r="AP96" s="110"/>
      <c r="AQ96" s="31"/>
      <c r="AR96" s="31"/>
      <c r="AS96" s="31"/>
      <c r="AT96" s="31"/>
      <c r="AU96" s="31"/>
      <c r="AV96" s="555"/>
      <c r="AW96" s="555"/>
      <c r="AX96" s="555"/>
      <c r="AY96" s="31"/>
      <c r="AZ96" s="31"/>
      <c r="BA96" s="31"/>
      <c r="BB96" s="31"/>
    </row>
    <row r="97" spans="5:54" x14ac:dyDescent="0.35">
      <c r="E97" s="34"/>
      <c r="G97" s="34"/>
      <c r="H97" s="31"/>
      <c r="I97" s="394"/>
      <c r="J97" s="34"/>
      <c r="K97" s="394"/>
      <c r="L97" s="30"/>
      <c r="M97" s="394"/>
      <c r="N97" s="30"/>
      <c r="O97" s="394"/>
      <c r="P97" s="30"/>
      <c r="Q97" s="31"/>
      <c r="R97" s="31"/>
      <c r="S97" s="31"/>
      <c r="T97" s="394"/>
      <c r="U97" s="30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110"/>
      <c r="AK97" s="31"/>
      <c r="AL97" s="110"/>
      <c r="AM97" s="31"/>
      <c r="AN97" s="110"/>
      <c r="AO97" s="31"/>
      <c r="AP97" s="110"/>
      <c r="AQ97" s="31"/>
      <c r="AR97" s="31"/>
      <c r="AS97" s="31"/>
      <c r="AT97" s="31"/>
      <c r="AU97" s="31"/>
      <c r="AV97" s="555"/>
      <c r="AW97" s="555"/>
      <c r="AX97" s="555"/>
      <c r="AY97" s="31"/>
      <c r="AZ97" s="31"/>
      <c r="BA97" s="31"/>
      <c r="BB97" s="31"/>
    </row>
    <row r="98" spans="5:54" x14ac:dyDescent="0.35">
      <c r="E98" s="34"/>
      <c r="G98" s="34"/>
      <c r="H98" s="31"/>
      <c r="I98" s="394"/>
      <c r="J98" s="34"/>
      <c r="K98" s="394"/>
      <c r="L98" s="30"/>
      <c r="M98" s="394"/>
      <c r="N98" s="30"/>
      <c r="O98" s="394"/>
      <c r="P98" s="30"/>
      <c r="Q98" s="31"/>
      <c r="R98" s="31"/>
      <c r="S98" s="31"/>
      <c r="T98" s="394"/>
      <c r="U98" s="30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110"/>
      <c r="AK98" s="31"/>
      <c r="AL98" s="110"/>
      <c r="AM98" s="31"/>
      <c r="AN98" s="110"/>
      <c r="AO98" s="31"/>
      <c r="AP98" s="110"/>
      <c r="AQ98" s="31"/>
      <c r="AR98" s="31"/>
      <c r="AS98" s="31"/>
      <c r="AT98" s="31"/>
      <c r="AU98" s="31"/>
      <c r="AV98" s="555"/>
      <c r="AW98" s="555"/>
      <c r="AX98" s="555"/>
      <c r="AY98" s="31"/>
      <c r="AZ98" s="31"/>
      <c r="BA98" s="31"/>
      <c r="BB98" s="31"/>
    </row>
    <row r="99" spans="5:54" x14ac:dyDescent="0.35">
      <c r="E99" s="34"/>
      <c r="G99" s="34"/>
      <c r="H99" s="31"/>
      <c r="I99" s="394"/>
      <c r="J99" s="34"/>
      <c r="K99" s="394"/>
      <c r="L99" s="30"/>
      <c r="M99" s="394"/>
      <c r="N99" s="30"/>
      <c r="O99" s="394"/>
      <c r="P99" s="30"/>
      <c r="Q99" s="31"/>
      <c r="R99" s="31"/>
      <c r="S99" s="31"/>
      <c r="T99" s="394"/>
      <c r="U99" s="30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110"/>
      <c r="AK99" s="31"/>
      <c r="AL99" s="110"/>
      <c r="AM99" s="31"/>
      <c r="AN99" s="110"/>
      <c r="AO99" s="31"/>
      <c r="AP99" s="110"/>
      <c r="AQ99" s="31"/>
      <c r="AR99" s="31"/>
      <c r="AS99" s="31"/>
      <c r="AT99" s="31"/>
      <c r="AU99" s="31"/>
      <c r="AV99" s="555"/>
      <c r="AW99" s="555"/>
      <c r="AX99" s="555"/>
      <c r="AY99" s="31"/>
      <c r="AZ99" s="31"/>
      <c r="BA99" s="31"/>
      <c r="BB99" s="31"/>
    </row>
    <row r="100" spans="5:54" x14ac:dyDescent="0.35">
      <c r="E100" s="34"/>
      <c r="G100" s="34"/>
      <c r="H100" s="31"/>
      <c r="I100" s="394"/>
      <c r="J100" s="34"/>
      <c r="K100" s="394"/>
      <c r="L100" s="30"/>
      <c r="M100" s="394"/>
      <c r="N100" s="30"/>
      <c r="O100" s="394"/>
      <c r="P100" s="30"/>
      <c r="Q100" s="31"/>
      <c r="R100" s="31"/>
      <c r="S100" s="31"/>
      <c r="T100" s="394"/>
      <c r="U100" s="30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110"/>
      <c r="AK100" s="31"/>
      <c r="AL100" s="110"/>
      <c r="AM100" s="31"/>
      <c r="AN100" s="110"/>
      <c r="AO100" s="31"/>
      <c r="AP100" s="110"/>
      <c r="AQ100" s="31"/>
      <c r="AR100" s="31"/>
      <c r="AS100" s="31"/>
      <c r="AT100" s="31"/>
      <c r="AU100" s="31"/>
      <c r="AV100" s="555"/>
      <c r="AW100" s="555"/>
      <c r="AX100" s="555"/>
      <c r="AY100" s="31"/>
      <c r="AZ100" s="31"/>
      <c r="BA100" s="31"/>
      <c r="BB100" s="31"/>
    </row>
    <row r="101" spans="5:54" x14ac:dyDescent="0.35">
      <c r="E101" s="34"/>
      <c r="G101" s="34"/>
      <c r="H101" s="31"/>
      <c r="I101" s="394"/>
      <c r="J101" s="34"/>
      <c r="K101" s="394"/>
      <c r="L101" s="30"/>
      <c r="M101" s="394"/>
      <c r="N101" s="30"/>
      <c r="O101" s="394"/>
      <c r="P101" s="30"/>
      <c r="Q101" s="31"/>
      <c r="R101" s="31"/>
      <c r="S101" s="31"/>
      <c r="T101" s="394"/>
      <c r="U101" s="30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110"/>
      <c r="AK101" s="31"/>
      <c r="AL101" s="110"/>
      <c r="AM101" s="31"/>
      <c r="AN101" s="110"/>
      <c r="AO101" s="31"/>
      <c r="AP101" s="110"/>
      <c r="AQ101" s="31"/>
      <c r="AR101" s="31"/>
      <c r="AS101" s="31"/>
      <c r="AT101" s="31"/>
      <c r="AU101" s="31"/>
      <c r="AV101" s="555"/>
      <c r="AW101" s="555"/>
      <c r="AX101" s="555"/>
      <c r="AY101" s="31"/>
      <c r="AZ101" s="31"/>
      <c r="BA101" s="31"/>
      <c r="BB101" s="31"/>
    </row>
    <row r="102" spans="5:54" x14ac:dyDescent="0.35">
      <c r="E102" s="34"/>
      <c r="G102" s="34"/>
      <c r="H102" s="31"/>
      <c r="I102" s="394"/>
      <c r="J102" s="34"/>
      <c r="K102" s="394"/>
      <c r="L102" s="30"/>
      <c r="M102" s="394"/>
      <c r="N102" s="30"/>
      <c r="O102" s="394"/>
      <c r="P102" s="30"/>
      <c r="Q102" s="31"/>
      <c r="R102" s="31"/>
      <c r="S102" s="31"/>
      <c r="T102" s="394"/>
      <c r="U102" s="3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110"/>
      <c r="AK102" s="31"/>
      <c r="AL102" s="110"/>
      <c r="AM102" s="31"/>
      <c r="AN102" s="110"/>
      <c r="AO102" s="31"/>
      <c r="AP102" s="110"/>
      <c r="AQ102" s="31"/>
      <c r="AR102" s="31"/>
      <c r="AS102" s="31"/>
      <c r="AT102" s="31"/>
      <c r="AU102" s="31"/>
      <c r="AV102" s="555"/>
      <c r="AW102" s="555"/>
      <c r="AX102" s="555"/>
      <c r="AY102" s="31"/>
      <c r="AZ102" s="31"/>
      <c r="BA102" s="31"/>
      <c r="BB102" s="31"/>
    </row>
    <row r="103" spans="5:54" x14ac:dyDescent="0.35">
      <c r="E103" s="34"/>
      <c r="G103" s="34"/>
      <c r="H103" s="31"/>
      <c r="I103" s="394"/>
      <c r="J103" s="34"/>
      <c r="K103" s="394"/>
      <c r="L103" s="30"/>
      <c r="M103" s="394"/>
      <c r="N103" s="30"/>
      <c r="O103" s="394"/>
      <c r="P103" s="30"/>
      <c r="Q103" s="31"/>
      <c r="R103" s="31"/>
      <c r="S103" s="31"/>
      <c r="T103" s="394"/>
      <c r="U103" s="30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110"/>
      <c r="AK103" s="31"/>
      <c r="AL103" s="110"/>
      <c r="AM103" s="31"/>
      <c r="AN103" s="110"/>
      <c r="AO103" s="31"/>
      <c r="AP103" s="110"/>
      <c r="AQ103" s="31"/>
      <c r="AR103" s="31"/>
      <c r="AS103" s="31"/>
      <c r="AT103" s="31"/>
      <c r="AU103" s="31"/>
      <c r="AV103" s="555"/>
      <c r="AW103" s="555"/>
      <c r="AX103" s="555"/>
      <c r="AY103" s="31"/>
      <c r="AZ103" s="31"/>
      <c r="BA103" s="31"/>
      <c r="BB103" s="31"/>
    </row>
    <row r="104" spans="5:54" x14ac:dyDescent="0.35">
      <c r="E104" s="34"/>
      <c r="G104" s="34"/>
      <c r="H104" s="31"/>
      <c r="I104" s="394"/>
      <c r="J104" s="34"/>
      <c r="K104" s="394"/>
      <c r="L104" s="30"/>
      <c r="M104" s="394"/>
      <c r="N104" s="30"/>
      <c r="O104" s="394"/>
      <c r="P104" s="30"/>
      <c r="Q104" s="31"/>
      <c r="R104" s="31"/>
      <c r="S104" s="31"/>
      <c r="T104" s="394"/>
      <c r="U104" s="30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110"/>
      <c r="AK104" s="31"/>
      <c r="AL104" s="110"/>
      <c r="AM104" s="31"/>
      <c r="AN104" s="110"/>
      <c r="AO104" s="31"/>
      <c r="AP104" s="110"/>
      <c r="AQ104" s="31"/>
      <c r="AR104" s="31"/>
      <c r="AS104" s="31"/>
      <c r="AT104" s="31"/>
      <c r="AU104" s="31"/>
      <c r="AV104" s="555"/>
      <c r="AW104" s="555"/>
      <c r="AX104" s="555"/>
      <c r="AY104" s="31"/>
      <c r="AZ104" s="31"/>
      <c r="BA104" s="31"/>
      <c r="BB104" s="31"/>
    </row>
    <row r="105" spans="5:54" x14ac:dyDescent="0.35"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110"/>
      <c r="AK105" s="31"/>
      <c r="AL105" s="110"/>
      <c r="AM105" s="31"/>
      <c r="AN105" s="110"/>
      <c r="AO105" s="31"/>
      <c r="AP105" s="110"/>
      <c r="AQ105" s="31"/>
      <c r="AR105" s="31"/>
      <c r="AS105" s="31"/>
      <c r="AT105" s="31"/>
      <c r="AU105" s="31"/>
      <c r="AV105" s="555"/>
      <c r="AW105" s="555"/>
      <c r="AX105" s="555"/>
    </row>
  </sheetData>
  <sortState ref="A7:BB63">
    <sortCondition descending="1" ref="C7:C63"/>
  </sortState>
  <conditionalFormatting sqref="AS7:AS71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71 AR7:AR71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71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71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7:U71 U50:U55 U27 U24:U25 U29:U48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6 S28 S31:S32 S37:S39 S41:S45 S47:S59 S61 S63 S67:S68 S71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7 N7:N16 P7:P8 P71 P68 P61 P56:P59 P53:P54 P47:P49 P44:P45 P41:P42 P37:P39 P24:P26 P18 P14 P12 P10 N18:N21 N24:N26 N28:N30 N32 N34 N37:N39 N41:N59 N61 N63 N67:N68 N71 L58:L71 L42:L55 L29:L40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71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71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71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71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71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71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71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71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71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71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71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56 U28 U22:U23 U26 U49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64:S66 S69:S70 S33:S36 S62 S60 S46 S40 S29:S30 S13 S27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3 P27:P36 P62:P67 P40 P43 P46 P50:P52 P55 P60 P69:P70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6:L57 L28 L41 N64:N66 N69:N70 N17 N62 N60 N40 N35:N36 N33 N31 N27 N22:N23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71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71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71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71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71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L7 AP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71 AN8:AN71 AL8:AL71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71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C78"/>
  <sheetViews>
    <sheetView zoomScale="85" zoomScaleNormal="85" workbookViewId="0">
      <selection activeCell="A53" sqref="A53"/>
    </sheetView>
  </sheetViews>
  <sheetFormatPr defaultRowHeight="14.4" x14ac:dyDescent="0.3"/>
  <cols>
    <col min="1" max="1" width="41.21875" style="22" customWidth="1"/>
    <col min="2" max="2" width="13.33203125" customWidth="1"/>
  </cols>
  <sheetData>
    <row r="1" spans="1:3" ht="21" x14ac:dyDescent="0.4">
      <c r="A1" s="108" t="s">
        <v>140</v>
      </c>
      <c r="B1" s="189"/>
      <c r="C1" s="189"/>
    </row>
    <row r="2" spans="1:3" ht="21" x14ac:dyDescent="0.4">
      <c r="A2" s="108"/>
      <c r="B2" s="189"/>
      <c r="C2" s="189"/>
    </row>
    <row r="3" spans="1:3" s="1" customFormat="1" ht="18" x14ac:dyDescent="0.35">
      <c r="A3" s="397"/>
      <c r="B3" s="31"/>
      <c r="C3" s="31"/>
    </row>
    <row r="4" spans="1:3" s="1" customFormat="1" ht="18" x14ac:dyDescent="0.35">
      <c r="A4" s="32"/>
      <c r="B4" s="210" t="s">
        <v>79</v>
      </c>
      <c r="C4" s="31"/>
    </row>
    <row r="5" spans="1:3" s="1" customFormat="1" ht="18" x14ac:dyDescent="0.35">
      <c r="A5" s="32"/>
      <c r="B5" s="210" t="s">
        <v>54</v>
      </c>
      <c r="C5" s="31"/>
    </row>
    <row r="6" spans="1:3" s="1" customFormat="1" ht="18.600000000000001" thickBot="1" x14ac:dyDescent="0.4">
      <c r="A6" s="99" t="s">
        <v>4</v>
      </c>
      <c r="B6" s="211" t="s">
        <v>2</v>
      </c>
      <c r="C6" s="31"/>
    </row>
    <row r="7" spans="1:3" s="1" customFormat="1" ht="18" x14ac:dyDescent="0.35">
      <c r="A7" s="158" t="s">
        <v>10</v>
      </c>
      <c r="B7" s="567">
        <v>0</v>
      </c>
      <c r="C7" s="31"/>
    </row>
    <row r="8" spans="1:3" s="1" customFormat="1" ht="18" x14ac:dyDescent="0.35">
      <c r="A8" s="208" t="s">
        <v>174</v>
      </c>
      <c r="B8" s="567">
        <v>0</v>
      </c>
      <c r="C8" s="31"/>
    </row>
    <row r="9" spans="1:3" s="1" customFormat="1" ht="18" x14ac:dyDescent="0.35">
      <c r="A9" s="208" t="s">
        <v>115</v>
      </c>
      <c r="B9" s="567">
        <v>0</v>
      </c>
      <c r="C9" s="31"/>
    </row>
    <row r="10" spans="1:3" s="1" customFormat="1" ht="18" x14ac:dyDescent="0.35">
      <c r="A10" s="208" t="s">
        <v>116</v>
      </c>
      <c r="B10" s="567">
        <v>0</v>
      </c>
      <c r="C10" s="31"/>
    </row>
    <row r="11" spans="1:3" s="1" customFormat="1" ht="18" x14ac:dyDescent="0.35">
      <c r="A11" s="90" t="s">
        <v>5</v>
      </c>
      <c r="B11" s="567">
        <v>0</v>
      </c>
      <c r="C11" s="31"/>
    </row>
    <row r="12" spans="1:3" s="1" customFormat="1" ht="18" x14ac:dyDescent="0.35">
      <c r="A12" s="208" t="s">
        <v>175</v>
      </c>
      <c r="B12" s="567">
        <v>0</v>
      </c>
      <c r="C12" s="31"/>
    </row>
    <row r="13" spans="1:3" s="1" customFormat="1" ht="18" x14ac:dyDescent="0.35">
      <c r="A13" s="208" t="s">
        <v>292</v>
      </c>
      <c r="B13" s="567">
        <v>0</v>
      </c>
      <c r="C13" s="31"/>
    </row>
    <row r="14" spans="1:3" s="1" customFormat="1" ht="18" x14ac:dyDescent="0.35">
      <c r="A14" s="90" t="s">
        <v>104</v>
      </c>
      <c r="B14" s="567">
        <v>0</v>
      </c>
      <c r="C14" s="31"/>
    </row>
    <row r="15" spans="1:3" s="1" customFormat="1" ht="18" x14ac:dyDescent="0.35">
      <c r="A15" s="208" t="s">
        <v>117</v>
      </c>
      <c r="B15" s="567">
        <v>0</v>
      </c>
      <c r="C15" s="31"/>
    </row>
    <row r="16" spans="1:3" s="1" customFormat="1" ht="18" x14ac:dyDescent="0.35">
      <c r="A16" s="208" t="s">
        <v>9</v>
      </c>
      <c r="B16" s="567">
        <v>0</v>
      </c>
      <c r="C16" s="31"/>
    </row>
    <row r="17" spans="1:3" s="1" customFormat="1" ht="18" x14ac:dyDescent="0.35">
      <c r="A17" s="90" t="s">
        <v>99</v>
      </c>
      <c r="B17" s="567">
        <v>0</v>
      </c>
      <c r="C17" s="31"/>
    </row>
    <row r="18" spans="1:3" s="1" customFormat="1" ht="18" x14ac:dyDescent="0.35">
      <c r="A18" s="90" t="s">
        <v>14</v>
      </c>
      <c r="B18" s="567">
        <v>0</v>
      </c>
      <c r="C18" s="31"/>
    </row>
    <row r="19" spans="1:3" s="1" customFormat="1" ht="18" x14ac:dyDescent="0.35">
      <c r="A19" s="90" t="s">
        <v>109</v>
      </c>
      <c r="B19" s="567">
        <v>0</v>
      </c>
      <c r="C19" s="31"/>
    </row>
    <row r="20" spans="1:3" s="1" customFormat="1" ht="18" x14ac:dyDescent="0.35">
      <c r="A20" s="208" t="s">
        <v>112</v>
      </c>
      <c r="B20" s="567">
        <v>0</v>
      </c>
      <c r="C20" s="31"/>
    </row>
    <row r="21" spans="1:3" s="1" customFormat="1" ht="18" x14ac:dyDescent="0.35">
      <c r="A21" s="208" t="s">
        <v>118</v>
      </c>
      <c r="B21" s="567">
        <v>0</v>
      </c>
      <c r="C21" s="31"/>
    </row>
    <row r="22" spans="1:3" s="1" customFormat="1" ht="18" x14ac:dyDescent="0.35">
      <c r="A22" s="90" t="s">
        <v>102</v>
      </c>
      <c r="B22" s="567">
        <v>0</v>
      </c>
      <c r="C22" s="31"/>
    </row>
    <row r="23" spans="1:3" s="1" customFormat="1" ht="18" x14ac:dyDescent="0.35">
      <c r="A23" s="90" t="s">
        <v>22</v>
      </c>
      <c r="B23" s="567">
        <v>0</v>
      </c>
      <c r="C23" s="31"/>
    </row>
    <row r="24" spans="1:3" s="1" customFormat="1" ht="18" x14ac:dyDescent="0.35">
      <c r="A24" s="90" t="s">
        <v>13</v>
      </c>
      <c r="B24" s="567">
        <v>0</v>
      </c>
      <c r="C24" s="31"/>
    </row>
    <row r="25" spans="1:3" s="1" customFormat="1" ht="18" x14ac:dyDescent="0.35">
      <c r="A25" s="90" t="s">
        <v>6</v>
      </c>
      <c r="B25" s="567">
        <v>0</v>
      </c>
      <c r="C25" s="31"/>
    </row>
    <row r="26" spans="1:3" s="1" customFormat="1" ht="18" x14ac:dyDescent="0.35">
      <c r="A26" s="90" t="s">
        <v>16</v>
      </c>
      <c r="B26" s="567">
        <v>0</v>
      </c>
      <c r="C26" s="31"/>
    </row>
    <row r="27" spans="1:3" s="1" customFormat="1" ht="18" x14ac:dyDescent="0.35">
      <c r="A27" s="208" t="s">
        <v>119</v>
      </c>
      <c r="B27" s="567">
        <v>0</v>
      </c>
      <c r="C27" s="31"/>
    </row>
    <row r="28" spans="1:3" s="1" customFormat="1" ht="18" x14ac:dyDescent="0.35">
      <c r="A28" s="208" t="s">
        <v>23</v>
      </c>
      <c r="B28" s="567">
        <v>0</v>
      </c>
      <c r="C28" s="31"/>
    </row>
    <row r="29" spans="1:3" s="1" customFormat="1" ht="18" x14ac:dyDescent="0.35">
      <c r="A29" s="208" t="s">
        <v>425</v>
      </c>
      <c r="B29" s="567">
        <v>0</v>
      </c>
      <c r="C29" s="31"/>
    </row>
    <row r="30" spans="1:3" s="1" customFormat="1" ht="18" x14ac:dyDescent="0.35">
      <c r="A30" s="208" t="s">
        <v>120</v>
      </c>
      <c r="B30" s="567">
        <v>0</v>
      </c>
      <c r="C30" s="31"/>
    </row>
    <row r="31" spans="1:3" s="1" customFormat="1" ht="18" x14ac:dyDescent="0.35">
      <c r="A31" s="208" t="s">
        <v>113</v>
      </c>
      <c r="B31" s="567">
        <v>0</v>
      </c>
      <c r="C31" s="31"/>
    </row>
    <row r="32" spans="1:3" s="1" customFormat="1" ht="18" x14ac:dyDescent="0.35">
      <c r="A32" s="208" t="s">
        <v>114</v>
      </c>
      <c r="B32" s="567">
        <v>0</v>
      </c>
      <c r="C32" s="31"/>
    </row>
    <row r="33" spans="1:3" s="1" customFormat="1" ht="18" x14ac:dyDescent="0.35">
      <c r="A33" s="208" t="s">
        <v>121</v>
      </c>
      <c r="B33" s="567">
        <v>0</v>
      </c>
      <c r="C33" s="31"/>
    </row>
    <row r="34" spans="1:3" s="1" customFormat="1" ht="18" x14ac:dyDescent="0.35">
      <c r="A34" s="208" t="s">
        <v>308</v>
      </c>
      <c r="B34" s="567">
        <v>0</v>
      </c>
      <c r="C34" s="31"/>
    </row>
    <row r="35" spans="1:3" s="1" customFormat="1" ht="18" x14ac:dyDescent="0.35">
      <c r="A35" s="208" t="s">
        <v>290</v>
      </c>
      <c r="B35" s="567">
        <v>0</v>
      </c>
      <c r="C35" s="31"/>
    </row>
    <row r="36" spans="1:3" s="1" customFormat="1" ht="18" x14ac:dyDescent="0.35">
      <c r="A36" s="208" t="s">
        <v>442</v>
      </c>
      <c r="B36" s="567">
        <v>0</v>
      </c>
      <c r="C36" s="31"/>
    </row>
    <row r="37" spans="1:3" s="1" customFormat="1" ht="18" x14ac:dyDescent="0.35">
      <c r="A37" s="90" t="s">
        <v>98</v>
      </c>
      <c r="B37" s="567">
        <v>0</v>
      </c>
      <c r="C37" s="31"/>
    </row>
    <row r="38" spans="1:3" s="1" customFormat="1" ht="18" x14ac:dyDescent="0.35">
      <c r="A38" s="91" t="s">
        <v>110</v>
      </c>
      <c r="B38" s="567">
        <v>0</v>
      </c>
      <c r="C38" s="31"/>
    </row>
    <row r="39" spans="1:3" s="1" customFormat="1" ht="18" x14ac:dyDescent="0.35">
      <c r="A39" s="90" t="s">
        <v>95</v>
      </c>
      <c r="B39" s="567">
        <v>0</v>
      </c>
      <c r="C39" s="31"/>
    </row>
    <row r="40" spans="1:3" s="1" customFormat="1" ht="18" x14ac:dyDescent="0.35">
      <c r="A40" s="208" t="s">
        <v>122</v>
      </c>
      <c r="B40" s="567">
        <v>0</v>
      </c>
      <c r="C40" s="31"/>
    </row>
    <row r="41" spans="1:3" s="1" customFormat="1" ht="18" x14ac:dyDescent="0.35">
      <c r="A41" s="90" t="s">
        <v>103</v>
      </c>
      <c r="B41" s="567">
        <v>0</v>
      </c>
      <c r="C41" s="31"/>
    </row>
    <row r="42" spans="1:3" s="1" customFormat="1" ht="18" x14ac:dyDescent="0.35">
      <c r="A42" s="90" t="s">
        <v>309</v>
      </c>
      <c r="B42" s="567">
        <v>0</v>
      </c>
      <c r="C42" s="31"/>
    </row>
    <row r="43" spans="1:3" s="1" customFormat="1" ht="18" x14ac:dyDescent="0.35">
      <c r="A43" s="208" t="s">
        <v>123</v>
      </c>
      <c r="B43" s="567">
        <v>0</v>
      </c>
      <c r="C43" s="31"/>
    </row>
    <row r="44" spans="1:3" s="1" customFormat="1" ht="18" x14ac:dyDescent="0.35">
      <c r="A44" s="208" t="s">
        <v>294</v>
      </c>
      <c r="B44" s="567">
        <v>0</v>
      </c>
      <c r="C44" s="31"/>
    </row>
    <row r="45" spans="1:3" s="1" customFormat="1" ht="18" x14ac:dyDescent="0.35">
      <c r="A45" s="90" t="s">
        <v>7</v>
      </c>
      <c r="B45" s="567">
        <v>0</v>
      </c>
      <c r="C45" s="31"/>
    </row>
    <row r="46" spans="1:3" s="1" customFormat="1" ht="18" x14ac:dyDescent="0.35">
      <c r="A46" s="208" t="s">
        <v>124</v>
      </c>
      <c r="B46" s="566">
        <v>4</v>
      </c>
      <c r="C46" s="31"/>
    </row>
    <row r="47" spans="1:3" s="1" customFormat="1" ht="18" x14ac:dyDescent="0.35">
      <c r="A47" s="208" t="s">
        <v>125</v>
      </c>
      <c r="B47" s="567">
        <v>0</v>
      </c>
      <c r="C47" s="31"/>
    </row>
    <row r="48" spans="1:3" s="1" customFormat="1" ht="18" x14ac:dyDescent="0.35">
      <c r="A48" s="208" t="s">
        <v>447</v>
      </c>
      <c r="B48" s="567">
        <v>0</v>
      </c>
      <c r="C48" s="31"/>
    </row>
    <row r="49" spans="1:3" s="1" customFormat="1" ht="18" x14ac:dyDescent="0.35">
      <c r="A49" s="208" t="s">
        <v>11</v>
      </c>
      <c r="B49" s="567">
        <v>0</v>
      </c>
      <c r="C49" s="31"/>
    </row>
    <row r="50" spans="1:3" s="1" customFormat="1" ht="18" x14ac:dyDescent="0.35">
      <c r="A50" s="208" t="s">
        <v>20</v>
      </c>
      <c r="B50" s="567">
        <v>0</v>
      </c>
      <c r="C50" s="31"/>
    </row>
    <row r="51" spans="1:3" s="1" customFormat="1" ht="18" x14ac:dyDescent="0.35">
      <c r="A51" s="208" t="s">
        <v>448</v>
      </c>
      <c r="B51" s="567">
        <v>0</v>
      </c>
      <c r="C51" s="31"/>
    </row>
    <row r="52" spans="1:3" s="1" customFormat="1" ht="18" x14ac:dyDescent="0.35">
      <c r="A52" s="208" t="s">
        <v>449</v>
      </c>
      <c r="B52" s="567">
        <v>0</v>
      </c>
      <c r="C52" s="31"/>
    </row>
    <row r="53" spans="1:3" s="1" customFormat="1" ht="18" x14ac:dyDescent="0.35">
      <c r="A53" s="208" t="s">
        <v>421</v>
      </c>
      <c r="B53" s="567">
        <v>0</v>
      </c>
      <c r="C53" s="31"/>
    </row>
    <row r="54" spans="1:3" s="1" customFormat="1" ht="18" x14ac:dyDescent="0.35">
      <c r="A54" s="91" t="s">
        <v>100</v>
      </c>
      <c r="B54" s="567">
        <v>0</v>
      </c>
      <c r="C54" s="31"/>
    </row>
    <row r="55" spans="1:3" s="1" customFormat="1" ht="18" x14ac:dyDescent="0.35">
      <c r="A55" s="208" t="s">
        <v>15</v>
      </c>
      <c r="B55" s="567">
        <v>0</v>
      </c>
      <c r="C55" s="31"/>
    </row>
    <row r="56" spans="1:3" s="1" customFormat="1" ht="18" x14ac:dyDescent="0.35">
      <c r="A56" s="208" t="s">
        <v>176</v>
      </c>
      <c r="B56" s="567">
        <v>0</v>
      </c>
      <c r="C56" s="31"/>
    </row>
    <row r="57" spans="1:3" s="1" customFormat="1" ht="18" x14ac:dyDescent="0.35">
      <c r="A57" s="208" t="s">
        <v>126</v>
      </c>
      <c r="B57" s="567">
        <v>0</v>
      </c>
      <c r="C57" s="31"/>
    </row>
    <row r="58" spans="1:3" s="1" customFormat="1" ht="18" x14ac:dyDescent="0.35">
      <c r="A58" s="90" t="s">
        <v>96</v>
      </c>
      <c r="B58" s="567">
        <v>0</v>
      </c>
      <c r="C58" s="31"/>
    </row>
    <row r="59" spans="1:3" s="1" customFormat="1" ht="18" x14ac:dyDescent="0.35">
      <c r="A59" s="90" t="s">
        <v>450</v>
      </c>
      <c r="B59" s="567">
        <v>0</v>
      </c>
      <c r="C59" s="31"/>
    </row>
    <row r="60" spans="1:3" s="1" customFormat="1" ht="18" x14ac:dyDescent="0.35">
      <c r="A60" s="208" t="s">
        <v>127</v>
      </c>
      <c r="B60" s="567">
        <v>0</v>
      </c>
      <c r="C60" s="31"/>
    </row>
    <row r="61" spans="1:3" s="1" customFormat="1" ht="18" x14ac:dyDescent="0.35">
      <c r="A61" s="208" t="s">
        <v>178</v>
      </c>
      <c r="B61" s="567">
        <v>0</v>
      </c>
      <c r="C61" s="31"/>
    </row>
    <row r="62" spans="1:3" s="1" customFormat="1" ht="18" x14ac:dyDescent="0.35">
      <c r="A62" s="208" t="s">
        <v>128</v>
      </c>
      <c r="B62" s="567">
        <v>0</v>
      </c>
      <c r="C62" s="31"/>
    </row>
    <row r="63" spans="1:3" s="1" customFormat="1" ht="18" x14ac:dyDescent="0.35">
      <c r="A63" s="90" t="s">
        <v>18</v>
      </c>
      <c r="B63" s="567">
        <v>0</v>
      </c>
      <c r="C63" s="31"/>
    </row>
    <row r="64" spans="1:3" s="1" customFormat="1" ht="18" x14ac:dyDescent="0.35">
      <c r="A64" s="208" t="s">
        <v>129</v>
      </c>
      <c r="B64" s="567">
        <v>0</v>
      </c>
      <c r="C64" s="31"/>
    </row>
    <row r="65" spans="1:3" s="1" customFormat="1" ht="18" x14ac:dyDescent="0.35">
      <c r="A65" s="208" t="s">
        <v>451</v>
      </c>
      <c r="B65" s="567">
        <v>0</v>
      </c>
      <c r="C65" s="31"/>
    </row>
    <row r="66" spans="1:3" s="1" customFormat="1" ht="18" x14ac:dyDescent="0.35">
      <c r="A66" s="208" t="s">
        <v>291</v>
      </c>
      <c r="B66" s="567">
        <v>0</v>
      </c>
      <c r="C66" s="31"/>
    </row>
    <row r="67" spans="1:3" s="1" customFormat="1" ht="18" x14ac:dyDescent="0.35">
      <c r="A67" s="208" t="s">
        <v>335</v>
      </c>
      <c r="B67" s="567">
        <v>0</v>
      </c>
      <c r="C67" s="31"/>
    </row>
    <row r="68" spans="1:3" s="1" customFormat="1" ht="18" x14ac:dyDescent="0.35">
      <c r="A68" s="90" t="s">
        <v>111</v>
      </c>
      <c r="B68" s="567">
        <v>0</v>
      </c>
      <c r="C68" s="31"/>
    </row>
    <row r="69" spans="1:3" s="1" customFormat="1" ht="18" x14ac:dyDescent="0.35">
      <c r="A69" s="90" t="s">
        <v>179</v>
      </c>
      <c r="B69" s="566">
        <v>6</v>
      </c>
      <c r="C69" s="31"/>
    </row>
    <row r="70" spans="1:3" s="1" customFormat="1" ht="18" x14ac:dyDescent="0.35">
      <c r="A70" s="1270" t="s">
        <v>454</v>
      </c>
      <c r="B70" s="567">
        <v>0</v>
      </c>
      <c r="C70" s="31"/>
    </row>
    <row r="71" spans="1:3" s="1" customFormat="1" ht="18.600000000000001" thickBot="1" x14ac:dyDescent="0.4">
      <c r="A71" s="159" t="s">
        <v>180</v>
      </c>
      <c r="B71" s="567">
        <v>0</v>
      </c>
      <c r="C71" s="31"/>
    </row>
    <row r="72" spans="1:3" s="1" customFormat="1" ht="18" x14ac:dyDescent="0.35">
      <c r="A72" s="475"/>
      <c r="B72" s="189"/>
      <c r="C72" s="31"/>
    </row>
    <row r="73" spans="1:3" x14ac:dyDescent="0.3">
      <c r="A73" s="475"/>
      <c r="B73" s="189"/>
      <c r="C73" s="189"/>
    </row>
    <row r="74" spans="1:3" x14ac:dyDescent="0.3">
      <c r="A74" s="475"/>
      <c r="B74" s="189"/>
      <c r="C74" s="189"/>
    </row>
    <row r="75" spans="1:3" x14ac:dyDescent="0.3">
      <c r="A75" s="475"/>
      <c r="B75" s="189"/>
      <c r="C75" s="189"/>
    </row>
    <row r="76" spans="1:3" x14ac:dyDescent="0.3">
      <c r="A76" s="475"/>
      <c r="B76" s="189"/>
      <c r="C76" s="189"/>
    </row>
    <row r="77" spans="1:3" x14ac:dyDescent="0.3">
      <c r="A77" s="475"/>
      <c r="B77" s="189"/>
      <c r="C77" s="189"/>
    </row>
    <row r="78" spans="1:3" x14ac:dyDescent="0.3">
      <c r="C78" s="189"/>
    </row>
  </sheetData>
  <sortState ref="A6:B62">
    <sortCondition descending="1" ref="B6"/>
  </sortState>
  <conditionalFormatting sqref="B7:B71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N98"/>
  <sheetViews>
    <sheetView zoomScale="90" zoomScaleNormal="90" workbookViewId="0">
      <selection activeCell="A4" sqref="A4"/>
    </sheetView>
  </sheetViews>
  <sheetFormatPr defaultColWidth="8.88671875" defaultRowHeight="15.6" x14ac:dyDescent="0.3"/>
  <cols>
    <col min="1" max="1" width="38" style="85" customWidth="1"/>
    <col min="2" max="3" width="13.33203125" style="24" customWidth="1"/>
    <col min="4" max="5" width="13.33203125" style="80" customWidth="1"/>
    <col min="6" max="6" width="13.33203125" style="81" customWidth="1"/>
    <col min="7" max="7" width="4.88671875" style="24" customWidth="1"/>
    <col min="8" max="8" width="7.33203125" style="81" customWidth="1"/>
    <col min="9" max="9" width="120.44140625" style="81" customWidth="1"/>
    <col min="10" max="10" width="5" style="81" customWidth="1"/>
    <col min="11" max="16384" width="8.88671875" style="81"/>
  </cols>
  <sheetData>
    <row r="1" spans="1:14" ht="21" x14ac:dyDescent="0.4">
      <c r="A1" s="568" t="s">
        <v>141</v>
      </c>
      <c r="B1" s="479"/>
      <c r="C1" s="479"/>
      <c r="D1" s="569"/>
      <c r="E1" s="569"/>
      <c r="F1" s="570"/>
      <c r="G1" s="479"/>
      <c r="H1" s="570"/>
      <c r="I1" s="571"/>
      <c r="J1" s="570"/>
      <c r="K1" s="570"/>
      <c r="L1" s="570"/>
      <c r="M1" s="570"/>
      <c r="N1" s="570"/>
    </row>
    <row r="2" spans="1:14" ht="18" x14ac:dyDescent="0.35">
      <c r="A2" s="572" t="s">
        <v>358</v>
      </c>
      <c r="B2" s="479"/>
      <c r="C2" s="574"/>
      <c r="D2" s="573"/>
      <c r="E2" s="573"/>
      <c r="F2" s="31"/>
      <c r="G2" s="479"/>
      <c r="H2" s="570"/>
      <c r="I2" s="570"/>
      <c r="J2" s="570"/>
      <c r="K2" s="570"/>
      <c r="L2" s="570"/>
      <c r="M2" s="570"/>
      <c r="N2" s="570"/>
    </row>
    <row r="3" spans="1:14" ht="18" x14ac:dyDescent="0.35">
      <c r="A3" s="575" t="s">
        <v>473</v>
      </c>
      <c r="B3" s="479"/>
      <c r="C3" s="574"/>
      <c r="D3" s="573"/>
      <c r="E3" s="573"/>
      <c r="F3" s="31"/>
      <c r="G3" s="479"/>
      <c r="H3" s="570"/>
      <c r="I3" s="570"/>
      <c r="J3" s="570"/>
      <c r="K3" s="570"/>
      <c r="L3" s="570"/>
      <c r="M3" s="570"/>
      <c r="N3" s="570"/>
    </row>
    <row r="4" spans="1:14" ht="18" x14ac:dyDescent="0.35">
      <c r="A4" s="1207"/>
      <c r="B4" s="1209"/>
      <c r="C4" s="1209"/>
      <c r="D4" s="1213" t="s">
        <v>423</v>
      </c>
      <c r="E4" s="1214"/>
      <c r="F4" s="630"/>
      <c r="G4" s="479"/>
      <c r="H4" s="570"/>
      <c r="I4" s="570"/>
      <c r="J4" s="570"/>
      <c r="K4" s="570"/>
      <c r="L4" s="570"/>
      <c r="M4" s="570"/>
      <c r="N4" s="570"/>
    </row>
    <row r="5" spans="1:14" ht="18" x14ac:dyDescent="0.35">
      <c r="A5" s="1207"/>
      <c r="B5" s="1210" t="s">
        <v>55</v>
      </c>
      <c r="C5" s="1210" t="s">
        <v>80</v>
      </c>
      <c r="D5" s="1213" t="s">
        <v>422</v>
      </c>
      <c r="E5" s="1213" t="s">
        <v>424</v>
      </c>
      <c r="F5" s="214"/>
      <c r="G5" s="479"/>
      <c r="H5" s="570"/>
      <c r="I5" s="570"/>
      <c r="J5" s="570"/>
      <c r="K5" s="570"/>
      <c r="L5" s="570"/>
      <c r="M5" s="570"/>
      <c r="N5" s="570"/>
    </row>
    <row r="6" spans="1:14" ht="18.600000000000001" thickBot="1" x14ac:dyDescent="0.4">
      <c r="A6" s="1208" t="s">
        <v>4</v>
      </c>
      <c r="B6" s="1211" t="s">
        <v>3</v>
      </c>
      <c r="C6" s="1212" t="s">
        <v>2</v>
      </c>
      <c r="D6" s="914" t="s">
        <v>359</v>
      </c>
      <c r="E6" s="914" t="s">
        <v>360</v>
      </c>
      <c r="F6" s="37" t="s">
        <v>81</v>
      </c>
      <c r="G6" s="479"/>
      <c r="J6" s="570"/>
      <c r="K6" s="570"/>
      <c r="L6" s="570"/>
      <c r="M6" s="570"/>
      <c r="N6" s="570"/>
    </row>
    <row r="7" spans="1:14" ht="18" x14ac:dyDescent="0.35">
      <c r="A7" s="158" t="s">
        <v>10</v>
      </c>
      <c r="B7" s="241">
        <f t="shared" ref="B7:B40" si="0">RANK(C7,C$7:C$71,0)</f>
        <v>59</v>
      </c>
      <c r="C7" s="894">
        <v>1</v>
      </c>
      <c r="D7" s="660">
        <v>0.87</v>
      </c>
      <c r="E7" s="909">
        <v>0.25</v>
      </c>
      <c r="F7" s="1360">
        <v>1.21</v>
      </c>
      <c r="G7" s="1198"/>
      <c r="H7" s="1199"/>
      <c r="I7" s="1199"/>
      <c r="J7" s="1199"/>
      <c r="K7" s="1199"/>
      <c r="L7" s="1199"/>
      <c r="M7" s="1199"/>
      <c r="N7" s="1199"/>
    </row>
    <row r="8" spans="1:14" ht="18.600000000000001" thickBot="1" x14ac:dyDescent="0.4">
      <c r="A8" s="208" t="s">
        <v>174</v>
      </c>
      <c r="B8" s="241">
        <f t="shared" si="0"/>
        <v>49</v>
      </c>
      <c r="C8" s="895">
        <v>2</v>
      </c>
      <c r="D8" s="349">
        <v>0.64</v>
      </c>
      <c r="E8" s="910">
        <v>0.4</v>
      </c>
      <c r="F8" s="1361">
        <v>2.1</v>
      </c>
      <c r="G8" s="1198"/>
      <c r="H8" s="1199"/>
      <c r="I8" s="1199"/>
      <c r="J8" s="1199"/>
      <c r="K8" s="1199"/>
      <c r="L8" s="1199"/>
      <c r="M8" s="1199"/>
      <c r="N8" s="1199"/>
    </row>
    <row r="9" spans="1:14" ht="18" x14ac:dyDescent="0.35">
      <c r="A9" s="208" t="s">
        <v>115</v>
      </c>
      <c r="B9" s="241">
        <f t="shared" si="0"/>
        <v>10</v>
      </c>
      <c r="C9" s="895">
        <v>4</v>
      </c>
      <c r="D9" s="349"/>
      <c r="E9" s="911">
        <v>0.4</v>
      </c>
      <c r="F9" s="1362">
        <v>2.02</v>
      </c>
      <c r="G9" s="1198"/>
      <c r="H9" s="1199"/>
      <c r="I9" s="1199"/>
      <c r="J9" s="1199"/>
      <c r="K9" s="1199"/>
      <c r="L9" s="1199"/>
      <c r="M9" s="1199"/>
      <c r="N9" s="1199"/>
    </row>
    <row r="10" spans="1:14" ht="20.399999999999999" customHeight="1" x14ac:dyDescent="0.35">
      <c r="A10" s="208" t="s">
        <v>116</v>
      </c>
      <c r="B10" s="241">
        <f t="shared" si="0"/>
        <v>49</v>
      </c>
      <c r="C10" s="895">
        <v>2</v>
      </c>
      <c r="D10" s="349">
        <v>0.79</v>
      </c>
      <c r="E10" s="910">
        <v>0.4</v>
      </c>
      <c r="F10" s="1363">
        <v>1.99</v>
      </c>
      <c r="G10" s="1198"/>
      <c r="H10" s="1199"/>
      <c r="I10" s="1199"/>
      <c r="J10" s="1199"/>
      <c r="K10" s="1199"/>
      <c r="L10" s="1199"/>
      <c r="M10" s="1199"/>
      <c r="N10" s="1199"/>
    </row>
    <row r="11" spans="1:14" ht="20.399999999999999" customHeight="1" x14ac:dyDescent="0.35">
      <c r="A11" s="90" t="s">
        <v>5</v>
      </c>
      <c r="B11" s="241">
        <f t="shared" si="0"/>
        <v>10</v>
      </c>
      <c r="C11" s="895">
        <v>4</v>
      </c>
      <c r="D11" s="350">
        <v>0.43</v>
      </c>
      <c r="E11" s="910">
        <v>0.4</v>
      </c>
      <c r="F11" s="1363">
        <v>1.94</v>
      </c>
      <c r="G11" s="1198"/>
      <c r="H11" s="62"/>
      <c r="I11" s="62"/>
      <c r="J11" s="1199"/>
      <c r="K11" s="1199"/>
      <c r="L11" s="1199"/>
      <c r="M11" s="1199"/>
      <c r="N11" s="1199"/>
    </row>
    <row r="12" spans="1:14" ht="20.399999999999999" customHeight="1" x14ac:dyDescent="0.35">
      <c r="A12" s="208" t="s">
        <v>175</v>
      </c>
      <c r="B12" s="241">
        <f t="shared" si="0"/>
        <v>10</v>
      </c>
      <c r="C12" s="895">
        <v>4</v>
      </c>
      <c r="D12" s="349">
        <v>0.39</v>
      </c>
      <c r="E12" s="910">
        <v>0.4</v>
      </c>
      <c r="F12" s="1361">
        <v>2.08</v>
      </c>
      <c r="G12" s="1198"/>
      <c r="H12" s="1160"/>
      <c r="I12" s="62"/>
      <c r="J12" s="1199"/>
      <c r="K12" s="1199"/>
      <c r="L12" s="1199"/>
      <c r="M12" s="1199"/>
      <c r="N12" s="1199"/>
    </row>
    <row r="13" spans="1:14" ht="20.399999999999999" customHeight="1" x14ac:dyDescent="0.35">
      <c r="A13" s="208" t="s">
        <v>292</v>
      </c>
      <c r="B13" s="241">
        <f t="shared" si="0"/>
        <v>10</v>
      </c>
      <c r="C13" s="895">
        <v>4</v>
      </c>
      <c r="D13" s="349">
        <v>0.42</v>
      </c>
      <c r="E13" s="910">
        <v>0.4</v>
      </c>
      <c r="F13" s="1361">
        <v>2.0099999999999998</v>
      </c>
      <c r="G13" s="1198"/>
      <c r="H13" s="1200"/>
      <c r="I13" s="1201"/>
      <c r="J13" s="1199"/>
      <c r="K13" s="1199"/>
      <c r="L13" s="1199"/>
      <c r="M13" s="1199"/>
      <c r="N13" s="1199"/>
    </row>
    <row r="14" spans="1:14" ht="18" x14ac:dyDescent="0.35">
      <c r="A14" s="90" t="s">
        <v>104</v>
      </c>
      <c r="B14" s="241">
        <f t="shared" si="0"/>
        <v>28</v>
      </c>
      <c r="C14" s="895">
        <v>3</v>
      </c>
      <c r="D14" s="349">
        <v>0.49</v>
      </c>
      <c r="E14" s="910">
        <v>0.4</v>
      </c>
      <c r="F14" s="1363">
        <v>1.93</v>
      </c>
      <c r="G14" s="1198"/>
      <c r="H14" s="1200"/>
      <c r="I14" s="1201"/>
      <c r="J14" s="1199"/>
      <c r="K14" s="1199"/>
      <c r="L14" s="1199"/>
      <c r="M14" s="1199"/>
      <c r="N14" s="1199"/>
    </row>
    <row r="15" spans="1:14" ht="18" x14ac:dyDescent="0.35">
      <c r="A15" s="208" t="s">
        <v>117</v>
      </c>
      <c r="B15" s="241">
        <f t="shared" si="0"/>
        <v>10</v>
      </c>
      <c r="C15" s="895">
        <v>4</v>
      </c>
      <c r="D15" s="349">
        <v>0.43</v>
      </c>
      <c r="E15" s="910">
        <v>0.4</v>
      </c>
      <c r="F15" s="1363">
        <v>1.99</v>
      </c>
      <c r="G15" s="1198"/>
      <c r="H15" s="1200"/>
      <c r="I15" s="1201"/>
      <c r="J15" s="1199"/>
      <c r="K15" s="1199"/>
      <c r="L15" s="1199"/>
      <c r="M15" s="1199"/>
      <c r="N15" s="1199"/>
    </row>
    <row r="16" spans="1:14" ht="18" x14ac:dyDescent="0.35">
      <c r="A16" s="208" t="s">
        <v>9</v>
      </c>
      <c r="B16" s="241">
        <f t="shared" si="0"/>
        <v>28</v>
      </c>
      <c r="C16" s="895">
        <v>3</v>
      </c>
      <c r="D16" s="350">
        <v>0.6</v>
      </c>
      <c r="E16" s="910">
        <v>0.4</v>
      </c>
      <c r="F16" s="1364">
        <v>1.48</v>
      </c>
      <c r="G16" s="1198"/>
      <c r="H16" s="1200"/>
      <c r="I16" s="1201"/>
      <c r="J16" s="1199"/>
      <c r="K16" s="1199"/>
      <c r="L16" s="1199"/>
      <c r="M16" s="1199"/>
      <c r="N16" s="1199"/>
    </row>
    <row r="17" spans="1:14" ht="18" x14ac:dyDescent="0.35">
      <c r="A17" s="90" t="s">
        <v>99</v>
      </c>
      <c r="B17" s="241">
        <f t="shared" si="0"/>
        <v>28</v>
      </c>
      <c r="C17" s="897">
        <v>3</v>
      </c>
      <c r="D17" s="893">
        <v>0.54</v>
      </c>
      <c r="E17" s="910">
        <v>0.4</v>
      </c>
      <c r="F17" s="1365">
        <v>1.41</v>
      </c>
      <c r="G17" s="1198"/>
      <c r="H17" s="62"/>
      <c r="I17" s="62"/>
      <c r="J17" s="1199"/>
      <c r="K17" s="1199"/>
      <c r="L17" s="1199"/>
      <c r="M17" s="1199"/>
      <c r="N17" s="1199"/>
    </row>
    <row r="18" spans="1:14" ht="18" x14ac:dyDescent="0.35">
      <c r="A18" s="90" t="s">
        <v>14</v>
      </c>
      <c r="B18" s="241">
        <f t="shared" si="0"/>
        <v>28</v>
      </c>
      <c r="C18" s="895">
        <v>3</v>
      </c>
      <c r="D18" s="349">
        <v>0.56999999999999995</v>
      </c>
      <c r="E18" s="910">
        <v>0.4</v>
      </c>
      <c r="F18" s="1361">
        <v>2.0099999999999998</v>
      </c>
      <c r="G18" s="1198"/>
      <c r="H18" s="62"/>
      <c r="I18" s="62"/>
      <c r="J18" s="1199"/>
      <c r="K18" s="1199"/>
      <c r="L18" s="1199"/>
      <c r="M18" s="1199"/>
      <c r="N18" s="1199"/>
    </row>
    <row r="19" spans="1:14" ht="18" x14ac:dyDescent="0.35">
      <c r="A19" s="90" t="s">
        <v>109</v>
      </c>
      <c r="B19" s="241">
        <f t="shared" si="0"/>
        <v>49</v>
      </c>
      <c r="C19" s="897">
        <v>2</v>
      </c>
      <c r="D19" s="893">
        <v>0.69</v>
      </c>
      <c r="E19" s="910">
        <v>0.4</v>
      </c>
      <c r="F19" s="1365">
        <v>1.35</v>
      </c>
      <c r="G19" s="1198"/>
      <c r="H19" s="1199"/>
      <c r="I19" s="1199"/>
      <c r="J19" s="1199"/>
      <c r="K19" s="1199"/>
      <c r="L19" s="1199"/>
      <c r="M19" s="1199"/>
      <c r="N19" s="1199"/>
    </row>
    <row r="20" spans="1:14" ht="18" customHeight="1" x14ac:dyDescent="0.35">
      <c r="A20" s="208" t="s">
        <v>112</v>
      </c>
      <c r="B20" s="241">
        <f t="shared" si="0"/>
        <v>28</v>
      </c>
      <c r="C20" s="895">
        <v>3</v>
      </c>
      <c r="D20" s="350">
        <v>0.46</v>
      </c>
      <c r="E20" s="910">
        <v>0.4</v>
      </c>
      <c r="F20" s="1361">
        <v>2.23</v>
      </c>
      <c r="G20" s="1198"/>
      <c r="H20" s="62"/>
      <c r="I20" s="62"/>
      <c r="J20" s="1199"/>
      <c r="K20" s="1199"/>
      <c r="L20" s="1199"/>
      <c r="M20" s="1199"/>
      <c r="N20" s="1199"/>
    </row>
    <row r="21" spans="1:14" ht="20.399999999999999" customHeight="1" x14ac:dyDescent="0.35">
      <c r="A21" s="208" t="s">
        <v>118</v>
      </c>
      <c r="B21" s="241">
        <f t="shared" si="0"/>
        <v>6</v>
      </c>
      <c r="C21" s="895">
        <v>5</v>
      </c>
      <c r="D21" s="349">
        <v>0.34160293309992001</v>
      </c>
      <c r="E21" s="912">
        <v>0.4</v>
      </c>
      <c r="F21" s="1361">
        <v>2.27</v>
      </c>
      <c r="G21" s="1198"/>
      <c r="H21" s="62"/>
      <c r="I21" s="62"/>
      <c r="J21" s="1199"/>
      <c r="K21" s="1199"/>
      <c r="L21" s="1199"/>
      <c r="M21" s="1199"/>
      <c r="N21" s="1199"/>
    </row>
    <row r="22" spans="1:14" ht="18" x14ac:dyDescent="0.35">
      <c r="A22" s="90" t="s">
        <v>102</v>
      </c>
      <c r="B22" s="241">
        <f t="shared" si="0"/>
        <v>28</v>
      </c>
      <c r="C22" s="895">
        <v>3</v>
      </c>
      <c r="D22" s="351">
        <v>0.56999999999999995</v>
      </c>
      <c r="E22" s="910">
        <v>0.4</v>
      </c>
      <c r="F22" s="1361">
        <v>2.13</v>
      </c>
      <c r="G22" s="1198"/>
      <c r="H22" s="62"/>
      <c r="I22" s="1205"/>
      <c r="J22" s="1199"/>
      <c r="K22" s="1199"/>
      <c r="L22" s="1199"/>
      <c r="M22" s="1199"/>
      <c r="N22" s="1199"/>
    </row>
    <row r="23" spans="1:14" ht="18" x14ac:dyDescent="0.35">
      <c r="A23" s="90" t="s">
        <v>22</v>
      </c>
      <c r="B23" s="241">
        <f t="shared" si="0"/>
        <v>28</v>
      </c>
      <c r="C23" s="895">
        <v>3</v>
      </c>
      <c r="D23" s="351"/>
      <c r="E23" s="910">
        <v>0.25</v>
      </c>
      <c r="F23" s="1361">
        <v>1.23</v>
      </c>
      <c r="G23" s="1198"/>
      <c r="H23" s="62"/>
      <c r="I23" s="1205"/>
      <c r="J23" s="1199"/>
      <c r="K23" s="1199"/>
      <c r="L23" s="1199"/>
      <c r="M23" s="1199"/>
      <c r="N23" s="1199"/>
    </row>
    <row r="24" spans="1:14" ht="18" x14ac:dyDescent="0.35">
      <c r="A24" s="90" t="s">
        <v>13</v>
      </c>
      <c r="B24" s="241">
        <f t="shared" si="0"/>
        <v>10</v>
      </c>
      <c r="C24" s="895">
        <v>4</v>
      </c>
      <c r="D24" s="349">
        <v>0.4</v>
      </c>
      <c r="E24" s="910">
        <v>0.4</v>
      </c>
      <c r="F24" s="1363">
        <v>1.92</v>
      </c>
      <c r="G24" s="1198"/>
      <c r="H24" s="1202"/>
      <c r="I24" s="1203"/>
      <c r="J24" s="1199"/>
      <c r="K24" s="1199"/>
      <c r="L24" s="1199"/>
      <c r="M24" s="1199"/>
      <c r="N24" s="1199"/>
    </row>
    <row r="25" spans="1:14" ht="18" x14ac:dyDescent="0.35">
      <c r="A25" s="90" t="s">
        <v>6</v>
      </c>
      <c r="B25" s="241">
        <f t="shared" si="0"/>
        <v>59</v>
      </c>
      <c r="C25" s="895">
        <v>1</v>
      </c>
      <c r="D25" s="349">
        <v>0.78914884211242198</v>
      </c>
      <c r="E25" s="910">
        <v>0.25</v>
      </c>
      <c r="F25" s="1366">
        <v>1.54</v>
      </c>
      <c r="G25" s="1198"/>
      <c r="H25" s="1199"/>
      <c r="I25" s="1199"/>
      <c r="J25" s="1199"/>
      <c r="K25" s="1199"/>
      <c r="L25" s="1199"/>
      <c r="M25" s="1199"/>
      <c r="N25" s="1199"/>
    </row>
    <row r="26" spans="1:14" ht="18" x14ac:dyDescent="0.35">
      <c r="A26" s="90" t="s">
        <v>16</v>
      </c>
      <c r="B26" s="241">
        <f t="shared" si="0"/>
        <v>59</v>
      </c>
      <c r="C26" s="895">
        <v>1</v>
      </c>
      <c r="D26" s="349">
        <v>0.88</v>
      </c>
      <c r="E26" s="910">
        <v>0.25</v>
      </c>
      <c r="F26" s="1364">
        <v>1.19</v>
      </c>
      <c r="G26" s="1198"/>
      <c r="H26" s="1199"/>
      <c r="I26" s="1199"/>
      <c r="J26" s="1199"/>
      <c r="K26" s="1199"/>
      <c r="L26" s="1199"/>
      <c r="M26" s="1199"/>
      <c r="N26" s="1199"/>
    </row>
    <row r="27" spans="1:14" ht="18" x14ac:dyDescent="0.35">
      <c r="A27" s="208" t="s">
        <v>119</v>
      </c>
      <c r="B27" s="241">
        <f t="shared" si="0"/>
        <v>10</v>
      </c>
      <c r="C27" s="897">
        <v>4</v>
      </c>
      <c r="D27" s="893"/>
      <c r="E27" s="910">
        <v>0.4</v>
      </c>
      <c r="F27" s="1367">
        <v>1.97</v>
      </c>
      <c r="G27" s="1198"/>
      <c r="H27" s="1202"/>
      <c r="I27" s="1201"/>
      <c r="J27" s="1199"/>
      <c r="K27" s="1199"/>
      <c r="L27" s="1199"/>
      <c r="M27" s="1199"/>
      <c r="N27" s="1199"/>
    </row>
    <row r="28" spans="1:14" ht="18" x14ac:dyDescent="0.35">
      <c r="A28" s="208" t="s">
        <v>23</v>
      </c>
      <c r="B28" s="241">
        <f t="shared" si="0"/>
        <v>28</v>
      </c>
      <c r="C28" s="895">
        <v>3</v>
      </c>
      <c r="D28" s="349"/>
      <c r="E28" s="910">
        <v>0.25</v>
      </c>
      <c r="F28" s="1364">
        <v>1.03</v>
      </c>
      <c r="G28" s="1198"/>
      <c r="H28" s="62"/>
      <c r="I28" s="62"/>
      <c r="J28" s="1199"/>
      <c r="K28" s="1199"/>
      <c r="L28" s="1199"/>
      <c r="M28" s="1199"/>
      <c r="N28" s="1199"/>
    </row>
    <row r="29" spans="1:14" ht="18" x14ac:dyDescent="0.35">
      <c r="A29" s="208" t="s">
        <v>425</v>
      </c>
      <c r="B29" s="241">
        <f t="shared" si="0"/>
        <v>10</v>
      </c>
      <c r="C29" s="895">
        <v>4</v>
      </c>
      <c r="D29" s="349">
        <v>0.44</v>
      </c>
      <c r="E29" s="910">
        <v>0.4</v>
      </c>
      <c r="F29" s="1364">
        <v>1.73</v>
      </c>
      <c r="G29" s="1198"/>
      <c r="H29" s="1202"/>
      <c r="I29" s="1204"/>
      <c r="J29" s="1199"/>
      <c r="K29" s="1199"/>
      <c r="L29" s="1199"/>
      <c r="M29" s="1199"/>
      <c r="N29" s="1199"/>
    </row>
    <row r="30" spans="1:14" ht="18" x14ac:dyDescent="0.35">
      <c r="A30" s="208" t="s">
        <v>120</v>
      </c>
      <c r="B30" s="241">
        <f t="shared" si="0"/>
        <v>10</v>
      </c>
      <c r="C30" s="895">
        <v>4</v>
      </c>
      <c r="D30" s="349"/>
      <c r="E30" s="910"/>
      <c r="F30" s="1363">
        <v>1.89</v>
      </c>
      <c r="G30" s="1198"/>
      <c r="H30" s="1202"/>
      <c r="I30" s="1201"/>
      <c r="J30" s="1199"/>
      <c r="K30" s="1199"/>
      <c r="L30" s="1199"/>
      <c r="M30" s="1199"/>
      <c r="N30" s="1199"/>
    </row>
    <row r="31" spans="1:14" ht="18" customHeight="1" x14ac:dyDescent="0.35">
      <c r="A31" s="208" t="s">
        <v>113</v>
      </c>
      <c r="B31" s="241">
        <f t="shared" si="0"/>
        <v>6</v>
      </c>
      <c r="C31" s="896">
        <v>5</v>
      </c>
      <c r="D31" s="349">
        <v>0.35</v>
      </c>
      <c r="E31" s="910">
        <v>0.4</v>
      </c>
      <c r="F31" s="1368">
        <v>1.98</v>
      </c>
      <c r="G31" s="1198"/>
      <c r="H31" s="62"/>
      <c r="I31" s="62"/>
      <c r="J31" s="1199"/>
      <c r="K31" s="1199"/>
      <c r="L31" s="1199"/>
      <c r="M31" s="1199"/>
      <c r="N31" s="1199"/>
    </row>
    <row r="32" spans="1:14" ht="20.399999999999999" customHeight="1" x14ac:dyDescent="0.35">
      <c r="A32" s="208" t="s">
        <v>114</v>
      </c>
      <c r="B32" s="241">
        <f t="shared" si="0"/>
        <v>59</v>
      </c>
      <c r="C32" s="895">
        <v>1</v>
      </c>
      <c r="D32" s="349">
        <v>0.81</v>
      </c>
      <c r="E32" s="910">
        <v>0.4</v>
      </c>
      <c r="F32" s="1363">
        <v>1.88</v>
      </c>
      <c r="G32" s="1198"/>
      <c r="H32" s="1199"/>
      <c r="I32" s="1199"/>
      <c r="J32" s="1199"/>
      <c r="K32" s="1199"/>
      <c r="L32" s="1199"/>
      <c r="M32" s="1199"/>
      <c r="N32" s="1199"/>
    </row>
    <row r="33" spans="1:14" ht="20.399999999999999" customHeight="1" x14ac:dyDescent="0.35">
      <c r="A33" s="208" t="s">
        <v>121</v>
      </c>
      <c r="B33" s="241">
        <f t="shared" si="0"/>
        <v>10</v>
      </c>
      <c r="C33" s="895">
        <v>4</v>
      </c>
      <c r="D33" s="349"/>
      <c r="E33" s="910">
        <v>0.4</v>
      </c>
      <c r="F33" s="1363">
        <v>1.97</v>
      </c>
      <c r="G33" s="1198"/>
      <c r="H33" s="1200"/>
      <c r="I33" s="1201"/>
      <c r="J33" s="1199"/>
      <c r="K33" s="1199"/>
      <c r="L33" s="1199"/>
      <c r="M33" s="1199"/>
      <c r="N33" s="1199"/>
    </row>
    <row r="34" spans="1:14" ht="18" x14ac:dyDescent="0.35">
      <c r="A34" s="208" t="s">
        <v>308</v>
      </c>
      <c r="B34" s="241">
        <f t="shared" si="0"/>
        <v>59</v>
      </c>
      <c r="C34" s="895">
        <v>1</v>
      </c>
      <c r="D34" s="349">
        <v>0.81</v>
      </c>
      <c r="E34" s="910">
        <v>0.4</v>
      </c>
      <c r="F34" s="1364">
        <v>1.56</v>
      </c>
      <c r="G34" s="1206"/>
      <c r="H34" s="1198"/>
      <c r="I34" s="1199"/>
      <c r="J34" s="1199"/>
      <c r="K34" s="1199"/>
      <c r="L34" s="1199"/>
      <c r="M34" s="1199"/>
      <c r="N34" s="1199"/>
    </row>
    <row r="35" spans="1:14" ht="18" x14ac:dyDescent="0.35">
      <c r="A35" s="208" t="s">
        <v>290</v>
      </c>
      <c r="B35" s="241">
        <f t="shared" si="0"/>
        <v>28</v>
      </c>
      <c r="C35" s="897">
        <v>3</v>
      </c>
      <c r="D35" s="893"/>
      <c r="E35" s="910">
        <v>0.4</v>
      </c>
      <c r="F35" s="1365">
        <v>1.59</v>
      </c>
      <c r="G35" s="1198"/>
      <c r="H35" s="62"/>
      <c r="I35" s="1205"/>
      <c r="J35" s="1199"/>
      <c r="K35" s="1199"/>
      <c r="L35" s="1199"/>
      <c r="M35" s="1199"/>
      <c r="N35" s="1199"/>
    </row>
    <row r="36" spans="1:14" ht="18" x14ac:dyDescent="0.35">
      <c r="A36" s="208" t="s">
        <v>442</v>
      </c>
      <c r="B36" s="241">
        <f t="shared" si="0"/>
        <v>2</v>
      </c>
      <c r="C36" s="897">
        <v>6</v>
      </c>
      <c r="D36" s="893"/>
      <c r="E36" s="910">
        <v>0.4</v>
      </c>
      <c r="F36" s="1365">
        <v>2</v>
      </c>
      <c r="G36" s="1198"/>
      <c r="H36" s="62"/>
      <c r="I36" s="1205"/>
      <c r="J36" s="1199"/>
      <c r="K36" s="1199"/>
      <c r="L36" s="1199"/>
      <c r="M36" s="1199"/>
      <c r="N36" s="1199"/>
    </row>
    <row r="37" spans="1:14" ht="18" x14ac:dyDescent="0.35">
      <c r="A37" s="90" t="s">
        <v>98</v>
      </c>
      <c r="B37" s="241">
        <f t="shared" si="0"/>
        <v>28</v>
      </c>
      <c r="C37" s="895">
        <v>3</v>
      </c>
      <c r="D37" s="349">
        <v>0.49136535224317401</v>
      </c>
      <c r="E37" s="910">
        <v>0.4</v>
      </c>
      <c r="F37" s="1364">
        <v>1.55</v>
      </c>
      <c r="G37" s="1198"/>
      <c r="H37" s="1199"/>
      <c r="I37" s="1199"/>
      <c r="J37" s="1199"/>
      <c r="K37" s="1199"/>
      <c r="L37" s="1199"/>
      <c r="M37" s="1199"/>
      <c r="N37" s="1199"/>
    </row>
    <row r="38" spans="1:14" ht="18" x14ac:dyDescent="0.35">
      <c r="A38" s="91" t="s">
        <v>110</v>
      </c>
      <c r="B38" s="241">
        <f t="shared" si="0"/>
        <v>28</v>
      </c>
      <c r="C38" s="895">
        <v>3</v>
      </c>
      <c r="D38" s="349">
        <v>0.56999999999999995</v>
      </c>
      <c r="E38" s="910">
        <v>0.4</v>
      </c>
      <c r="F38" s="1364">
        <v>1.68</v>
      </c>
      <c r="G38" s="1198"/>
      <c r="H38" s="1199"/>
      <c r="I38" s="1199"/>
      <c r="J38" s="1199"/>
      <c r="K38" s="1199"/>
      <c r="L38" s="1199"/>
      <c r="M38" s="1199"/>
      <c r="N38" s="1199"/>
    </row>
    <row r="39" spans="1:14" ht="18" x14ac:dyDescent="0.35">
      <c r="A39" s="90" t="s">
        <v>95</v>
      </c>
      <c r="B39" s="241">
        <f t="shared" si="0"/>
        <v>49</v>
      </c>
      <c r="C39" s="895">
        <v>2</v>
      </c>
      <c r="D39" s="349">
        <v>0.75</v>
      </c>
      <c r="E39" s="910">
        <v>0.4</v>
      </c>
      <c r="F39" s="1364">
        <v>1.53</v>
      </c>
      <c r="G39" s="1198"/>
      <c r="H39" s="1199"/>
      <c r="I39" s="1199"/>
      <c r="J39" s="1199"/>
      <c r="K39" s="1199"/>
      <c r="L39" s="1199"/>
      <c r="M39" s="1199"/>
      <c r="N39" s="1199"/>
    </row>
    <row r="40" spans="1:14" ht="18" x14ac:dyDescent="0.35">
      <c r="A40" s="208" t="s">
        <v>122</v>
      </c>
      <c r="B40" s="241">
        <f t="shared" si="0"/>
        <v>10</v>
      </c>
      <c r="C40" s="895">
        <v>4</v>
      </c>
      <c r="D40" s="349"/>
      <c r="E40" s="910">
        <v>0.4</v>
      </c>
      <c r="F40" s="1363">
        <v>1.87</v>
      </c>
      <c r="G40" s="1198"/>
      <c r="H40" s="1200"/>
      <c r="I40" s="1203"/>
      <c r="J40" s="1199"/>
      <c r="K40" s="1199"/>
      <c r="L40" s="1199"/>
      <c r="M40" s="1199"/>
      <c r="N40" s="1199"/>
    </row>
    <row r="41" spans="1:14" ht="18" x14ac:dyDescent="0.35">
      <c r="A41" s="90" t="s">
        <v>103</v>
      </c>
      <c r="B41" s="241">
        <f t="shared" ref="B41:B71" si="1">RANK(C41,C$7:C$71,0)</f>
        <v>28</v>
      </c>
      <c r="C41" s="895">
        <v>3</v>
      </c>
      <c r="D41" s="349"/>
      <c r="E41" s="910">
        <v>0.4</v>
      </c>
      <c r="F41" s="1364">
        <v>1.34</v>
      </c>
      <c r="G41" s="1198"/>
      <c r="H41" s="1199"/>
      <c r="I41" s="1199"/>
      <c r="J41" s="1199"/>
      <c r="K41" s="1199"/>
      <c r="L41" s="1199"/>
      <c r="M41" s="1199"/>
      <c r="N41" s="1199"/>
    </row>
    <row r="42" spans="1:14" ht="18" x14ac:dyDescent="0.35">
      <c r="A42" s="90" t="s">
        <v>309</v>
      </c>
      <c r="B42" s="241">
        <f t="shared" si="1"/>
        <v>49</v>
      </c>
      <c r="C42" s="897">
        <v>2</v>
      </c>
      <c r="D42" s="1197">
        <v>0.77</v>
      </c>
      <c r="E42" s="910">
        <v>0.4</v>
      </c>
      <c r="F42" s="1369">
        <v>1.69</v>
      </c>
      <c r="G42" s="1198"/>
      <c r="H42" s="1199"/>
      <c r="I42" s="1199"/>
      <c r="J42" s="1199"/>
      <c r="K42" s="1199"/>
      <c r="L42" s="1199"/>
      <c r="M42" s="1199"/>
      <c r="N42" s="1199"/>
    </row>
    <row r="43" spans="1:14" ht="18" x14ac:dyDescent="0.35">
      <c r="A43" s="208" t="s">
        <v>123</v>
      </c>
      <c r="B43" s="241">
        <f t="shared" si="1"/>
        <v>28</v>
      </c>
      <c r="C43" s="895">
        <v>3</v>
      </c>
      <c r="D43" s="349"/>
      <c r="E43" s="910">
        <v>0.25</v>
      </c>
      <c r="F43" s="1364">
        <v>1.25</v>
      </c>
      <c r="G43" s="1198"/>
      <c r="H43" s="1199"/>
      <c r="I43" s="1199"/>
      <c r="J43" s="1199"/>
      <c r="K43" s="1199"/>
      <c r="L43" s="1199"/>
      <c r="M43" s="1199"/>
      <c r="N43" s="1199"/>
    </row>
    <row r="44" spans="1:14" ht="18" x14ac:dyDescent="0.35">
      <c r="A44" s="208" t="s">
        <v>294</v>
      </c>
      <c r="B44" s="241">
        <f t="shared" si="1"/>
        <v>6</v>
      </c>
      <c r="C44" s="895">
        <v>5</v>
      </c>
      <c r="D44" s="349">
        <v>0.34383328873892799</v>
      </c>
      <c r="E44" s="910">
        <v>0.4</v>
      </c>
      <c r="F44" s="1361">
        <v>2.13</v>
      </c>
      <c r="G44" s="1198"/>
      <c r="H44" s="1199"/>
      <c r="I44" s="1199"/>
      <c r="J44" s="1199"/>
      <c r="K44" s="1199"/>
      <c r="L44" s="1199"/>
      <c r="M44" s="1199"/>
      <c r="N44" s="1199"/>
    </row>
    <row r="45" spans="1:14" ht="18" x14ac:dyDescent="0.35">
      <c r="A45" s="90" t="s">
        <v>7</v>
      </c>
      <c r="B45" s="241">
        <f t="shared" si="1"/>
        <v>49</v>
      </c>
      <c r="C45" s="895">
        <v>2</v>
      </c>
      <c r="D45" s="349">
        <v>0.39</v>
      </c>
      <c r="E45" s="910">
        <v>0.25</v>
      </c>
      <c r="F45" s="1370">
        <v>1.94</v>
      </c>
      <c r="G45" s="1198"/>
      <c r="H45" s="1199"/>
      <c r="I45" s="1199"/>
      <c r="J45" s="1199"/>
      <c r="K45" s="1199"/>
      <c r="L45" s="1199"/>
      <c r="M45" s="1199"/>
      <c r="N45" s="1199"/>
    </row>
    <row r="46" spans="1:14" ht="18" x14ac:dyDescent="0.35">
      <c r="A46" s="208" t="s">
        <v>124</v>
      </c>
      <c r="B46" s="241">
        <f t="shared" si="1"/>
        <v>1</v>
      </c>
      <c r="C46" s="895">
        <v>7</v>
      </c>
      <c r="D46" s="349">
        <v>0.25651947487157201</v>
      </c>
      <c r="E46" s="910">
        <v>0.4</v>
      </c>
      <c r="F46" s="1361">
        <v>2.2200000000000002</v>
      </c>
      <c r="G46" s="1198"/>
      <c r="H46" s="1159"/>
      <c r="I46" s="62"/>
      <c r="J46" s="1199"/>
      <c r="K46" s="1199"/>
      <c r="L46" s="1199"/>
      <c r="M46" s="1199"/>
      <c r="N46" s="1199"/>
    </row>
    <row r="47" spans="1:14" ht="18" x14ac:dyDescent="0.35">
      <c r="A47" s="208" t="s">
        <v>125</v>
      </c>
      <c r="B47" s="241">
        <f t="shared" si="1"/>
        <v>10</v>
      </c>
      <c r="C47" s="895">
        <v>4</v>
      </c>
      <c r="D47" s="349"/>
      <c r="E47" s="910">
        <v>0.4</v>
      </c>
      <c r="F47" s="1361">
        <v>2.02</v>
      </c>
      <c r="G47" s="1198"/>
      <c r="H47" s="1160"/>
      <c r="I47" s="62"/>
      <c r="J47" s="1199"/>
      <c r="K47" s="1199"/>
      <c r="L47" s="1199"/>
      <c r="M47" s="1199"/>
      <c r="N47" s="1199"/>
    </row>
    <row r="48" spans="1:14" ht="18" x14ac:dyDescent="0.35">
      <c r="A48" s="208" t="s">
        <v>447</v>
      </c>
      <c r="B48" s="241">
        <f t="shared" si="1"/>
        <v>2</v>
      </c>
      <c r="C48" s="895">
        <v>6</v>
      </c>
      <c r="D48" s="349"/>
      <c r="E48" s="910">
        <v>0.4</v>
      </c>
      <c r="F48" s="1361">
        <v>2.16</v>
      </c>
      <c r="G48" s="1198"/>
      <c r="H48" s="1160"/>
      <c r="I48" s="62"/>
      <c r="J48" s="1199"/>
      <c r="K48" s="1199"/>
      <c r="L48" s="1199"/>
      <c r="M48" s="1199"/>
      <c r="N48" s="1199"/>
    </row>
    <row r="49" spans="1:14" ht="18" x14ac:dyDescent="0.35">
      <c r="A49" s="208" t="s">
        <v>11</v>
      </c>
      <c r="B49" s="241">
        <f t="shared" si="1"/>
        <v>59</v>
      </c>
      <c r="C49" s="895">
        <v>1</v>
      </c>
      <c r="D49" s="349">
        <v>0.8</v>
      </c>
      <c r="E49" s="910">
        <v>0.25</v>
      </c>
      <c r="F49" s="1364">
        <v>1.28</v>
      </c>
      <c r="G49" s="1198"/>
      <c r="H49" s="1199"/>
      <c r="I49" s="1199"/>
      <c r="J49" s="1199"/>
      <c r="K49" s="1199"/>
      <c r="L49" s="1199"/>
      <c r="M49" s="1199"/>
      <c r="N49" s="1199"/>
    </row>
    <row r="50" spans="1:14" ht="18" x14ac:dyDescent="0.35">
      <c r="A50" s="208" t="s">
        <v>20</v>
      </c>
      <c r="B50" s="241">
        <f t="shared" si="1"/>
        <v>28</v>
      </c>
      <c r="C50" s="895">
        <v>3</v>
      </c>
      <c r="D50" s="349"/>
      <c r="E50" s="910">
        <v>0.25</v>
      </c>
      <c r="F50" s="1364">
        <v>1.42</v>
      </c>
      <c r="G50" s="1198"/>
      <c r="H50" s="1199"/>
      <c r="I50" s="1199"/>
      <c r="J50" s="1199"/>
      <c r="K50" s="1199"/>
      <c r="L50" s="1199"/>
      <c r="M50" s="1199"/>
      <c r="N50" s="1199"/>
    </row>
    <row r="51" spans="1:14" ht="18" x14ac:dyDescent="0.35">
      <c r="A51" s="208" t="s">
        <v>448</v>
      </c>
      <c r="B51" s="241">
        <f t="shared" si="1"/>
        <v>2</v>
      </c>
      <c r="C51" s="895">
        <v>6</v>
      </c>
      <c r="D51" s="349"/>
      <c r="E51" s="910">
        <v>0.4</v>
      </c>
      <c r="F51" s="1364">
        <v>2.09</v>
      </c>
      <c r="G51" s="1198"/>
      <c r="H51" s="1199"/>
      <c r="I51" s="1199"/>
      <c r="J51" s="1199"/>
      <c r="K51" s="1199"/>
      <c r="L51" s="1199"/>
      <c r="M51" s="1199"/>
      <c r="N51" s="1199"/>
    </row>
    <row r="52" spans="1:14" ht="18" x14ac:dyDescent="0.35">
      <c r="A52" s="208" t="s">
        <v>464</v>
      </c>
      <c r="B52" s="241">
        <f t="shared" si="1"/>
        <v>10</v>
      </c>
      <c r="C52" s="895">
        <v>4</v>
      </c>
      <c r="D52" s="349"/>
      <c r="E52" s="910">
        <v>0.4</v>
      </c>
      <c r="F52" s="1364">
        <v>1.89</v>
      </c>
      <c r="G52" s="1198"/>
      <c r="H52" s="1199"/>
      <c r="I52" s="1199"/>
      <c r="J52" s="1199"/>
      <c r="K52" s="1199"/>
      <c r="L52" s="1199"/>
      <c r="M52" s="1199"/>
      <c r="N52" s="1199"/>
    </row>
    <row r="53" spans="1:14" ht="18" x14ac:dyDescent="0.35">
      <c r="A53" s="208" t="s">
        <v>421</v>
      </c>
      <c r="B53" s="241">
        <f t="shared" si="1"/>
        <v>28</v>
      </c>
      <c r="C53" s="895">
        <v>3</v>
      </c>
      <c r="D53" s="349">
        <v>0.47</v>
      </c>
      <c r="E53" s="910">
        <v>0.4</v>
      </c>
      <c r="F53" s="1361">
        <v>2.27</v>
      </c>
      <c r="G53" s="1198"/>
      <c r="H53" s="1199"/>
      <c r="I53" s="1199"/>
      <c r="J53" s="1199"/>
      <c r="K53" s="1199"/>
      <c r="L53" s="1199"/>
      <c r="M53" s="1199"/>
      <c r="N53" s="1199"/>
    </row>
    <row r="54" spans="1:14" ht="18" x14ac:dyDescent="0.35">
      <c r="A54" s="91" t="s">
        <v>100</v>
      </c>
      <c r="B54" s="241">
        <f t="shared" si="1"/>
        <v>28</v>
      </c>
      <c r="C54" s="895">
        <v>3</v>
      </c>
      <c r="D54" s="349">
        <v>0.57913782383419699</v>
      </c>
      <c r="E54" s="910">
        <v>0.4</v>
      </c>
      <c r="F54" s="1364">
        <v>1.64</v>
      </c>
      <c r="G54" s="1198"/>
      <c r="H54" s="1200"/>
      <c r="I54" s="1201"/>
      <c r="J54" s="1199"/>
      <c r="K54" s="1199"/>
      <c r="L54" s="1199"/>
      <c r="M54" s="1199"/>
      <c r="N54" s="1199"/>
    </row>
    <row r="55" spans="1:14" ht="18" x14ac:dyDescent="0.35">
      <c r="A55" s="208" t="s">
        <v>15</v>
      </c>
      <c r="B55" s="241">
        <f t="shared" si="1"/>
        <v>28</v>
      </c>
      <c r="C55" s="895">
        <v>3</v>
      </c>
      <c r="D55" s="349"/>
      <c r="E55" s="910">
        <v>0.25</v>
      </c>
      <c r="F55" s="1364">
        <v>1.23</v>
      </c>
      <c r="G55" s="1198"/>
      <c r="H55" s="1199"/>
      <c r="I55" s="1199"/>
      <c r="J55" s="1199"/>
      <c r="K55" s="1199"/>
      <c r="L55" s="1199"/>
      <c r="M55" s="1199"/>
      <c r="N55" s="1199"/>
    </row>
    <row r="56" spans="1:14" ht="18" x14ac:dyDescent="0.35">
      <c r="A56" s="208" t="s">
        <v>176</v>
      </c>
      <c r="B56" s="241">
        <f t="shared" si="1"/>
        <v>49</v>
      </c>
      <c r="C56" s="897">
        <v>2</v>
      </c>
      <c r="D56" s="893">
        <v>0.68</v>
      </c>
      <c r="E56" s="910">
        <v>0.4</v>
      </c>
      <c r="F56" s="1361">
        <v>2.0499999999999998</v>
      </c>
      <c r="G56" s="1198"/>
      <c r="H56" s="1199"/>
      <c r="I56" s="1199"/>
      <c r="J56" s="1199"/>
      <c r="K56" s="1199"/>
      <c r="L56" s="1199"/>
      <c r="M56" s="1199"/>
      <c r="N56" s="1199"/>
    </row>
    <row r="57" spans="1:14" ht="18" customHeight="1" x14ac:dyDescent="0.35">
      <c r="A57" s="208" t="s">
        <v>126</v>
      </c>
      <c r="B57" s="241">
        <f t="shared" si="1"/>
        <v>10</v>
      </c>
      <c r="C57" s="895">
        <v>4</v>
      </c>
      <c r="D57" s="349"/>
      <c r="E57" s="910">
        <v>0.4</v>
      </c>
      <c r="F57" s="1371">
        <v>2.25</v>
      </c>
      <c r="G57" s="1198"/>
      <c r="H57" s="62"/>
      <c r="I57" s="62"/>
      <c r="J57" s="1199"/>
      <c r="K57" s="1199"/>
      <c r="L57" s="1199"/>
      <c r="M57" s="1199"/>
      <c r="N57" s="1199"/>
    </row>
    <row r="58" spans="1:14" ht="18" x14ac:dyDescent="0.35">
      <c r="A58" s="90" t="s">
        <v>96</v>
      </c>
      <c r="B58" s="241">
        <f t="shared" si="1"/>
        <v>49</v>
      </c>
      <c r="C58" s="895">
        <v>2</v>
      </c>
      <c r="D58" s="349">
        <v>0.74</v>
      </c>
      <c r="E58" s="910">
        <v>0.4</v>
      </c>
      <c r="F58" s="1361">
        <v>1.8</v>
      </c>
      <c r="G58" s="1198"/>
      <c r="H58" s="1199"/>
      <c r="I58" s="1199"/>
      <c r="J58" s="1199"/>
      <c r="K58" s="1199"/>
      <c r="L58" s="1199"/>
      <c r="M58" s="1199"/>
      <c r="N58" s="1199"/>
    </row>
    <row r="59" spans="1:14" ht="18" x14ac:dyDescent="0.35">
      <c r="A59" s="90" t="s">
        <v>450</v>
      </c>
      <c r="B59" s="241">
        <f t="shared" si="1"/>
        <v>2</v>
      </c>
      <c r="C59" s="895">
        <v>6</v>
      </c>
      <c r="D59" s="349"/>
      <c r="E59" s="910">
        <v>0.4</v>
      </c>
      <c r="F59" s="1361">
        <v>2.02</v>
      </c>
      <c r="G59" s="1198"/>
      <c r="H59" s="1199"/>
      <c r="I59" s="1199"/>
      <c r="J59" s="1199"/>
      <c r="K59" s="1199"/>
      <c r="L59" s="1199"/>
      <c r="M59" s="1199"/>
      <c r="N59" s="1199"/>
    </row>
    <row r="60" spans="1:14" ht="18" customHeight="1" x14ac:dyDescent="0.35">
      <c r="A60" s="208" t="s">
        <v>127</v>
      </c>
      <c r="B60" s="241">
        <f t="shared" si="1"/>
        <v>10</v>
      </c>
      <c r="C60" s="895">
        <v>4</v>
      </c>
      <c r="D60" s="84"/>
      <c r="E60" s="910">
        <v>0.4</v>
      </c>
      <c r="F60" s="1361">
        <v>2.1</v>
      </c>
      <c r="G60" s="1198"/>
      <c r="H60" s="62"/>
      <c r="I60" s="62"/>
      <c r="J60" s="1199"/>
      <c r="K60" s="1199"/>
      <c r="L60" s="1199"/>
      <c r="M60" s="1199"/>
      <c r="N60" s="1199"/>
    </row>
    <row r="61" spans="1:14" ht="18" x14ac:dyDescent="0.35">
      <c r="A61" s="208" t="s">
        <v>178</v>
      </c>
      <c r="B61" s="241">
        <f t="shared" si="1"/>
        <v>49</v>
      </c>
      <c r="C61" s="897">
        <v>2</v>
      </c>
      <c r="D61" s="1196">
        <v>0.66</v>
      </c>
      <c r="E61" s="910">
        <v>0.4</v>
      </c>
      <c r="F61" s="1367">
        <v>1.82</v>
      </c>
      <c r="G61" s="1198"/>
      <c r="H61" s="1199"/>
      <c r="I61" s="1199"/>
      <c r="J61" s="1199"/>
      <c r="K61" s="1199"/>
      <c r="L61" s="1199"/>
      <c r="M61" s="1199"/>
      <c r="N61" s="1199"/>
    </row>
    <row r="62" spans="1:14" ht="18" x14ac:dyDescent="0.35">
      <c r="A62" s="208" t="s">
        <v>128</v>
      </c>
      <c r="B62" s="241">
        <f t="shared" si="1"/>
        <v>10</v>
      </c>
      <c r="C62" s="895">
        <v>4</v>
      </c>
      <c r="D62" s="349">
        <v>0.37463492155779698</v>
      </c>
      <c r="E62" s="910">
        <v>0.4</v>
      </c>
      <c r="F62" s="1363">
        <v>1.86</v>
      </c>
      <c r="G62" s="1198"/>
      <c r="H62" s="1200"/>
      <c r="I62" s="1201"/>
      <c r="J62" s="1199"/>
      <c r="K62" s="1199"/>
      <c r="L62" s="1199"/>
      <c r="M62" s="1199"/>
      <c r="N62" s="1199"/>
    </row>
    <row r="63" spans="1:14" ht="18" x14ac:dyDescent="0.35">
      <c r="A63" s="90" t="s">
        <v>18</v>
      </c>
      <c r="B63" s="241">
        <f t="shared" si="1"/>
        <v>28</v>
      </c>
      <c r="C63" s="895">
        <v>3</v>
      </c>
      <c r="D63" s="349"/>
      <c r="E63" s="910">
        <v>0.25</v>
      </c>
      <c r="F63" s="1364">
        <v>1.02</v>
      </c>
      <c r="G63" s="1198"/>
      <c r="H63" s="1199"/>
      <c r="I63" s="1199"/>
      <c r="J63" s="1199"/>
      <c r="K63" s="1199"/>
      <c r="L63" s="1199"/>
      <c r="M63" s="1199"/>
      <c r="N63" s="1199"/>
    </row>
    <row r="64" spans="1:14" ht="18" x14ac:dyDescent="0.35">
      <c r="A64" s="208" t="s">
        <v>129</v>
      </c>
      <c r="B64" s="241">
        <f t="shared" si="1"/>
        <v>28</v>
      </c>
      <c r="C64" s="895">
        <v>3</v>
      </c>
      <c r="D64" s="349">
        <v>0.5</v>
      </c>
      <c r="E64" s="910">
        <v>0.4</v>
      </c>
      <c r="F64" s="1361">
        <v>2.09</v>
      </c>
      <c r="G64" s="1198"/>
      <c r="H64" s="1199"/>
      <c r="I64" s="1199"/>
      <c r="J64" s="1199"/>
      <c r="K64" s="1199"/>
      <c r="L64" s="1199"/>
      <c r="M64" s="1199"/>
      <c r="N64" s="1199"/>
    </row>
    <row r="65" spans="1:14" ht="18" x14ac:dyDescent="0.35">
      <c r="A65" s="208" t="s">
        <v>451</v>
      </c>
      <c r="B65" s="241">
        <f t="shared" si="1"/>
        <v>10</v>
      </c>
      <c r="C65" s="895">
        <v>4</v>
      </c>
      <c r="D65" s="349"/>
      <c r="E65" s="910">
        <v>0.4</v>
      </c>
      <c r="F65" s="1361">
        <v>1.8</v>
      </c>
      <c r="G65" s="1198"/>
      <c r="H65" s="1199"/>
      <c r="I65" s="1199"/>
      <c r="J65" s="1199"/>
      <c r="K65" s="1199"/>
      <c r="L65" s="1199"/>
      <c r="M65" s="1199"/>
      <c r="N65" s="1199"/>
    </row>
    <row r="66" spans="1:14" ht="18" x14ac:dyDescent="0.35">
      <c r="A66" s="208" t="s">
        <v>291</v>
      </c>
      <c r="B66" s="241">
        <f t="shared" si="1"/>
        <v>28</v>
      </c>
      <c r="C66" s="895">
        <v>3</v>
      </c>
      <c r="D66" s="349"/>
      <c r="E66" s="910">
        <v>0.4</v>
      </c>
      <c r="F66" s="1364">
        <v>1.73</v>
      </c>
      <c r="G66" s="1198"/>
      <c r="H66" s="1199"/>
      <c r="I66" s="1199"/>
      <c r="J66" s="1199"/>
      <c r="K66" s="1199"/>
      <c r="L66" s="1199"/>
      <c r="M66" s="1199"/>
      <c r="N66" s="1199"/>
    </row>
    <row r="67" spans="1:14" ht="18" customHeight="1" x14ac:dyDescent="0.35">
      <c r="A67" s="208" t="s">
        <v>335</v>
      </c>
      <c r="B67" s="241">
        <f t="shared" si="1"/>
        <v>28</v>
      </c>
      <c r="C67" s="897">
        <v>3</v>
      </c>
      <c r="D67" s="893">
        <v>0.45638672070112202</v>
      </c>
      <c r="E67" s="910">
        <v>0.4</v>
      </c>
      <c r="F67" s="1371">
        <v>2.0499999999999998</v>
      </c>
      <c r="G67" s="1198"/>
      <c r="H67" s="62"/>
      <c r="I67" s="62"/>
      <c r="J67" s="1199"/>
      <c r="K67" s="1199"/>
      <c r="L67" s="1199"/>
      <c r="M67" s="1199"/>
      <c r="N67" s="1199"/>
    </row>
    <row r="68" spans="1:14" ht="18" x14ac:dyDescent="0.35">
      <c r="A68" s="90" t="s">
        <v>111</v>
      </c>
      <c r="B68" s="241">
        <f t="shared" si="1"/>
        <v>59</v>
      </c>
      <c r="C68" s="895">
        <v>1</v>
      </c>
      <c r="D68" s="349">
        <v>0.92</v>
      </c>
      <c r="E68" s="910">
        <v>0.4</v>
      </c>
      <c r="F68" s="1361">
        <v>2.0499999999999998</v>
      </c>
      <c r="G68" s="1198"/>
      <c r="H68" s="1199"/>
      <c r="I68" s="1199"/>
      <c r="J68" s="1199"/>
      <c r="K68" s="1199"/>
      <c r="L68" s="1199"/>
      <c r="M68" s="1199"/>
      <c r="N68" s="1199"/>
    </row>
    <row r="69" spans="1:14" ht="18" x14ac:dyDescent="0.35">
      <c r="A69" s="90" t="s">
        <v>179</v>
      </c>
      <c r="B69" s="241">
        <f t="shared" si="1"/>
        <v>6</v>
      </c>
      <c r="C69" s="897">
        <v>5</v>
      </c>
      <c r="D69" s="893">
        <v>0.28000000000000003</v>
      </c>
      <c r="E69" s="910">
        <v>0.4</v>
      </c>
      <c r="F69" s="1361">
        <v>2</v>
      </c>
      <c r="G69" s="1198"/>
      <c r="H69" s="62"/>
      <c r="I69" s="62"/>
      <c r="J69" s="1199"/>
      <c r="K69" s="1199"/>
      <c r="L69" s="1199"/>
      <c r="M69" s="1199"/>
      <c r="N69" s="1199"/>
    </row>
    <row r="70" spans="1:14" ht="18" x14ac:dyDescent="0.35">
      <c r="A70" s="1270" t="s">
        <v>454</v>
      </c>
      <c r="B70" s="1280">
        <f t="shared" si="1"/>
        <v>10</v>
      </c>
      <c r="C70" s="897">
        <v>4</v>
      </c>
      <c r="D70" s="893"/>
      <c r="E70" s="1289">
        <v>0.4</v>
      </c>
      <c r="F70" s="1371">
        <v>1.96</v>
      </c>
      <c r="G70" s="1198"/>
      <c r="H70" s="62"/>
      <c r="I70" s="62"/>
      <c r="J70" s="1199"/>
      <c r="K70" s="1199"/>
      <c r="L70" s="1199"/>
      <c r="M70" s="1199"/>
      <c r="N70" s="1199"/>
    </row>
    <row r="71" spans="1:14" ht="18.600000000000001" thickBot="1" x14ac:dyDescent="0.4">
      <c r="A71" s="159" t="s">
        <v>180</v>
      </c>
      <c r="B71" s="281">
        <f t="shared" si="1"/>
        <v>49</v>
      </c>
      <c r="C71" s="898">
        <v>2</v>
      </c>
      <c r="D71" s="98">
        <v>0.75</v>
      </c>
      <c r="E71" s="913">
        <v>0.4</v>
      </c>
      <c r="F71" s="1372">
        <v>1.88</v>
      </c>
      <c r="G71" s="1198"/>
      <c r="H71" s="1199"/>
      <c r="I71" s="1199"/>
      <c r="J71" s="1199"/>
      <c r="K71" s="1199"/>
      <c r="L71" s="1199"/>
      <c r="M71" s="1199"/>
      <c r="N71" s="1199"/>
    </row>
    <row r="72" spans="1:14" ht="18" x14ac:dyDescent="0.35">
      <c r="A72" s="576"/>
      <c r="B72" s="479"/>
      <c r="C72" s="479"/>
      <c r="D72" s="569"/>
      <c r="E72" s="569"/>
      <c r="F72" s="570"/>
      <c r="G72" s="561"/>
      <c r="H72" s="570"/>
      <c r="I72" s="570"/>
      <c r="J72" s="570"/>
      <c r="K72" s="570"/>
      <c r="L72" s="570"/>
      <c r="M72" s="570"/>
      <c r="N72" s="570"/>
    </row>
    <row r="73" spans="1:14" x14ac:dyDescent="0.3">
      <c r="A73" s="576"/>
      <c r="B73" s="479"/>
      <c r="C73" s="479"/>
      <c r="D73" s="569"/>
      <c r="E73" s="569"/>
      <c r="F73" s="570"/>
      <c r="G73" s="479"/>
      <c r="H73" s="570"/>
      <c r="I73" s="570"/>
      <c r="J73" s="570"/>
      <c r="K73" s="570"/>
      <c r="L73" s="570"/>
      <c r="M73" s="570"/>
      <c r="N73" s="570"/>
    </row>
    <row r="74" spans="1:14" x14ac:dyDescent="0.3">
      <c r="A74" s="576"/>
      <c r="B74" s="479"/>
      <c r="C74" s="479"/>
      <c r="D74" s="569"/>
      <c r="E74" s="569"/>
      <c r="F74" s="570"/>
      <c r="G74" s="479"/>
      <c r="H74" s="570"/>
      <c r="I74" s="570"/>
      <c r="J74" s="570"/>
      <c r="K74" s="570"/>
      <c r="L74" s="570"/>
      <c r="M74" s="570"/>
      <c r="N74" s="570"/>
    </row>
    <row r="75" spans="1:14" x14ac:dyDescent="0.3">
      <c r="A75" s="576"/>
      <c r="B75" s="479"/>
      <c r="C75" s="479"/>
      <c r="D75" s="569"/>
      <c r="E75" s="569"/>
      <c r="F75" s="570"/>
      <c r="G75" s="479"/>
      <c r="H75" s="570"/>
      <c r="I75" s="570"/>
      <c r="J75" s="570"/>
      <c r="K75" s="570"/>
      <c r="L75" s="570"/>
      <c r="M75" s="570"/>
      <c r="N75" s="570"/>
    </row>
    <row r="76" spans="1:14" x14ac:dyDescent="0.3">
      <c r="A76" s="576"/>
      <c r="B76" s="479"/>
      <c r="C76" s="479"/>
      <c r="D76" s="661"/>
      <c r="E76" s="661"/>
      <c r="F76" s="570"/>
      <c r="G76" s="479"/>
      <c r="H76" s="570"/>
      <c r="I76" s="570"/>
      <c r="J76" s="570"/>
      <c r="K76" s="570"/>
      <c r="L76" s="570"/>
      <c r="M76" s="570"/>
      <c r="N76" s="570"/>
    </row>
    <row r="77" spans="1:14" x14ac:dyDescent="0.3">
      <c r="A77" s="576"/>
      <c r="B77" s="479"/>
      <c r="C77" s="479"/>
      <c r="D77" s="569"/>
      <c r="E77" s="569"/>
      <c r="F77" s="570"/>
      <c r="G77" s="479"/>
      <c r="H77" s="570"/>
      <c r="I77" s="570"/>
      <c r="J77" s="570"/>
      <c r="K77" s="570"/>
      <c r="L77" s="570"/>
      <c r="M77" s="570"/>
      <c r="N77" s="570"/>
    </row>
    <row r="78" spans="1:14" x14ac:dyDescent="0.3">
      <c r="A78" s="576"/>
      <c r="B78" s="479"/>
      <c r="C78" s="479"/>
      <c r="D78" s="569"/>
      <c r="E78" s="569"/>
      <c r="F78" s="570"/>
      <c r="G78" s="479"/>
      <c r="H78" s="570"/>
      <c r="I78" s="570"/>
      <c r="J78" s="570"/>
      <c r="K78" s="570"/>
      <c r="L78" s="570"/>
      <c r="M78" s="570"/>
      <c r="N78" s="570"/>
    </row>
    <row r="79" spans="1:14" x14ac:dyDescent="0.3">
      <c r="A79" s="576"/>
      <c r="B79" s="479"/>
      <c r="C79" s="479"/>
      <c r="D79" s="569"/>
      <c r="E79" s="569"/>
      <c r="F79" s="570"/>
      <c r="G79" s="479"/>
      <c r="H79" s="570"/>
      <c r="I79" s="570"/>
      <c r="J79" s="570"/>
      <c r="K79" s="570"/>
      <c r="L79" s="570"/>
      <c r="M79" s="570"/>
      <c r="N79" s="570"/>
    </row>
    <row r="80" spans="1:14" x14ac:dyDescent="0.3">
      <c r="A80" s="576"/>
      <c r="B80" s="479"/>
      <c r="C80" s="479"/>
      <c r="D80" s="569"/>
      <c r="E80" s="569"/>
      <c r="F80" s="570"/>
      <c r="G80" s="479"/>
      <c r="H80" s="570"/>
      <c r="I80" s="570"/>
      <c r="J80" s="570"/>
      <c r="K80" s="570"/>
      <c r="L80" s="570"/>
      <c r="M80" s="570"/>
      <c r="N80" s="570"/>
    </row>
    <row r="81" spans="1:14" x14ac:dyDescent="0.3">
      <c r="A81" s="576"/>
      <c r="B81" s="479"/>
      <c r="C81" s="479"/>
      <c r="D81" s="569"/>
      <c r="E81" s="569"/>
      <c r="F81" s="570"/>
      <c r="G81" s="479"/>
      <c r="H81" s="570"/>
      <c r="I81" s="570"/>
      <c r="J81" s="570"/>
      <c r="K81" s="570"/>
      <c r="L81" s="570"/>
      <c r="M81" s="570"/>
      <c r="N81" s="570"/>
    </row>
    <row r="82" spans="1:14" x14ac:dyDescent="0.3">
      <c r="A82" s="576"/>
      <c r="B82" s="479"/>
      <c r="C82" s="479"/>
      <c r="D82" s="569"/>
      <c r="E82" s="569"/>
      <c r="F82" s="570"/>
      <c r="G82" s="479"/>
      <c r="H82" s="570"/>
      <c r="I82" s="570"/>
      <c r="J82" s="570"/>
      <c r="K82" s="570"/>
      <c r="L82" s="570"/>
      <c r="M82" s="570"/>
      <c r="N82" s="570"/>
    </row>
    <row r="83" spans="1:14" x14ac:dyDescent="0.3">
      <c r="A83" s="576"/>
      <c r="B83" s="479"/>
      <c r="C83" s="479"/>
      <c r="D83" s="569"/>
      <c r="E83" s="569"/>
      <c r="F83" s="570"/>
      <c r="G83" s="479"/>
      <c r="H83" s="570"/>
      <c r="I83" s="570"/>
      <c r="J83" s="570"/>
      <c r="K83" s="570"/>
      <c r="L83" s="570"/>
      <c r="M83" s="570"/>
      <c r="N83" s="570"/>
    </row>
    <row r="84" spans="1:14" x14ac:dyDescent="0.3">
      <c r="A84" s="576"/>
      <c r="B84" s="479"/>
      <c r="C84" s="479"/>
      <c r="D84" s="569"/>
      <c r="E84" s="569"/>
      <c r="F84" s="570"/>
      <c r="G84" s="479"/>
      <c r="H84" s="570"/>
      <c r="I84" s="570"/>
      <c r="J84" s="570"/>
      <c r="K84" s="570"/>
      <c r="L84" s="570"/>
      <c r="M84" s="570"/>
      <c r="N84" s="570"/>
    </row>
    <row r="85" spans="1:14" x14ac:dyDescent="0.3">
      <c r="A85" s="576"/>
      <c r="B85" s="479"/>
      <c r="C85" s="479"/>
      <c r="D85" s="569"/>
      <c r="E85" s="569"/>
      <c r="F85" s="570"/>
      <c r="G85" s="479"/>
      <c r="H85" s="570"/>
      <c r="I85" s="570"/>
      <c r="J85" s="570"/>
      <c r="K85" s="570"/>
      <c r="L85" s="570"/>
      <c r="M85" s="570"/>
      <c r="N85" s="570"/>
    </row>
    <row r="86" spans="1:14" x14ac:dyDescent="0.3">
      <c r="A86" s="576"/>
      <c r="B86" s="479"/>
      <c r="C86" s="479"/>
      <c r="D86" s="569"/>
      <c r="E86" s="569"/>
      <c r="F86" s="570"/>
      <c r="G86" s="479"/>
      <c r="H86" s="570"/>
      <c r="I86" s="570"/>
      <c r="J86" s="570"/>
      <c r="K86" s="570"/>
      <c r="L86" s="570"/>
      <c r="M86" s="570"/>
      <c r="N86" s="570"/>
    </row>
    <row r="87" spans="1:14" x14ac:dyDescent="0.3">
      <c r="A87" s="576"/>
      <c r="B87" s="479"/>
      <c r="C87" s="479"/>
      <c r="D87" s="569"/>
      <c r="E87" s="569"/>
      <c r="F87" s="570"/>
      <c r="G87" s="479"/>
      <c r="H87" s="570"/>
      <c r="I87" s="570"/>
      <c r="J87" s="570"/>
      <c r="K87" s="570"/>
      <c r="L87" s="570"/>
      <c r="M87" s="570"/>
      <c r="N87" s="570"/>
    </row>
    <row r="88" spans="1:14" x14ac:dyDescent="0.3">
      <c r="A88" s="576"/>
      <c r="B88" s="479"/>
      <c r="C88" s="479"/>
      <c r="D88" s="569"/>
      <c r="E88" s="569"/>
      <c r="F88" s="570"/>
      <c r="G88" s="479"/>
      <c r="H88" s="570"/>
      <c r="I88" s="570"/>
      <c r="J88" s="570"/>
      <c r="K88" s="570"/>
      <c r="L88" s="570"/>
      <c r="M88" s="570"/>
      <c r="N88" s="570"/>
    </row>
    <row r="89" spans="1:14" x14ac:dyDescent="0.3">
      <c r="A89" s="576"/>
      <c r="B89" s="479"/>
      <c r="C89" s="479"/>
      <c r="D89" s="569"/>
      <c r="E89" s="569"/>
      <c r="F89" s="570"/>
      <c r="G89" s="479"/>
      <c r="H89" s="570"/>
      <c r="I89" s="570"/>
      <c r="J89" s="570"/>
      <c r="K89" s="570"/>
      <c r="L89" s="570"/>
      <c r="M89" s="570"/>
      <c r="N89" s="570"/>
    </row>
    <row r="90" spans="1:14" x14ac:dyDescent="0.3">
      <c r="A90" s="576"/>
      <c r="B90" s="479"/>
      <c r="C90" s="479"/>
      <c r="D90" s="569"/>
      <c r="E90" s="569"/>
      <c r="F90" s="570"/>
      <c r="G90" s="479"/>
      <c r="H90" s="570"/>
      <c r="I90" s="570"/>
      <c r="J90" s="570"/>
      <c r="K90" s="570"/>
      <c r="L90" s="570"/>
      <c r="M90" s="570"/>
      <c r="N90" s="570"/>
    </row>
    <row r="91" spans="1:14" x14ac:dyDescent="0.3">
      <c r="A91" s="576"/>
      <c r="B91" s="479"/>
      <c r="C91" s="479"/>
      <c r="D91" s="569"/>
      <c r="E91" s="569"/>
      <c r="F91" s="570"/>
      <c r="G91" s="479"/>
      <c r="H91" s="570"/>
      <c r="I91" s="570"/>
      <c r="J91" s="570"/>
      <c r="K91" s="570"/>
      <c r="L91" s="570"/>
      <c r="M91" s="570"/>
      <c r="N91" s="570"/>
    </row>
    <row r="92" spans="1:14" x14ac:dyDescent="0.3">
      <c r="A92" s="576"/>
      <c r="B92" s="479"/>
      <c r="C92" s="479"/>
      <c r="D92" s="569"/>
      <c r="E92" s="569"/>
      <c r="F92" s="570"/>
      <c r="G92" s="479"/>
      <c r="H92" s="570"/>
      <c r="I92" s="570"/>
      <c r="J92" s="570"/>
      <c r="K92" s="570"/>
      <c r="L92" s="570"/>
      <c r="M92" s="570"/>
      <c r="N92" s="570"/>
    </row>
    <row r="93" spans="1:14" x14ac:dyDescent="0.3">
      <c r="A93" s="576"/>
      <c r="B93" s="479"/>
      <c r="C93" s="479"/>
      <c r="D93" s="569"/>
      <c r="E93" s="569"/>
      <c r="F93" s="570"/>
      <c r="G93" s="479"/>
      <c r="H93" s="570"/>
      <c r="I93" s="570"/>
      <c r="J93" s="570"/>
      <c r="K93" s="570"/>
      <c r="L93" s="570"/>
      <c r="M93" s="570"/>
      <c r="N93" s="570"/>
    </row>
    <row r="94" spans="1:14" x14ac:dyDescent="0.3">
      <c r="A94" s="576"/>
      <c r="B94" s="479"/>
      <c r="C94" s="479"/>
      <c r="D94" s="569"/>
      <c r="E94" s="569"/>
      <c r="F94" s="570"/>
      <c r="G94" s="479"/>
      <c r="H94" s="570"/>
      <c r="I94" s="570"/>
      <c r="J94" s="570"/>
      <c r="K94" s="570"/>
      <c r="L94" s="570"/>
      <c r="M94" s="570"/>
      <c r="N94" s="570"/>
    </row>
    <row r="95" spans="1:14" x14ac:dyDescent="0.3">
      <c r="A95" s="576"/>
      <c r="B95" s="479"/>
      <c r="C95" s="479"/>
      <c r="D95" s="569"/>
      <c r="E95" s="569"/>
      <c r="F95" s="570"/>
      <c r="G95" s="479"/>
      <c r="H95" s="570"/>
      <c r="I95" s="570"/>
      <c r="J95" s="570"/>
      <c r="K95" s="570"/>
      <c r="L95" s="570"/>
      <c r="M95" s="570"/>
      <c r="N95" s="570"/>
    </row>
    <row r="96" spans="1:14" x14ac:dyDescent="0.3">
      <c r="A96" s="576"/>
      <c r="B96" s="479"/>
      <c r="C96" s="479"/>
      <c r="D96" s="569"/>
      <c r="E96" s="569"/>
      <c r="F96" s="570"/>
      <c r="G96" s="479"/>
      <c r="H96" s="570"/>
      <c r="I96" s="570"/>
      <c r="J96" s="570"/>
      <c r="K96" s="570"/>
      <c r="L96" s="570"/>
      <c r="M96" s="570"/>
      <c r="N96" s="570"/>
    </row>
    <row r="97" spans="1:14" x14ac:dyDescent="0.3">
      <c r="A97" s="576"/>
      <c r="B97" s="479"/>
      <c r="C97" s="479"/>
      <c r="D97" s="569"/>
      <c r="E97" s="569"/>
      <c r="F97" s="570"/>
      <c r="G97" s="479"/>
      <c r="H97" s="570"/>
      <c r="I97" s="570"/>
      <c r="J97" s="570"/>
      <c r="K97" s="570"/>
      <c r="L97" s="570"/>
      <c r="M97" s="570"/>
      <c r="N97" s="570"/>
    </row>
    <row r="98" spans="1:14" x14ac:dyDescent="0.3">
      <c r="A98" s="576"/>
      <c r="B98" s="479"/>
      <c r="C98" s="479"/>
      <c r="D98" s="569"/>
      <c r="E98" s="569"/>
      <c r="F98" s="570"/>
      <c r="G98" s="479"/>
      <c r="H98" s="570"/>
      <c r="I98" s="570"/>
      <c r="J98" s="570"/>
    </row>
  </sheetData>
  <conditionalFormatting sqref="G7:G68 G71:G72 H69:H70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F7:F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8"/>
  <sheetViews>
    <sheetView showGridLines="0" zoomScale="85" zoomScaleNormal="85" workbookViewId="0">
      <pane ySplit="6" topLeftCell="A54" activePane="bottomLeft" state="frozen"/>
      <selection activeCell="A22" sqref="A22"/>
      <selection pane="bottomLeft" activeCell="D7" sqref="D7:D71"/>
    </sheetView>
  </sheetViews>
  <sheetFormatPr defaultColWidth="8.88671875" defaultRowHeight="18" x14ac:dyDescent="0.35"/>
  <cols>
    <col min="1" max="1" width="38" style="79" customWidth="1"/>
    <col min="2" max="3" width="8.88671875" style="88"/>
    <col min="4" max="4" width="13.88671875" style="83" customWidth="1"/>
    <col min="5" max="5" width="16" style="83" customWidth="1"/>
    <col min="6" max="6" width="11.44140625" style="86" customWidth="1"/>
    <col min="7" max="7" width="9.6640625" style="87" customWidth="1"/>
    <col min="8" max="8" width="15.88671875" style="87" customWidth="1"/>
    <col min="9" max="9" width="10.6640625" style="87" customWidth="1"/>
    <col min="10" max="16384" width="8.88671875" style="88"/>
  </cols>
  <sheetData>
    <row r="1" spans="1:9" ht="21" x14ac:dyDescent="0.4">
      <c r="A1" s="568" t="s">
        <v>243</v>
      </c>
      <c r="B1" s="580"/>
      <c r="C1" s="580"/>
      <c r="D1" s="572"/>
      <c r="E1" s="572"/>
      <c r="F1" s="578"/>
      <c r="G1" s="579"/>
      <c r="H1" s="579"/>
      <c r="I1" s="579"/>
    </row>
    <row r="2" spans="1:9" x14ac:dyDescent="0.35">
      <c r="A2" s="572" t="s">
        <v>474</v>
      </c>
      <c r="B2" s="580"/>
      <c r="C2" s="580"/>
      <c r="D2" s="572"/>
      <c r="E2" s="572"/>
      <c r="F2" s="578"/>
      <c r="G2" s="579"/>
      <c r="H2" s="579"/>
      <c r="I2" s="579"/>
    </row>
    <row r="3" spans="1:9" x14ac:dyDescent="0.35">
      <c r="A3" s="572"/>
      <c r="B3" s="580"/>
      <c r="C3" s="580"/>
      <c r="D3" s="572"/>
      <c r="E3" s="572"/>
      <c r="F3" s="578"/>
      <c r="G3" s="579"/>
      <c r="H3" s="579"/>
      <c r="I3" s="579"/>
    </row>
    <row r="4" spans="1:9" x14ac:dyDescent="0.35">
      <c r="A4" s="572"/>
      <c r="B4" s="580"/>
      <c r="C4" s="580"/>
      <c r="D4" s="572"/>
      <c r="E4" s="572"/>
      <c r="F4" s="578"/>
      <c r="G4" s="579"/>
    </row>
    <row r="5" spans="1:9" ht="21" x14ac:dyDescent="0.4">
      <c r="A5" s="708"/>
      <c r="B5" s="1241"/>
      <c r="C5" s="1246" t="s">
        <v>410</v>
      </c>
      <c r="D5" s="1247"/>
      <c r="E5" s="1247"/>
      <c r="F5" s="1248"/>
      <c r="G5" s="1247"/>
      <c r="H5" s="1243" t="s">
        <v>334</v>
      </c>
      <c r="I5" s="1243"/>
    </row>
    <row r="6" spans="1:9" ht="57.6" thickBot="1" x14ac:dyDescent="0.4">
      <c r="A6" s="99" t="s">
        <v>4</v>
      </c>
      <c r="B6" s="1242" t="s">
        <v>3</v>
      </c>
      <c r="C6" s="1249" t="s">
        <v>184</v>
      </c>
      <c r="D6" s="1250" t="s">
        <v>169</v>
      </c>
      <c r="E6" s="1251" t="s">
        <v>182</v>
      </c>
      <c r="F6" s="1251" t="s">
        <v>304</v>
      </c>
      <c r="G6" s="1245" t="s">
        <v>305</v>
      </c>
      <c r="H6" s="1244" t="s">
        <v>306</v>
      </c>
      <c r="I6" s="1245" t="s">
        <v>307</v>
      </c>
    </row>
    <row r="7" spans="1:9" x14ac:dyDescent="0.35">
      <c r="A7" s="158" t="s">
        <v>10</v>
      </c>
      <c r="B7" s="223">
        <f>RANK(C7,C$7:C$73,0)</f>
        <v>51</v>
      </c>
      <c r="C7" s="690">
        <v>1</v>
      </c>
      <c r="D7" s="1161">
        <v>923.29817402799995</v>
      </c>
      <c r="E7" s="915">
        <v>16833.333333333299</v>
      </c>
      <c r="F7" s="1162">
        <v>5.4849396476910901E-2</v>
      </c>
      <c r="G7" s="1164">
        <v>15910.0351593053</v>
      </c>
      <c r="H7" s="1166">
        <v>14022.166666666701</v>
      </c>
      <c r="I7" s="1168">
        <v>6.5845614017900206E-2</v>
      </c>
    </row>
    <row r="8" spans="1:9" x14ac:dyDescent="0.35">
      <c r="A8" s="208" t="s">
        <v>174</v>
      </c>
      <c r="B8" s="223">
        <f t="shared" ref="B8:B71" si="0">RANK(C8,C$7:C$73,0)</f>
        <v>21</v>
      </c>
      <c r="C8" s="691">
        <v>3</v>
      </c>
      <c r="D8" s="360">
        <v>38.2176660426667</v>
      </c>
      <c r="E8" s="917">
        <v>92.065399999999997</v>
      </c>
      <c r="F8" s="918">
        <v>0.41511432137009902</v>
      </c>
      <c r="G8" s="919">
        <v>53.847733957333297</v>
      </c>
      <c r="H8" s="920">
        <v>87.646259999999998</v>
      </c>
      <c r="I8" s="921">
        <v>0.43604445920073098</v>
      </c>
    </row>
    <row r="9" spans="1:9" x14ac:dyDescent="0.35">
      <c r="A9" s="208" t="s">
        <v>115</v>
      </c>
      <c r="B9" s="223">
        <f t="shared" si="0"/>
        <v>51</v>
      </c>
      <c r="C9" s="691">
        <v>1</v>
      </c>
      <c r="D9" s="360">
        <v>32.598339951</v>
      </c>
      <c r="E9" s="917">
        <v>520.43501399333297</v>
      </c>
      <c r="F9" s="918">
        <v>6.2636715583124794E-2</v>
      </c>
      <c r="G9" s="919">
        <v>487.83667404233302</v>
      </c>
      <c r="H9" s="920">
        <v>434.04280167666701</v>
      </c>
      <c r="I9" s="921">
        <v>7.5103975518256899E-2</v>
      </c>
    </row>
    <row r="10" spans="1:9" x14ac:dyDescent="0.35">
      <c r="A10" s="208" t="s">
        <v>116</v>
      </c>
      <c r="B10" s="223">
        <f t="shared" si="0"/>
        <v>21</v>
      </c>
      <c r="C10" s="691">
        <v>3</v>
      </c>
      <c r="D10" s="360">
        <v>178.72212854200001</v>
      </c>
      <c r="E10" s="917">
        <v>541</v>
      </c>
      <c r="F10" s="918">
        <v>0.33035513593715299</v>
      </c>
      <c r="G10" s="919">
        <v>362.27787145799999</v>
      </c>
      <c r="H10" s="920">
        <v>493.93299999999999</v>
      </c>
      <c r="I10" s="921">
        <v>0.36183476006260001</v>
      </c>
    </row>
    <row r="11" spans="1:9" x14ac:dyDescent="0.35">
      <c r="A11" s="90" t="s">
        <v>5</v>
      </c>
      <c r="B11" s="223">
        <f t="shared" si="0"/>
        <v>21</v>
      </c>
      <c r="C11" s="691">
        <v>3</v>
      </c>
      <c r="D11" s="360">
        <v>781.09810975966695</v>
      </c>
      <c r="E11" s="356">
        <v>1671.0333333333299</v>
      </c>
      <c r="F11" s="352">
        <v>0.4674341882825</v>
      </c>
      <c r="G11" s="692">
        <v>889.93522357366703</v>
      </c>
      <c r="H11" s="693">
        <v>1553.2267999999999</v>
      </c>
      <c r="I11" s="694">
        <v>0.50288735023093001</v>
      </c>
    </row>
    <row r="12" spans="1:9" x14ac:dyDescent="0.35">
      <c r="A12" s="208" t="s">
        <v>175</v>
      </c>
      <c r="B12" s="223">
        <f t="shared" si="0"/>
        <v>21</v>
      </c>
      <c r="C12" s="691">
        <v>3</v>
      </c>
      <c r="D12" s="360">
        <v>44.780663763333301</v>
      </c>
      <c r="E12" s="917">
        <v>169.36666666666699</v>
      </c>
      <c r="F12" s="918">
        <v>0.26440069137965</v>
      </c>
      <c r="G12" s="919">
        <v>124.586002903333</v>
      </c>
      <c r="H12" s="920">
        <v>154.26046666666701</v>
      </c>
      <c r="I12" s="921">
        <v>0.29029254695629497</v>
      </c>
    </row>
    <row r="13" spans="1:9" x14ac:dyDescent="0.35">
      <c r="A13" s="208" t="s">
        <v>292</v>
      </c>
      <c r="B13" s="223">
        <f t="shared" si="0"/>
        <v>6</v>
      </c>
      <c r="C13" s="691">
        <v>8</v>
      </c>
      <c r="D13" s="360">
        <v>407.47760702333301</v>
      </c>
      <c r="E13" s="917">
        <v>431.64333333333298</v>
      </c>
      <c r="F13" s="918">
        <v>0.94401459620983397</v>
      </c>
      <c r="G13" s="919">
        <v>24.16572631</v>
      </c>
      <c r="H13" s="920">
        <v>378.74819333333301</v>
      </c>
      <c r="I13" s="921">
        <v>1.07585359929286</v>
      </c>
    </row>
    <row r="14" spans="1:9" x14ac:dyDescent="0.35">
      <c r="A14" s="90" t="s">
        <v>104</v>
      </c>
      <c r="B14" s="223">
        <f t="shared" si="0"/>
        <v>37</v>
      </c>
      <c r="C14" s="691">
        <v>2</v>
      </c>
      <c r="D14" s="360">
        <v>485.522911298667</v>
      </c>
      <c r="E14" s="356">
        <v>2387.5721283333301</v>
      </c>
      <c r="F14" s="352">
        <v>0.203354238197441</v>
      </c>
      <c r="G14" s="692">
        <v>1902.0492170346699</v>
      </c>
      <c r="H14" s="693">
        <v>2247.8698491</v>
      </c>
      <c r="I14" s="694">
        <v>0.21599244791377001</v>
      </c>
    </row>
    <row r="15" spans="1:9" x14ac:dyDescent="0.35">
      <c r="A15" s="208" t="s">
        <v>117</v>
      </c>
      <c r="B15" s="223">
        <f t="shared" si="0"/>
        <v>12</v>
      </c>
      <c r="C15" s="691">
        <v>5</v>
      </c>
      <c r="D15" s="360">
        <v>95.011801165333296</v>
      </c>
      <c r="E15" s="357">
        <v>179.996933333333</v>
      </c>
      <c r="F15" s="353">
        <v>0.52785233284715205</v>
      </c>
      <c r="G15" s="695">
        <v>84.985132168000007</v>
      </c>
      <c r="H15" s="696">
        <v>164.33143346666699</v>
      </c>
      <c r="I15" s="697">
        <v>0.57817180292902204</v>
      </c>
    </row>
    <row r="16" spans="1:9" x14ac:dyDescent="0.35">
      <c r="A16" s="208" t="s">
        <v>9</v>
      </c>
      <c r="B16" s="223">
        <f t="shared" si="0"/>
        <v>21</v>
      </c>
      <c r="C16" s="691">
        <v>3</v>
      </c>
      <c r="D16" s="360">
        <v>93.139825275333294</v>
      </c>
      <c r="E16" s="356">
        <v>365.23666666666702</v>
      </c>
      <c r="F16" s="922">
        <v>0.25501225308338898</v>
      </c>
      <c r="G16" s="692">
        <v>272.09684139133299</v>
      </c>
      <c r="H16" s="693">
        <v>346.41216666666702</v>
      </c>
      <c r="I16" s="694">
        <v>0.26886995965403399</v>
      </c>
    </row>
    <row r="17" spans="1:9" x14ac:dyDescent="0.35">
      <c r="A17" s="90" t="s">
        <v>99</v>
      </c>
      <c r="B17" s="223">
        <f t="shared" si="0"/>
        <v>21</v>
      </c>
      <c r="C17" s="691">
        <v>3</v>
      </c>
      <c r="D17" s="360">
        <v>100.06323631766701</v>
      </c>
      <c r="E17" s="356">
        <v>315.33333333333297</v>
      </c>
      <c r="F17" s="352">
        <v>0.31732527373467201</v>
      </c>
      <c r="G17" s="692">
        <v>215.27009701566701</v>
      </c>
      <c r="H17" s="693">
        <v>291.46199999999999</v>
      </c>
      <c r="I17" s="694">
        <v>0.34331486203232903</v>
      </c>
    </row>
    <row r="18" spans="1:9" x14ac:dyDescent="0.35">
      <c r="A18" s="90" t="s">
        <v>14</v>
      </c>
      <c r="B18" s="223">
        <f t="shared" si="0"/>
        <v>21</v>
      </c>
      <c r="C18" s="691">
        <v>3</v>
      </c>
      <c r="D18" s="360">
        <v>556.72940134999999</v>
      </c>
      <c r="E18" s="356">
        <v>1514.6666666666699</v>
      </c>
      <c r="F18" s="352">
        <v>0.367559023778609</v>
      </c>
      <c r="G18" s="692">
        <v>957.93726531666698</v>
      </c>
      <c r="H18" s="693">
        <v>1448.0213333333299</v>
      </c>
      <c r="I18" s="694">
        <v>0.38447596629561598</v>
      </c>
    </row>
    <row r="19" spans="1:9" x14ac:dyDescent="0.35">
      <c r="A19" s="90" t="s">
        <v>109</v>
      </c>
      <c r="B19" s="223">
        <f t="shared" si="0"/>
        <v>37</v>
      </c>
      <c r="C19" s="691">
        <v>2</v>
      </c>
      <c r="D19" s="360">
        <v>606.91935543233296</v>
      </c>
      <c r="E19" s="356">
        <v>2794.32</v>
      </c>
      <c r="F19" s="352">
        <v>0.21719751332429099</v>
      </c>
      <c r="G19" s="692">
        <v>2187.40064456767</v>
      </c>
      <c r="H19" s="693">
        <v>2671.3699200000001</v>
      </c>
      <c r="I19" s="694">
        <v>0.227194051594447</v>
      </c>
    </row>
    <row r="20" spans="1:9" x14ac:dyDescent="0.35">
      <c r="A20" s="208" t="s">
        <v>112</v>
      </c>
      <c r="B20" s="223">
        <f t="shared" si="0"/>
        <v>12</v>
      </c>
      <c r="C20" s="691">
        <v>5</v>
      </c>
      <c r="D20" s="360">
        <v>24.815723733999999</v>
      </c>
      <c r="E20" s="917">
        <v>42.926666666666698</v>
      </c>
      <c r="F20" s="923">
        <v>0.57809575401459901</v>
      </c>
      <c r="G20" s="919">
        <v>18.110942932666699</v>
      </c>
      <c r="H20" s="920">
        <v>39.197213333333302</v>
      </c>
      <c r="I20" s="921">
        <v>0.63309918291810596</v>
      </c>
    </row>
    <row r="21" spans="1:9" x14ac:dyDescent="0.35">
      <c r="A21" s="208" t="s">
        <v>118</v>
      </c>
      <c r="B21" s="223">
        <f t="shared" si="0"/>
        <v>12</v>
      </c>
      <c r="C21" s="691">
        <v>5</v>
      </c>
      <c r="D21" s="360">
        <v>169.836589057</v>
      </c>
      <c r="E21" s="917">
        <v>333.932633333333</v>
      </c>
      <c r="F21" s="918">
        <v>0.50859536356684298</v>
      </c>
      <c r="G21" s="919">
        <v>164.096044276333</v>
      </c>
      <c r="H21" s="920">
        <v>304.8922609</v>
      </c>
      <c r="I21" s="921">
        <v>0.55703804535958301</v>
      </c>
    </row>
    <row r="22" spans="1:9" x14ac:dyDescent="0.35">
      <c r="A22" s="90" t="s">
        <v>102</v>
      </c>
      <c r="B22" s="223">
        <f t="shared" si="0"/>
        <v>51</v>
      </c>
      <c r="C22" s="691">
        <v>1</v>
      </c>
      <c r="D22" s="360">
        <v>4.9997945579999996</v>
      </c>
      <c r="E22" s="356">
        <v>74.1666666666667</v>
      </c>
      <c r="F22" s="352">
        <v>6.7412960332584301E-2</v>
      </c>
      <c r="G22" s="692">
        <v>69.166872108666695</v>
      </c>
      <c r="H22" s="693">
        <v>66.6661</v>
      </c>
      <c r="I22" s="694">
        <v>7.4997555849224698E-2</v>
      </c>
    </row>
    <row r="23" spans="1:9" x14ac:dyDescent="0.35">
      <c r="A23" s="90" t="s">
        <v>22</v>
      </c>
      <c r="B23" s="223">
        <f t="shared" si="0"/>
        <v>21</v>
      </c>
      <c r="C23" s="691">
        <v>3</v>
      </c>
      <c r="D23" s="360">
        <v>2.5625972940000001</v>
      </c>
      <c r="E23" s="356">
        <v>8.2422038433333302</v>
      </c>
      <c r="F23" s="352">
        <v>0.31091166182121799</v>
      </c>
      <c r="G23" s="692">
        <v>5.6796065493333296</v>
      </c>
      <c r="H23" s="693">
        <v>5.72008946733333</v>
      </c>
      <c r="I23" s="694">
        <v>0.44799951270598998</v>
      </c>
    </row>
    <row r="24" spans="1:9" x14ac:dyDescent="0.35">
      <c r="A24" s="90" t="s">
        <v>13</v>
      </c>
      <c r="B24" s="223">
        <f t="shared" si="0"/>
        <v>21</v>
      </c>
      <c r="C24" s="691">
        <v>3</v>
      </c>
      <c r="D24" s="360">
        <v>367.37862562200002</v>
      </c>
      <c r="E24" s="356">
        <v>778.66666666666697</v>
      </c>
      <c r="F24" s="352">
        <v>0.471804741809075</v>
      </c>
      <c r="G24" s="692">
        <v>411.28804104466701</v>
      </c>
      <c r="H24" s="693">
        <v>744.24933333333297</v>
      </c>
      <c r="I24" s="694">
        <v>0.49362304965271497</v>
      </c>
    </row>
    <row r="25" spans="1:9" x14ac:dyDescent="0.35">
      <c r="A25" s="90" t="s">
        <v>6</v>
      </c>
      <c r="B25" s="223">
        <f t="shared" si="0"/>
        <v>51</v>
      </c>
      <c r="C25" s="691">
        <v>1</v>
      </c>
      <c r="D25" s="360">
        <v>5714.55349029233</v>
      </c>
      <c r="E25" s="356">
        <v>91144.2</v>
      </c>
      <c r="F25" s="352">
        <v>6.2697938983416704E-2</v>
      </c>
      <c r="G25" s="692">
        <v>85429.646509707702</v>
      </c>
      <c r="H25" s="693">
        <v>87133.855200000005</v>
      </c>
      <c r="I25" s="694">
        <v>6.5583618183490303E-2</v>
      </c>
    </row>
    <row r="26" spans="1:9" x14ac:dyDescent="0.35">
      <c r="A26" s="90" t="s">
        <v>16</v>
      </c>
      <c r="B26" s="223">
        <f t="shared" si="0"/>
        <v>51</v>
      </c>
      <c r="C26" s="691">
        <v>1</v>
      </c>
      <c r="D26" s="360">
        <v>241.77977643633301</v>
      </c>
      <c r="E26" s="356">
        <v>10136</v>
      </c>
      <c r="F26" s="352">
        <v>2.3853569103821401E-2</v>
      </c>
      <c r="G26" s="692">
        <v>9894.2202235636705</v>
      </c>
      <c r="H26" s="693">
        <v>9254.1679999999997</v>
      </c>
      <c r="I26" s="694">
        <v>2.6126581712838302E-2</v>
      </c>
    </row>
    <row r="27" spans="1:9" x14ac:dyDescent="0.35">
      <c r="A27" s="208" t="s">
        <v>119</v>
      </c>
      <c r="B27" s="223">
        <f t="shared" si="0"/>
        <v>21</v>
      </c>
      <c r="C27" s="691">
        <v>3</v>
      </c>
      <c r="D27" s="360">
        <v>8.4146731986666694</v>
      </c>
      <c r="E27" s="917">
        <v>23.4975103316667</v>
      </c>
      <c r="F27" s="918">
        <v>0.35810913921916798</v>
      </c>
      <c r="G27" s="919">
        <v>15.082837133</v>
      </c>
      <c r="H27" s="920">
        <v>19.596923617333299</v>
      </c>
      <c r="I27" s="921">
        <v>0.42938745708147502</v>
      </c>
    </row>
    <row r="28" spans="1:9" x14ac:dyDescent="0.35">
      <c r="A28" s="208" t="s">
        <v>23</v>
      </c>
      <c r="B28" s="223">
        <f t="shared" si="0"/>
        <v>12</v>
      </c>
      <c r="C28" s="691">
        <v>5</v>
      </c>
      <c r="D28" s="360">
        <v>20.9389613333333</v>
      </c>
      <c r="E28" s="917">
        <v>35</v>
      </c>
      <c r="F28" s="918">
        <v>0.59825603809523797</v>
      </c>
      <c r="G28" s="919">
        <v>14.0610386666667</v>
      </c>
      <c r="H28" s="920">
        <v>24.29</v>
      </c>
      <c r="I28" s="921">
        <v>0.8620404007136</v>
      </c>
    </row>
    <row r="29" spans="1:9" x14ac:dyDescent="0.35">
      <c r="A29" s="208" t="s">
        <v>425</v>
      </c>
      <c r="B29" s="223">
        <f t="shared" si="0"/>
        <v>12</v>
      </c>
      <c r="C29" s="691">
        <v>5</v>
      </c>
      <c r="D29" s="360">
        <v>88.821788517666704</v>
      </c>
      <c r="E29" s="917">
        <v>168.478191616667</v>
      </c>
      <c r="F29" s="918">
        <v>0.52720050984260403</v>
      </c>
      <c r="G29" s="919">
        <v>79.656403099000002</v>
      </c>
      <c r="H29" s="920">
        <v>140.51081180666699</v>
      </c>
      <c r="I29" s="921">
        <v>0.63213490389536298</v>
      </c>
    </row>
    <row r="30" spans="1:9" x14ac:dyDescent="0.35">
      <c r="A30" s="208" t="s">
        <v>120</v>
      </c>
      <c r="B30" s="223">
        <f t="shared" si="0"/>
        <v>37</v>
      </c>
      <c r="C30" s="691">
        <v>2</v>
      </c>
      <c r="D30" s="361">
        <v>11.4293510263333</v>
      </c>
      <c r="E30" s="924">
        <v>60.283484667666698</v>
      </c>
      <c r="F30" s="925">
        <v>0.18959340338969399</v>
      </c>
      <c r="G30" s="926">
        <v>48.854133641333298</v>
      </c>
      <c r="H30" s="927">
        <v>50.276426213000001</v>
      </c>
      <c r="I30" s="928">
        <v>0.22733021989096799</v>
      </c>
    </row>
    <row r="31" spans="1:9" x14ac:dyDescent="0.35">
      <c r="A31" s="208" t="s">
        <v>113</v>
      </c>
      <c r="B31" s="223">
        <f t="shared" si="0"/>
        <v>37</v>
      </c>
      <c r="C31" s="691">
        <v>2</v>
      </c>
      <c r="D31" s="361">
        <v>17.939762000999998</v>
      </c>
      <c r="E31" s="924">
        <v>93.719700000000003</v>
      </c>
      <c r="F31" s="925">
        <v>0.19141932807083301</v>
      </c>
      <c r="G31" s="926">
        <v>75.779937998999998</v>
      </c>
      <c r="H31" s="927">
        <v>84.515012100000007</v>
      </c>
      <c r="I31" s="928">
        <v>0.21226716479402799</v>
      </c>
    </row>
    <row r="32" spans="1:9" x14ac:dyDescent="0.35">
      <c r="A32" s="208" t="s">
        <v>114</v>
      </c>
      <c r="B32" s="223">
        <f t="shared" si="0"/>
        <v>51</v>
      </c>
      <c r="C32" s="691">
        <v>1</v>
      </c>
      <c r="D32" s="361">
        <v>44.969601271666697</v>
      </c>
      <c r="E32" s="924">
        <v>1551.3333333333301</v>
      </c>
      <c r="F32" s="925">
        <v>2.89877103169317E-2</v>
      </c>
      <c r="G32" s="926">
        <v>1506.3637320616699</v>
      </c>
      <c r="H32" s="927">
        <v>1416.36733333333</v>
      </c>
      <c r="I32" s="928">
        <v>3.1749956535522102E-2</v>
      </c>
    </row>
    <row r="33" spans="1:9" x14ac:dyDescent="0.35">
      <c r="A33" s="208" t="s">
        <v>121</v>
      </c>
      <c r="B33" s="223">
        <f t="shared" si="0"/>
        <v>21</v>
      </c>
      <c r="C33" s="691">
        <v>3</v>
      </c>
      <c r="D33" s="360">
        <v>3.26121701033333</v>
      </c>
      <c r="E33" s="917">
        <v>9.8778593333333298</v>
      </c>
      <c r="F33" s="923">
        <v>0.330154226769376</v>
      </c>
      <c r="G33" s="919">
        <v>6.6166423229999998</v>
      </c>
      <c r="H33" s="920">
        <v>8.2381346840000003</v>
      </c>
      <c r="I33" s="921">
        <v>0.39586837742131398</v>
      </c>
    </row>
    <row r="34" spans="1:9" x14ac:dyDescent="0.35">
      <c r="A34" s="208" t="s">
        <v>308</v>
      </c>
      <c r="B34" s="223">
        <f t="shared" si="0"/>
        <v>51</v>
      </c>
      <c r="C34" s="691">
        <v>1</v>
      </c>
      <c r="D34" s="360">
        <v>37.959476385333303</v>
      </c>
      <c r="E34" s="917">
        <v>466.20666666666699</v>
      </c>
      <c r="F34" s="918">
        <v>8.1421993934020706E-2</v>
      </c>
      <c r="G34" s="919">
        <v>428.24719028133302</v>
      </c>
      <c r="H34" s="920">
        <v>426.37430000000001</v>
      </c>
      <c r="I34" s="921">
        <v>8.9028528185993702E-2</v>
      </c>
    </row>
    <row r="35" spans="1:9" x14ac:dyDescent="0.35">
      <c r="A35" s="208" t="s">
        <v>290</v>
      </c>
      <c r="B35" s="223">
        <f t="shared" si="0"/>
        <v>37</v>
      </c>
      <c r="C35" s="691">
        <v>2</v>
      </c>
      <c r="D35" s="360">
        <v>4.4101751496666699</v>
      </c>
      <c r="E35" s="917">
        <v>27.668519000666699</v>
      </c>
      <c r="F35" s="918">
        <v>0.15939324940234101</v>
      </c>
      <c r="G35" s="919">
        <v>23.258343850999999</v>
      </c>
      <c r="H35" s="920">
        <v>23.075544847333301</v>
      </c>
      <c r="I35" s="921">
        <v>0.191119004073107</v>
      </c>
    </row>
    <row r="36" spans="1:9" x14ac:dyDescent="0.35">
      <c r="A36" s="208" t="s">
        <v>442</v>
      </c>
      <c r="B36" s="223">
        <f t="shared" si="0"/>
        <v>37</v>
      </c>
      <c r="C36" s="691">
        <v>2</v>
      </c>
      <c r="D36" s="360">
        <v>19.867618009000001</v>
      </c>
      <c r="E36" s="917">
        <v>167.1</v>
      </c>
      <c r="F36" s="918">
        <v>0.11889657695392</v>
      </c>
      <c r="G36" s="919">
        <v>147.23238199100001</v>
      </c>
      <c r="H36" s="920">
        <v>139.3614</v>
      </c>
      <c r="I36" s="921">
        <v>0.14256184287040699</v>
      </c>
    </row>
    <row r="37" spans="1:9" x14ac:dyDescent="0.35">
      <c r="A37" s="90" t="s">
        <v>98</v>
      </c>
      <c r="B37" s="223">
        <f t="shared" si="0"/>
        <v>37</v>
      </c>
      <c r="C37" s="691">
        <v>2</v>
      </c>
      <c r="D37" s="360">
        <v>1328.3575658316699</v>
      </c>
      <c r="E37" s="356">
        <v>5560.2533333333304</v>
      </c>
      <c r="F37" s="352">
        <v>0.23890234602589999</v>
      </c>
      <c r="G37" s="692">
        <v>4231.89576750167</v>
      </c>
      <c r="H37" s="693">
        <v>5241.18918653333</v>
      </c>
      <c r="I37" s="694">
        <v>0.25344583424783401</v>
      </c>
    </row>
    <row r="38" spans="1:9" x14ac:dyDescent="0.35">
      <c r="A38" s="91" t="s">
        <v>110</v>
      </c>
      <c r="B38" s="223">
        <f t="shared" si="0"/>
        <v>21</v>
      </c>
      <c r="C38" s="691">
        <v>3</v>
      </c>
      <c r="D38" s="360">
        <v>681.278912848</v>
      </c>
      <c r="E38" s="356">
        <v>2499.6666666666702</v>
      </c>
      <c r="F38" s="352">
        <v>0.27254790485984798</v>
      </c>
      <c r="G38" s="692">
        <v>1818.38775381867</v>
      </c>
      <c r="H38" s="693">
        <v>2389.6813333333298</v>
      </c>
      <c r="I38" s="694">
        <v>0.28509195069021798</v>
      </c>
    </row>
    <row r="39" spans="1:9" x14ac:dyDescent="0.35">
      <c r="A39" s="90" t="s">
        <v>95</v>
      </c>
      <c r="B39" s="223">
        <f t="shared" si="0"/>
        <v>51</v>
      </c>
      <c r="C39" s="691">
        <v>1</v>
      </c>
      <c r="D39" s="360">
        <v>277.57070821333298</v>
      </c>
      <c r="E39" s="356">
        <v>4117.3333333333303</v>
      </c>
      <c r="F39" s="352">
        <v>6.7415165531088103E-2</v>
      </c>
      <c r="G39" s="692">
        <v>3839.7626251199999</v>
      </c>
      <c r="H39" s="693">
        <v>3429.7386666666698</v>
      </c>
      <c r="I39" s="694">
        <v>8.0930570865652002E-2</v>
      </c>
    </row>
    <row r="40" spans="1:9" x14ac:dyDescent="0.35">
      <c r="A40" s="208" t="s">
        <v>122</v>
      </c>
      <c r="B40" s="223">
        <f t="shared" si="0"/>
        <v>37</v>
      </c>
      <c r="C40" s="691">
        <v>2</v>
      </c>
      <c r="D40" s="360">
        <v>50.136247276666701</v>
      </c>
      <c r="E40" s="917">
        <v>224.957734319</v>
      </c>
      <c r="F40" s="918">
        <v>0.22286963117067701</v>
      </c>
      <c r="G40" s="919">
        <v>174.82148704233299</v>
      </c>
      <c r="H40" s="920">
        <v>187.614750431</v>
      </c>
      <c r="I40" s="921">
        <v>0.26722977357319</v>
      </c>
    </row>
    <row r="41" spans="1:9" x14ac:dyDescent="0.35">
      <c r="A41" s="90" t="s">
        <v>103</v>
      </c>
      <c r="B41" s="223">
        <f t="shared" si="0"/>
        <v>51</v>
      </c>
      <c r="C41" s="691">
        <v>1</v>
      </c>
      <c r="D41" s="360">
        <v>54.165091263333302</v>
      </c>
      <c r="E41" s="356">
        <v>3200</v>
      </c>
      <c r="F41" s="352">
        <v>1.6926591019791701E-2</v>
      </c>
      <c r="G41" s="692">
        <v>3145.8349087366701</v>
      </c>
      <c r="H41" s="693">
        <v>2220.8000000000002</v>
      </c>
      <c r="I41" s="694">
        <v>2.4389900604887101E-2</v>
      </c>
    </row>
    <row r="42" spans="1:9" x14ac:dyDescent="0.35">
      <c r="A42" s="90" t="s">
        <v>309</v>
      </c>
      <c r="B42" s="223">
        <f t="shared" si="0"/>
        <v>37</v>
      </c>
      <c r="C42" s="691">
        <v>2</v>
      </c>
      <c r="D42" s="360">
        <v>434.868640088333</v>
      </c>
      <c r="E42" s="356">
        <v>3456.4833333333299</v>
      </c>
      <c r="F42" s="352">
        <v>0.12581245102343899</v>
      </c>
      <c r="G42" s="692">
        <v>3021.6146932450001</v>
      </c>
      <c r="H42" s="693">
        <v>3169.8732833333302</v>
      </c>
      <c r="I42" s="694">
        <v>0.13718802021986201</v>
      </c>
    </row>
    <row r="43" spans="1:9" x14ac:dyDescent="0.35">
      <c r="A43" s="208" t="s">
        <v>123</v>
      </c>
      <c r="B43" s="223">
        <f t="shared" si="0"/>
        <v>51</v>
      </c>
      <c r="C43" s="691">
        <v>1</v>
      </c>
      <c r="D43" s="360">
        <v>142.17948308366701</v>
      </c>
      <c r="E43" s="359">
        <v>4801</v>
      </c>
      <c r="F43" s="355">
        <v>2.9614555943275701E-2</v>
      </c>
      <c r="G43" s="698">
        <v>4658.8205169163302</v>
      </c>
      <c r="H43" s="699">
        <v>3331.8939999999998</v>
      </c>
      <c r="I43" s="700">
        <v>4.2672270811636499E-2</v>
      </c>
    </row>
    <row r="44" spans="1:9" x14ac:dyDescent="0.35">
      <c r="A44" s="208" t="s">
        <v>294</v>
      </c>
      <c r="B44" s="223">
        <f t="shared" si="0"/>
        <v>12</v>
      </c>
      <c r="C44" s="691">
        <v>5</v>
      </c>
      <c r="D44" s="360">
        <v>1360.50982856467</v>
      </c>
      <c r="E44" s="356">
        <v>2486</v>
      </c>
      <c r="F44" s="352">
        <v>0.54726863578627005</v>
      </c>
      <c r="G44" s="692">
        <v>1125.49017143533</v>
      </c>
      <c r="H44" s="693">
        <v>2070.8380000000002</v>
      </c>
      <c r="I44" s="694">
        <v>0.65698515700632598</v>
      </c>
    </row>
    <row r="45" spans="1:9" x14ac:dyDescent="0.35">
      <c r="A45" s="90" t="s">
        <v>7</v>
      </c>
      <c r="B45" s="223">
        <f t="shared" si="0"/>
        <v>7</v>
      </c>
      <c r="C45" s="691">
        <v>7</v>
      </c>
      <c r="D45" s="360">
        <v>2567.2361505303302</v>
      </c>
      <c r="E45" s="356">
        <v>3056.6666666666702</v>
      </c>
      <c r="F45" s="352">
        <v>0.83988096527709899</v>
      </c>
      <c r="G45" s="692">
        <v>489.43051613633298</v>
      </c>
      <c r="H45" s="693">
        <v>2922.17333333333</v>
      </c>
      <c r="I45" s="694">
        <v>0.87853657455763501</v>
      </c>
    </row>
    <row r="46" spans="1:9" x14ac:dyDescent="0.35">
      <c r="A46" s="208" t="s">
        <v>124</v>
      </c>
      <c r="B46" s="223">
        <f t="shared" si="0"/>
        <v>1</v>
      </c>
      <c r="C46" s="691">
        <v>10</v>
      </c>
      <c r="D46" s="360">
        <v>27.006160184999999</v>
      </c>
      <c r="E46" s="917">
        <v>12.758006</v>
      </c>
      <c r="F46" s="1252">
        <v>2.1168010255677898</v>
      </c>
      <c r="G46" s="1253">
        <v>-14.248154185000001</v>
      </c>
      <c r="H46" s="920">
        <v>10.640177004</v>
      </c>
      <c r="I46" s="1254">
        <v>2.5381307261004702</v>
      </c>
    </row>
    <row r="47" spans="1:9" x14ac:dyDescent="0.35">
      <c r="A47" s="208" t="s">
        <v>125</v>
      </c>
      <c r="B47" s="223">
        <f t="shared" si="0"/>
        <v>7</v>
      </c>
      <c r="C47" s="691">
        <v>7</v>
      </c>
      <c r="D47" s="360">
        <v>46.491946964</v>
      </c>
      <c r="E47" s="917">
        <v>55.678323333333303</v>
      </c>
      <c r="F47" s="918">
        <v>0.83500982394285495</v>
      </c>
      <c r="G47" s="919">
        <v>9.1863763693333294</v>
      </c>
      <c r="H47" s="920">
        <v>46.435721661000002</v>
      </c>
      <c r="I47" s="921">
        <v>1.0012108200537999</v>
      </c>
    </row>
    <row r="48" spans="1:9" x14ac:dyDescent="0.35">
      <c r="A48" s="208" t="s">
        <v>455</v>
      </c>
      <c r="B48" s="223">
        <f t="shared" si="0"/>
        <v>37</v>
      </c>
      <c r="C48" s="691">
        <v>2</v>
      </c>
      <c r="D48" s="360">
        <v>42.221759280999997</v>
      </c>
      <c r="E48" s="917">
        <v>270.40213598933298</v>
      </c>
      <c r="F48" s="918">
        <v>0.15614432602953099</v>
      </c>
      <c r="G48" s="919">
        <v>228.180376708333</v>
      </c>
      <c r="H48" s="920">
        <v>225.515381417333</v>
      </c>
      <c r="I48" s="921">
        <v>0.18722341250358199</v>
      </c>
    </row>
    <row r="49" spans="1:9" x14ac:dyDescent="0.35">
      <c r="A49" s="208" t="s">
        <v>11</v>
      </c>
      <c r="B49" s="223">
        <f t="shared" si="0"/>
        <v>37</v>
      </c>
      <c r="C49" s="691">
        <v>2</v>
      </c>
      <c r="D49" s="360">
        <v>474.61816429599997</v>
      </c>
      <c r="E49" s="917">
        <v>3191.5916666666699</v>
      </c>
      <c r="F49" s="918">
        <v>0.14870892453222101</v>
      </c>
      <c r="G49" s="919">
        <v>2716.9735023706698</v>
      </c>
      <c r="H49" s="920">
        <v>2658.5958583333299</v>
      </c>
      <c r="I49" s="921">
        <v>0.17852211828598</v>
      </c>
    </row>
    <row r="50" spans="1:9" x14ac:dyDescent="0.35">
      <c r="A50" s="208" t="s">
        <v>20</v>
      </c>
      <c r="B50" s="223">
        <f t="shared" si="0"/>
        <v>51</v>
      </c>
      <c r="C50" s="691">
        <v>1</v>
      </c>
      <c r="D50" s="360">
        <v>3.4892383436666701</v>
      </c>
      <c r="E50" s="917">
        <v>66.7</v>
      </c>
      <c r="F50" s="918">
        <v>5.2312418945527198E-2</v>
      </c>
      <c r="G50" s="919">
        <v>63.210761656333297</v>
      </c>
      <c r="H50" s="920">
        <v>46.2898</v>
      </c>
      <c r="I50" s="921">
        <v>7.5378125281739594E-2</v>
      </c>
    </row>
    <row r="51" spans="1:9" x14ac:dyDescent="0.35">
      <c r="A51" s="208" t="s">
        <v>456</v>
      </c>
      <c r="B51" s="223">
        <f t="shared" si="0"/>
        <v>1</v>
      </c>
      <c r="C51" s="691">
        <v>10</v>
      </c>
      <c r="D51" s="360">
        <v>21.406091520333302</v>
      </c>
      <c r="E51" s="917">
        <v>15.0183973326667</v>
      </c>
      <c r="F51" s="918">
        <v>1.42532462327207</v>
      </c>
      <c r="G51" s="919">
        <v>-6.3876941876666704</v>
      </c>
      <c r="H51" s="920">
        <v>12.5253433753333</v>
      </c>
      <c r="I51" s="921">
        <v>1.70902233007753</v>
      </c>
    </row>
    <row r="52" spans="1:9" x14ac:dyDescent="0.35">
      <c r="A52" s="208" t="s">
        <v>449</v>
      </c>
      <c r="B52" s="223">
        <f t="shared" si="0"/>
        <v>21</v>
      </c>
      <c r="C52" s="691">
        <v>3</v>
      </c>
      <c r="D52" s="360">
        <v>12.543001237666701</v>
      </c>
      <c r="E52" s="917">
        <v>47.528138331999997</v>
      </c>
      <c r="F52" s="918">
        <v>0.263906849244748</v>
      </c>
      <c r="G52" s="919">
        <v>34.985137094333297</v>
      </c>
      <c r="H52" s="920">
        <v>39.638467368000001</v>
      </c>
      <c r="I52" s="921">
        <v>0.31643507104395702</v>
      </c>
    </row>
    <row r="53" spans="1:9" x14ac:dyDescent="0.35">
      <c r="A53" s="208" t="s">
        <v>421</v>
      </c>
      <c r="B53" s="223">
        <f t="shared" si="0"/>
        <v>7</v>
      </c>
      <c r="C53" s="691">
        <v>7</v>
      </c>
      <c r="D53" s="360">
        <v>384.44428578066697</v>
      </c>
      <c r="E53" s="917">
        <v>443.32</v>
      </c>
      <c r="F53" s="918">
        <v>0.86719364292309498</v>
      </c>
      <c r="G53" s="919">
        <v>58.875714219333403</v>
      </c>
      <c r="H53" s="920">
        <v>404.75116000000003</v>
      </c>
      <c r="I53" s="921">
        <v>0.94982874361784797</v>
      </c>
    </row>
    <row r="54" spans="1:9" x14ac:dyDescent="0.35">
      <c r="A54" s="91" t="s">
        <v>100</v>
      </c>
      <c r="B54" s="223">
        <f t="shared" si="0"/>
        <v>12</v>
      </c>
      <c r="C54" s="691">
        <v>5</v>
      </c>
      <c r="D54" s="360">
        <v>5065.0483590169997</v>
      </c>
      <c r="E54" s="356">
        <v>8488.6666666666697</v>
      </c>
      <c r="F54" s="352">
        <v>0.59668362039782497</v>
      </c>
      <c r="G54" s="692">
        <v>3423.61830764967</v>
      </c>
      <c r="H54" s="693">
        <v>7750.3333333333303</v>
      </c>
      <c r="I54" s="694">
        <v>0.65352651830248198</v>
      </c>
    </row>
    <row r="55" spans="1:9" x14ac:dyDescent="0.35">
      <c r="A55" s="208" t="s">
        <v>15</v>
      </c>
      <c r="B55" s="223">
        <f t="shared" si="0"/>
        <v>51</v>
      </c>
      <c r="C55" s="691">
        <v>1</v>
      </c>
      <c r="D55" s="360">
        <v>31.064340464333299</v>
      </c>
      <c r="E55" s="917">
        <v>773.2</v>
      </c>
      <c r="F55" s="918">
        <v>4.01763327267632E-2</v>
      </c>
      <c r="G55" s="919">
        <v>742.13565953566695</v>
      </c>
      <c r="H55" s="920">
        <v>536.60080000000005</v>
      </c>
      <c r="I55" s="921">
        <v>5.7890969346921103E-2</v>
      </c>
    </row>
    <row r="56" spans="1:9" x14ac:dyDescent="0.35">
      <c r="A56" s="208" t="s">
        <v>176</v>
      </c>
      <c r="B56" s="223">
        <f t="shared" si="0"/>
        <v>51</v>
      </c>
      <c r="C56" s="691">
        <v>1</v>
      </c>
      <c r="D56" s="360">
        <v>25.352288555333299</v>
      </c>
      <c r="E56" s="917">
        <v>441.33333333333297</v>
      </c>
      <c r="F56" s="918">
        <v>5.7444762587613302E-2</v>
      </c>
      <c r="G56" s="919">
        <v>415.98104477800001</v>
      </c>
      <c r="H56" s="920">
        <v>402.93733333333302</v>
      </c>
      <c r="I56" s="921">
        <v>6.2918688485885305E-2</v>
      </c>
    </row>
    <row r="57" spans="1:9" x14ac:dyDescent="0.35">
      <c r="A57" s="208" t="s">
        <v>126</v>
      </c>
      <c r="B57" s="223">
        <f t="shared" si="0"/>
        <v>12</v>
      </c>
      <c r="C57" s="691">
        <v>5</v>
      </c>
      <c r="D57" s="360">
        <v>10.733480725</v>
      </c>
      <c r="E57" s="917">
        <v>18.805823665666701</v>
      </c>
      <c r="F57" s="918">
        <v>0.57075302394735605</v>
      </c>
      <c r="G57" s="919">
        <v>8.0723429406666707</v>
      </c>
      <c r="H57" s="920">
        <v>15.6840569366667</v>
      </c>
      <c r="I57" s="921">
        <v>0.68435614384355803</v>
      </c>
    </row>
    <row r="58" spans="1:9" x14ac:dyDescent="0.35">
      <c r="A58" s="90" t="s">
        <v>96</v>
      </c>
      <c r="B58" s="223">
        <f t="shared" si="0"/>
        <v>37</v>
      </c>
      <c r="C58" s="691">
        <v>2</v>
      </c>
      <c r="D58" s="360">
        <v>709.73127219100002</v>
      </c>
      <c r="E58" s="356">
        <v>3089.3333333333298</v>
      </c>
      <c r="F58" s="352">
        <v>0.229736061347971</v>
      </c>
      <c r="G58" s="692">
        <v>2379.6020611423301</v>
      </c>
      <c r="H58" s="693">
        <v>2573.4146666666702</v>
      </c>
      <c r="I58" s="694">
        <v>0.27579359105398699</v>
      </c>
    </row>
    <row r="59" spans="1:9" x14ac:dyDescent="0.35">
      <c r="A59" s="90" t="s">
        <v>457</v>
      </c>
      <c r="B59" s="223">
        <f t="shared" si="0"/>
        <v>21</v>
      </c>
      <c r="C59" s="691">
        <v>3</v>
      </c>
      <c r="D59" s="360">
        <v>71.233649432333294</v>
      </c>
      <c r="E59" s="356">
        <v>159.938656662667</v>
      </c>
      <c r="F59" s="352">
        <v>0.44538106620824802</v>
      </c>
      <c r="G59" s="692">
        <v>88.705007230333294</v>
      </c>
      <c r="H59" s="693">
        <v>133.38883965333301</v>
      </c>
      <c r="I59" s="694">
        <v>0.53403005541890702</v>
      </c>
    </row>
    <row r="60" spans="1:9" x14ac:dyDescent="0.35">
      <c r="A60" s="208" t="s">
        <v>127</v>
      </c>
      <c r="B60" s="223">
        <f t="shared" si="0"/>
        <v>37</v>
      </c>
      <c r="C60" s="691">
        <v>2</v>
      </c>
      <c r="D60" s="360">
        <v>8.0016167046666702</v>
      </c>
      <c r="E60" s="917">
        <v>39.568280666</v>
      </c>
      <c r="F60" s="918">
        <v>0.202223007165996</v>
      </c>
      <c r="G60" s="919">
        <v>31.566663961333301</v>
      </c>
      <c r="H60" s="920">
        <v>32.999946074333302</v>
      </c>
      <c r="I60" s="921">
        <v>0.24247362970360001</v>
      </c>
    </row>
    <row r="61" spans="1:9" x14ac:dyDescent="0.35">
      <c r="A61" s="208" t="s">
        <v>178</v>
      </c>
      <c r="B61" s="223">
        <f t="shared" si="0"/>
        <v>51</v>
      </c>
      <c r="C61" s="691">
        <v>1</v>
      </c>
      <c r="D61" s="360">
        <v>202.79070928233301</v>
      </c>
      <c r="E61" s="356">
        <v>2846.9946666666701</v>
      </c>
      <c r="F61" s="352">
        <v>7.1229746812194003E-2</v>
      </c>
      <c r="G61" s="692">
        <v>2644.2039573843299</v>
      </c>
      <c r="H61" s="693">
        <v>2721.7269013333298</v>
      </c>
      <c r="I61" s="694">
        <v>7.4508103360035605E-2</v>
      </c>
    </row>
    <row r="62" spans="1:9" x14ac:dyDescent="0.35">
      <c r="A62" s="208" t="s">
        <v>128</v>
      </c>
      <c r="B62" s="223">
        <f t="shared" si="0"/>
        <v>1</v>
      </c>
      <c r="C62" s="691">
        <v>10</v>
      </c>
      <c r="D62" s="360">
        <v>16.401270479666699</v>
      </c>
      <c r="E62" s="917">
        <v>11.2751963333333</v>
      </c>
      <c r="F62" s="1252">
        <v>1.4546328059209801</v>
      </c>
      <c r="G62" s="1253">
        <v>-5.1260741463333304</v>
      </c>
      <c r="H62" s="920">
        <v>9.4035137419999995</v>
      </c>
      <c r="I62" s="1254">
        <v>1.7441640358764801</v>
      </c>
    </row>
    <row r="63" spans="1:9" x14ac:dyDescent="0.35">
      <c r="A63" s="90" t="s">
        <v>18</v>
      </c>
      <c r="B63" s="223">
        <f t="shared" si="0"/>
        <v>51</v>
      </c>
      <c r="C63" s="691">
        <v>1</v>
      </c>
      <c r="D63" s="360">
        <v>10.187006399333301</v>
      </c>
      <c r="E63" s="917">
        <v>1050.06666666667</v>
      </c>
      <c r="F63" s="918">
        <v>9.7012949012761102E-3</v>
      </c>
      <c r="G63" s="919">
        <v>1039.8796602673301</v>
      </c>
      <c r="H63" s="920">
        <v>728.746266666667</v>
      </c>
      <c r="I63" s="921">
        <v>1.3978811096939599E-2</v>
      </c>
    </row>
    <row r="64" spans="1:9" x14ac:dyDescent="0.35">
      <c r="A64" s="208" t="s">
        <v>129</v>
      </c>
      <c r="B64" s="223">
        <f t="shared" si="0"/>
        <v>12</v>
      </c>
      <c r="C64" s="691">
        <v>5</v>
      </c>
      <c r="D64" s="360">
        <v>36.346446176999997</v>
      </c>
      <c r="E64" s="917">
        <v>62.584782666000002</v>
      </c>
      <c r="F64" s="918">
        <v>0.58075533106781396</v>
      </c>
      <c r="G64" s="919">
        <v>26.238336489000002</v>
      </c>
      <c r="H64" s="920">
        <v>52.195708744000001</v>
      </c>
      <c r="I64" s="921">
        <v>0.696349317819697</v>
      </c>
    </row>
    <row r="65" spans="1:9" x14ac:dyDescent="0.35">
      <c r="A65" s="208" t="s">
        <v>458</v>
      </c>
      <c r="B65" s="223">
        <f t="shared" si="0"/>
        <v>1</v>
      </c>
      <c r="C65" s="691">
        <v>10</v>
      </c>
      <c r="D65" s="360">
        <v>79.099454166666703</v>
      </c>
      <c r="E65" s="917">
        <v>64.012442666666701</v>
      </c>
      <c r="F65" s="918">
        <v>1.23568873286968</v>
      </c>
      <c r="G65" s="919">
        <v>-15.087011499999999</v>
      </c>
      <c r="H65" s="920">
        <v>53.386377183333302</v>
      </c>
      <c r="I65" s="921">
        <v>1.48164116652892</v>
      </c>
    </row>
    <row r="66" spans="1:9" x14ac:dyDescent="0.35">
      <c r="A66" s="208" t="s">
        <v>291</v>
      </c>
      <c r="B66" s="223">
        <f t="shared" si="0"/>
        <v>7</v>
      </c>
      <c r="C66" s="691">
        <v>7</v>
      </c>
      <c r="D66" s="360">
        <v>11.0624866293333</v>
      </c>
      <c r="E66" s="917">
        <v>13.445981668</v>
      </c>
      <c r="F66" s="1252">
        <v>0.82273551329174199</v>
      </c>
      <c r="G66" s="1253">
        <v>2.3834950386666698</v>
      </c>
      <c r="H66" s="920">
        <v>11.214108945</v>
      </c>
      <c r="I66" s="1254">
        <v>0.986479325605779</v>
      </c>
    </row>
    <row r="67" spans="1:9" x14ac:dyDescent="0.35">
      <c r="A67" s="208" t="s">
        <v>335</v>
      </c>
      <c r="B67" s="223">
        <f t="shared" si="0"/>
        <v>1</v>
      </c>
      <c r="C67" s="691">
        <v>10</v>
      </c>
      <c r="D67" s="360">
        <v>386.09212047266698</v>
      </c>
      <c r="E67" s="917">
        <v>278.99544801433302</v>
      </c>
      <c r="F67" s="1252">
        <v>1.38386530397023</v>
      </c>
      <c r="G67" s="1253">
        <v>-107.096672458333</v>
      </c>
      <c r="H67" s="920">
        <v>232.682203644</v>
      </c>
      <c r="I67" s="1254">
        <v>1.6593109160311299</v>
      </c>
    </row>
    <row r="68" spans="1:9" x14ac:dyDescent="0.35">
      <c r="A68" s="90" t="s">
        <v>111</v>
      </c>
      <c r="B68" s="223">
        <f t="shared" si="0"/>
        <v>7</v>
      </c>
      <c r="C68" s="691">
        <v>7</v>
      </c>
      <c r="D68" s="360">
        <v>9523.2874112376703</v>
      </c>
      <c r="E68" s="356">
        <v>12442</v>
      </c>
      <c r="F68" s="352">
        <v>0.76541451625443402</v>
      </c>
      <c r="G68" s="692">
        <v>2918.7125887623301</v>
      </c>
      <c r="H68" s="693">
        <v>11894.552</v>
      </c>
      <c r="I68" s="694">
        <v>0.80064279942932404</v>
      </c>
    </row>
    <row r="69" spans="1:9" x14ac:dyDescent="0.35">
      <c r="A69" s="90" t="s">
        <v>179</v>
      </c>
      <c r="B69" s="223">
        <f t="shared" si="0"/>
        <v>21</v>
      </c>
      <c r="C69" s="691">
        <v>3</v>
      </c>
      <c r="D69" s="362">
        <v>22.146472718999998</v>
      </c>
      <c r="E69" s="358">
        <v>74.400000000000006</v>
      </c>
      <c r="F69" s="354">
        <v>0.29766764407258101</v>
      </c>
      <c r="G69" s="701">
        <v>52.253527280999997</v>
      </c>
      <c r="H69" s="702">
        <v>66.393866666666696</v>
      </c>
      <c r="I69" s="703">
        <v>0.33356202659783801</v>
      </c>
    </row>
    <row r="70" spans="1:9" x14ac:dyDescent="0.35">
      <c r="A70" s="1270" t="s">
        <v>454</v>
      </c>
      <c r="B70" s="223">
        <f t="shared" si="0"/>
        <v>37</v>
      </c>
      <c r="C70" s="1271">
        <v>2</v>
      </c>
      <c r="D70" s="1272">
        <v>24.128705737000001</v>
      </c>
      <c r="E70" s="1273">
        <v>193.26331865133301</v>
      </c>
      <c r="F70" s="1274">
        <v>0.12484886374393001</v>
      </c>
      <c r="G70" s="1275">
        <v>169.13461291433299</v>
      </c>
      <c r="H70" s="1276">
        <v>161.181607742333</v>
      </c>
      <c r="I70" s="1277">
        <v>0.149698877402764</v>
      </c>
    </row>
    <row r="71" spans="1:9" ht="18.600000000000001" thickBot="1" x14ac:dyDescent="0.4">
      <c r="A71" s="159" t="s">
        <v>180</v>
      </c>
      <c r="B71" s="223">
        <f t="shared" si="0"/>
        <v>21</v>
      </c>
      <c r="C71" s="704">
        <v>3</v>
      </c>
      <c r="D71" s="363">
        <v>3714.0424060649998</v>
      </c>
      <c r="E71" s="916">
        <v>7532.0927879999999</v>
      </c>
      <c r="F71" s="1163">
        <v>0.49309567879755101</v>
      </c>
      <c r="G71" s="1165">
        <v>3818.0503819350001</v>
      </c>
      <c r="H71" s="1167">
        <v>6976.5933851999998</v>
      </c>
      <c r="I71" s="1169">
        <v>0.53235758499899</v>
      </c>
    </row>
    <row r="73" spans="1:9" x14ac:dyDescent="0.35">
      <c r="A73" s="572"/>
      <c r="B73" s="583"/>
      <c r="C73" s="587"/>
      <c r="D73" s="586"/>
      <c r="E73" s="586"/>
      <c r="F73" s="578"/>
      <c r="G73" s="578"/>
      <c r="H73" s="578"/>
      <c r="I73" s="578"/>
    </row>
    <row r="74" spans="1:9" x14ac:dyDescent="0.35">
      <c r="A74" s="572"/>
      <c r="B74" s="583"/>
      <c r="C74" s="587"/>
      <c r="D74" s="586"/>
      <c r="E74" s="586"/>
      <c r="F74" s="578"/>
      <c r="G74" s="578"/>
      <c r="H74" s="578"/>
      <c r="I74" s="578"/>
    </row>
    <row r="75" spans="1:9" ht="19.8" x14ac:dyDescent="0.4">
      <c r="A75" s="705" t="s">
        <v>431</v>
      </c>
      <c r="B75" s="584"/>
      <c r="C75" s="590"/>
      <c r="D75" s="588"/>
      <c r="E75" s="588"/>
      <c r="F75" s="589"/>
      <c r="G75" s="589"/>
      <c r="H75" s="1265"/>
      <c r="I75" s="1265"/>
    </row>
    <row r="76" spans="1:9" x14ac:dyDescent="0.35">
      <c r="A76" s="338" t="s">
        <v>432</v>
      </c>
      <c r="B76" s="583"/>
      <c r="C76" s="707"/>
      <c r="D76" s="711">
        <v>6.4350705666666702E-2</v>
      </c>
      <c r="E76" s="929">
        <v>3.6309909999999999</v>
      </c>
      <c r="F76" s="930">
        <v>1.7722628799318602E-2</v>
      </c>
      <c r="G76" s="712">
        <v>3.5666402943333302</v>
      </c>
      <c r="H76" s="709"/>
      <c r="I76" s="710"/>
    </row>
    <row r="77" spans="1:9" x14ac:dyDescent="0.35">
      <c r="A77" s="337" t="s">
        <v>433</v>
      </c>
      <c r="B77" s="583"/>
      <c r="C77" s="707"/>
      <c r="D77" s="711">
        <v>3.9419247999999997E-2</v>
      </c>
      <c r="E77" s="929">
        <v>4.6308573406666698</v>
      </c>
      <c r="F77" s="930">
        <v>8.5123002286926694E-3</v>
      </c>
      <c r="G77" s="712">
        <v>4.59143809266667</v>
      </c>
      <c r="H77" s="709"/>
      <c r="I77" s="1264"/>
    </row>
    <row r="78" spans="1:9" x14ac:dyDescent="0.35">
      <c r="A78" s="337" t="s">
        <v>434</v>
      </c>
      <c r="B78" s="583"/>
      <c r="C78" s="707"/>
      <c r="D78" s="711">
        <v>0.91137101466666703</v>
      </c>
      <c r="E78" s="931" t="s">
        <v>82</v>
      </c>
      <c r="F78" s="930"/>
      <c r="G78" s="713"/>
      <c r="H78" s="714"/>
      <c r="I78" s="715"/>
    </row>
    <row r="79" spans="1:9" x14ac:dyDescent="0.35">
      <c r="A79" s="337" t="s">
        <v>435</v>
      </c>
      <c r="B79" s="583"/>
      <c r="C79" s="707"/>
      <c r="D79" s="711">
        <v>0</v>
      </c>
      <c r="E79" s="931" t="s">
        <v>82</v>
      </c>
      <c r="F79" s="930"/>
      <c r="G79" s="713"/>
      <c r="H79" s="714"/>
      <c r="I79" s="715"/>
    </row>
    <row r="80" spans="1:9" x14ac:dyDescent="0.35">
      <c r="A80" s="339" t="s">
        <v>436</v>
      </c>
      <c r="B80" s="583"/>
      <c r="C80" s="706"/>
      <c r="D80" s="716">
        <v>0</v>
      </c>
      <c r="E80" s="932" t="s">
        <v>206</v>
      </c>
      <c r="F80" s="933"/>
      <c r="G80" s="717"/>
      <c r="H80" s="709"/>
      <c r="I80" s="710"/>
    </row>
    <row r="81" spans="1:9" x14ac:dyDescent="0.35">
      <c r="A81" s="339" t="s">
        <v>440</v>
      </c>
      <c r="B81" s="583"/>
      <c r="C81" s="706"/>
      <c r="D81" s="716">
        <v>0</v>
      </c>
      <c r="E81" s="932" t="s">
        <v>206</v>
      </c>
      <c r="F81" s="933"/>
      <c r="G81" s="717"/>
      <c r="H81" s="709"/>
      <c r="I81" s="710"/>
    </row>
    <row r="82" spans="1:9" x14ac:dyDescent="0.35">
      <c r="A82" s="337" t="s">
        <v>437</v>
      </c>
      <c r="B82" s="583"/>
      <c r="C82" s="707"/>
      <c r="D82" s="711">
        <v>4.97775336666667E-2</v>
      </c>
      <c r="E82" s="931" t="s">
        <v>206</v>
      </c>
      <c r="F82" s="930"/>
      <c r="G82" s="718"/>
      <c r="H82" s="719"/>
      <c r="I82" s="720"/>
    </row>
    <row r="83" spans="1:9" x14ac:dyDescent="0.35">
      <c r="A83" s="337" t="s">
        <v>438</v>
      </c>
      <c r="B83" s="581"/>
      <c r="C83" s="707"/>
      <c r="D83" s="711">
        <v>1.82695093566667</v>
      </c>
      <c r="E83" s="929">
        <v>24.405247667333299</v>
      </c>
      <c r="F83" s="930">
        <v>7.4858938559843394E-2</v>
      </c>
      <c r="G83" s="712">
        <v>22.5782967316667</v>
      </c>
      <c r="H83" s="709"/>
      <c r="I83" s="710"/>
    </row>
    <row r="84" spans="1:9" x14ac:dyDescent="0.35">
      <c r="A84" s="337" t="s">
        <v>439</v>
      </c>
      <c r="B84" s="585"/>
      <c r="C84" s="706"/>
      <c r="D84" s="716">
        <v>20.669537929000001</v>
      </c>
      <c r="E84" s="931" t="s">
        <v>82</v>
      </c>
      <c r="F84" s="934"/>
      <c r="G84" s="721"/>
      <c r="H84" s="722"/>
      <c r="I84" s="723"/>
    </row>
    <row r="85" spans="1:9" x14ac:dyDescent="0.35">
      <c r="A85" s="337" t="s">
        <v>441</v>
      </c>
      <c r="B85" s="583"/>
      <c r="C85" s="707"/>
      <c r="D85" s="711">
        <v>7.8118206666666704E-3</v>
      </c>
      <c r="E85" s="931" t="s">
        <v>82</v>
      </c>
      <c r="F85" s="930"/>
      <c r="G85" s="713"/>
      <c r="H85" s="714"/>
      <c r="I85" s="715"/>
    </row>
    <row r="86" spans="1:9" x14ac:dyDescent="0.35">
      <c r="A86" s="337" t="s">
        <v>443</v>
      </c>
      <c r="B86" s="581"/>
      <c r="C86" s="707"/>
      <c r="D86" s="711">
        <v>0.79641335166666705</v>
      </c>
      <c r="E86" s="929">
        <v>5.068797</v>
      </c>
      <c r="F86" s="930">
        <v>0.157120782636722</v>
      </c>
      <c r="G86" s="712">
        <v>4.2723836483333297</v>
      </c>
      <c r="H86" s="709"/>
      <c r="I86" s="710"/>
    </row>
    <row r="87" spans="1:9" x14ac:dyDescent="0.35">
      <c r="A87" s="337" t="s">
        <v>444</v>
      </c>
      <c r="B87" s="581"/>
      <c r="C87" s="707"/>
      <c r="D87" s="711">
        <v>0.35158077700000001</v>
      </c>
      <c r="E87" s="929">
        <v>2.51496866666667</v>
      </c>
      <c r="F87" s="930">
        <v>0.139795291154058</v>
      </c>
      <c r="G87" s="712">
        <v>2.1633878896666698</v>
      </c>
      <c r="H87" s="709"/>
      <c r="I87" s="710"/>
    </row>
    <row r="88" spans="1:9" x14ac:dyDescent="0.35">
      <c r="A88" s="337" t="s">
        <v>445</v>
      </c>
      <c r="B88" s="581"/>
      <c r="C88" s="707"/>
      <c r="D88" s="711">
        <v>7.5331106666666698E-3</v>
      </c>
      <c r="E88" s="931" t="s">
        <v>82</v>
      </c>
      <c r="F88" s="930"/>
      <c r="G88" s="718"/>
      <c r="H88" s="719"/>
      <c r="I88" s="720"/>
    </row>
    <row r="89" spans="1:9" x14ac:dyDescent="0.35">
      <c r="A89" s="337" t="s">
        <v>446</v>
      </c>
      <c r="B89" s="583"/>
      <c r="C89" s="707"/>
      <c r="D89" s="711">
        <v>3.1929557333333303E-2</v>
      </c>
      <c r="E89" s="931" t="s">
        <v>82</v>
      </c>
      <c r="F89" s="930"/>
      <c r="G89" s="713"/>
      <c r="H89" s="714"/>
      <c r="I89" s="715"/>
    </row>
    <row r="90" spans="1:9" x14ac:dyDescent="0.35">
      <c r="A90" s="337" t="s">
        <v>452</v>
      </c>
      <c r="B90" s="580"/>
      <c r="C90" s="707"/>
      <c r="D90" s="711">
        <v>0.291759408</v>
      </c>
      <c r="E90" s="929">
        <v>14.2106926666667</v>
      </c>
      <c r="F90" s="930">
        <v>2.0530977260831602E-2</v>
      </c>
      <c r="G90" s="712">
        <v>13.9189332586667</v>
      </c>
      <c r="H90" s="709"/>
      <c r="I90" s="710"/>
    </row>
    <row r="91" spans="1:9" x14ac:dyDescent="0.35">
      <c r="A91" s="339" t="s">
        <v>453</v>
      </c>
      <c r="B91" s="580"/>
      <c r="C91" s="706"/>
      <c r="D91" s="1266">
        <v>2.6979341880000001</v>
      </c>
      <c r="E91" s="1267">
        <v>1.0192093333333301</v>
      </c>
      <c r="F91" s="1268">
        <v>2.6470854413944398</v>
      </c>
      <c r="G91" s="1269">
        <v>-1.67872485466667</v>
      </c>
      <c r="H91" s="722"/>
      <c r="I91" s="723"/>
    </row>
    <row r="92" spans="1:9" x14ac:dyDescent="0.35">
      <c r="A92" s="582"/>
      <c r="B92" s="580"/>
      <c r="C92" s="580"/>
      <c r="D92" s="572"/>
      <c r="E92" s="572"/>
      <c r="F92" s="578"/>
      <c r="G92" s="579"/>
      <c r="H92" s="579"/>
      <c r="I92" s="579"/>
    </row>
    <row r="93" spans="1:9" x14ac:dyDescent="0.35">
      <c r="A93" s="580"/>
      <c r="B93" s="581"/>
      <c r="C93" s="580"/>
      <c r="D93" s="580"/>
      <c r="E93" s="580"/>
      <c r="F93" s="580"/>
      <c r="G93" s="580"/>
      <c r="H93" s="572"/>
      <c r="I93" s="580"/>
    </row>
    <row r="94" spans="1:9" x14ac:dyDescent="0.35">
      <c r="A94" s="582"/>
      <c r="B94" s="581"/>
      <c r="C94" s="580"/>
      <c r="D94" s="572"/>
      <c r="E94" s="572"/>
      <c r="F94" s="578"/>
      <c r="G94" s="579"/>
      <c r="H94" s="579"/>
      <c r="I94" s="579"/>
    </row>
    <row r="95" spans="1:9" x14ac:dyDescent="0.35">
      <c r="A95" s="582"/>
      <c r="B95" s="581"/>
      <c r="C95" s="580"/>
      <c r="D95" s="572"/>
      <c r="E95" s="572"/>
      <c r="F95" s="578"/>
      <c r="G95" s="579"/>
      <c r="H95" s="579"/>
      <c r="I95" s="579"/>
    </row>
    <row r="96" spans="1:9" x14ac:dyDescent="0.35">
      <c r="A96" s="582"/>
      <c r="B96" s="581"/>
      <c r="C96" s="580"/>
      <c r="D96" s="572"/>
      <c r="E96" s="572"/>
      <c r="F96" s="578"/>
      <c r="G96" s="579"/>
      <c r="H96" s="579"/>
      <c r="I96" s="579"/>
    </row>
    <row r="97" spans="1:9" x14ac:dyDescent="0.35">
      <c r="A97" s="582"/>
      <c r="B97" s="581"/>
      <c r="C97" s="580"/>
      <c r="D97" s="572"/>
      <c r="E97" s="572"/>
      <c r="F97" s="578"/>
      <c r="G97" s="579"/>
      <c r="H97" s="579"/>
      <c r="I97" s="579"/>
    </row>
    <row r="98" spans="1:9" x14ac:dyDescent="0.35">
      <c r="A98" s="582"/>
      <c r="B98" s="583"/>
      <c r="C98" s="580"/>
      <c r="D98" s="572"/>
      <c r="E98" s="572"/>
      <c r="F98" s="578"/>
      <c r="G98" s="579"/>
      <c r="H98" s="579"/>
      <c r="I98" s="579"/>
    </row>
  </sheetData>
  <sortState ref="A7:M63">
    <sortCondition descending="1" ref="F7:F63"/>
  </sortState>
  <conditionalFormatting sqref="G7:G71">
    <cfRule type="cellIs" dxfId="4" priority="2" operator="lessThan">
      <formula>0</formula>
    </cfRule>
  </conditionalFormatting>
  <conditionalFormatting sqref="F7:F71 I7:I71">
    <cfRule type="cellIs" dxfId="3" priority="1" operator="greaterThan">
      <formula>1</formula>
    </cfRule>
  </conditionalFormatting>
  <conditionalFormatting sqref="B7:B71">
    <cfRule type="colorScale" priority="186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2021-12-17T23:09:20Z</dcterms:modified>
</cp:coreProperties>
</file>