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aic\Downloads\"/>
    </mc:Choice>
  </mc:AlternateContent>
  <xr:revisionPtr revIDLastSave="0" documentId="8_{87D7523F-7B3C-48E1-A347-82D6F40706F6}" xr6:coauthVersionLast="47" xr6:coauthVersionMax="47" xr10:uidLastSave="{00000000-0000-0000-0000-000000000000}"/>
  <bookViews>
    <workbookView xWindow="-108" yWindow="-108" windowWidth="23256" windowHeight="13176" firstSheet="5" activeTab="7" xr2:uid="{00000000-000D-0000-FFFF-FFFF00000000}"/>
  </bookViews>
  <sheets>
    <sheet name="Profit &amp; Loss" sheetId="1" state="hidden" r:id="rId1"/>
    <sheet name="Quarters" sheetId="3" state="hidden" r:id="rId2"/>
    <sheet name="Balance Sheet" sheetId="2" state="hidden" r:id="rId3"/>
    <sheet name="Cash Flow" sheetId="4" state="hidden" r:id="rId4"/>
    <sheet name="Customization" sheetId="5" state="hidden" r:id="rId5"/>
    <sheet name="Data&gt;" sheetId="9" r:id="rId6"/>
    <sheet name="Financials" sheetId="7" r:id="rId7"/>
    <sheet name="HistoricaIFS" sheetId="8" r:id="rId8"/>
    <sheet name="Cashflow" sheetId="10" r:id="rId9"/>
    <sheet name="Data Sheet" sheetId="6" r:id="rId10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8" l="1"/>
  <c r="K103" i="8"/>
  <c r="J103" i="8"/>
  <c r="I103" i="8"/>
  <c r="H103" i="8"/>
  <c r="G103" i="8"/>
  <c r="F103" i="8"/>
  <c r="E103" i="8"/>
  <c r="D103" i="8"/>
  <c r="C103" i="8"/>
  <c r="K102" i="8"/>
  <c r="J102" i="8"/>
  <c r="I102" i="8"/>
  <c r="H102" i="8"/>
  <c r="G102" i="8"/>
  <c r="F102" i="8"/>
  <c r="E102" i="8"/>
  <c r="D102" i="8"/>
  <c r="C102" i="8"/>
  <c r="K101" i="8"/>
  <c r="J101" i="8"/>
  <c r="I101" i="8"/>
  <c r="H101" i="8"/>
  <c r="G101" i="8"/>
  <c r="F101" i="8"/>
  <c r="E101" i="8"/>
  <c r="D101" i="8"/>
  <c r="C101" i="8"/>
  <c r="K100" i="8"/>
  <c r="J100" i="8"/>
  <c r="I100" i="8"/>
  <c r="H100" i="8"/>
  <c r="G100" i="8"/>
  <c r="F100" i="8"/>
  <c r="E100" i="8"/>
  <c r="D100" i="8"/>
  <c r="C100" i="8"/>
  <c r="K99" i="8"/>
  <c r="J99" i="8"/>
  <c r="I99" i="8"/>
  <c r="H99" i="8"/>
  <c r="G99" i="8"/>
  <c r="F99" i="8"/>
  <c r="E99" i="8"/>
  <c r="D99" i="8"/>
  <c r="C99" i="8"/>
  <c r="K98" i="8"/>
  <c r="J98" i="8"/>
  <c r="I98" i="8"/>
  <c r="H98" i="8"/>
  <c r="G98" i="8"/>
  <c r="F98" i="8"/>
  <c r="E98" i="8"/>
  <c r="D98" i="8"/>
  <c r="C98" i="8"/>
  <c r="K97" i="8"/>
  <c r="J97" i="8"/>
  <c r="I97" i="8"/>
  <c r="H97" i="8"/>
  <c r="G97" i="8"/>
  <c r="F97" i="8"/>
  <c r="E97" i="8"/>
  <c r="D97" i="8"/>
  <c r="C97" i="8"/>
  <c r="K96" i="8"/>
  <c r="J96" i="8"/>
  <c r="I96" i="8"/>
  <c r="H96" i="8"/>
  <c r="G96" i="8"/>
  <c r="F96" i="8"/>
  <c r="E96" i="8"/>
  <c r="D96" i="8"/>
  <c r="D104" i="8" s="1"/>
  <c r="C96" i="8"/>
  <c r="K95" i="8"/>
  <c r="J95" i="8"/>
  <c r="I95" i="8"/>
  <c r="H95" i="8"/>
  <c r="G95" i="8"/>
  <c r="F95" i="8"/>
  <c r="E95" i="8"/>
  <c r="D95" i="8"/>
  <c r="C95" i="8"/>
  <c r="K91" i="8"/>
  <c r="J91" i="8"/>
  <c r="I91" i="8"/>
  <c r="H91" i="8"/>
  <c r="G91" i="8"/>
  <c r="F91" i="8"/>
  <c r="E91" i="8"/>
  <c r="D91" i="8"/>
  <c r="K90" i="8"/>
  <c r="J90" i="8"/>
  <c r="I90" i="8"/>
  <c r="H90" i="8"/>
  <c r="G90" i="8"/>
  <c r="F90" i="8"/>
  <c r="E90" i="8"/>
  <c r="D90" i="8"/>
  <c r="K89" i="8"/>
  <c r="J89" i="8"/>
  <c r="I89" i="8"/>
  <c r="H89" i="8"/>
  <c r="G89" i="8"/>
  <c r="F89" i="8"/>
  <c r="E89" i="8"/>
  <c r="D89" i="8"/>
  <c r="K88" i="8"/>
  <c r="J88" i="8"/>
  <c r="I88" i="8"/>
  <c r="H88" i="8"/>
  <c r="G88" i="8"/>
  <c r="F88" i="8"/>
  <c r="E88" i="8"/>
  <c r="D88" i="8"/>
  <c r="K87" i="8"/>
  <c r="J87" i="8"/>
  <c r="I87" i="8"/>
  <c r="H87" i="8"/>
  <c r="G87" i="8"/>
  <c r="F87" i="8"/>
  <c r="E87" i="8"/>
  <c r="D87" i="8"/>
  <c r="K86" i="8"/>
  <c r="J86" i="8"/>
  <c r="I86" i="8"/>
  <c r="H86" i="8"/>
  <c r="G86" i="8"/>
  <c r="F86" i="8"/>
  <c r="E86" i="8"/>
  <c r="D86" i="8"/>
  <c r="K85" i="8"/>
  <c r="J85" i="8"/>
  <c r="I85" i="8"/>
  <c r="H85" i="8"/>
  <c r="G85" i="8"/>
  <c r="F85" i="8"/>
  <c r="E85" i="8"/>
  <c r="D85" i="8"/>
  <c r="K84" i="8"/>
  <c r="J84" i="8"/>
  <c r="I84" i="8"/>
  <c r="H84" i="8"/>
  <c r="G84" i="8"/>
  <c r="F84" i="8"/>
  <c r="E84" i="8"/>
  <c r="D84" i="8"/>
  <c r="K83" i="8"/>
  <c r="J83" i="8"/>
  <c r="I83" i="8"/>
  <c r="H83" i="8"/>
  <c r="G83" i="8"/>
  <c r="F83" i="8"/>
  <c r="E83" i="8"/>
  <c r="D83" i="8"/>
  <c r="K82" i="8"/>
  <c r="J82" i="8"/>
  <c r="I82" i="8"/>
  <c r="H82" i="8"/>
  <c r="G82" i="8"/>
  <c r="F82" i="8"/>
  <c r="E82" i="8"/>
  <c r="D82" i="8"/>
  <c r="K81" i="8"/>
  <c r="J81" i="8"/>
  <c r="I81" i="8"/>
  <c r="I92" i="8" s="1"/>
  <c r="H81" i="8"/>
  <c r="G81" i="8"/>
  <c r="G92" i="8" s="1"/>
  <c r="F81" i="8"/>
  <c r="E81" i="8"/>
  <c r="E92" i="8" s="1"/>
  <c r="D81" i="8"/>
  <c r="C82" i="8"/>
  <c r="C83" i="8"/>
  <c r="C84" i="8"/>
  <c r="C85" i="8"/>
  <c r="C86" i="8"/>
  <c r="C87" i="8"/>
  <c r="C88" i="8"/>
  <c r="C89" i="8"/>
  <c r="C90" i="8"/>
  <c r="C91" i="8"/>
  <c r="C81" i="8"/>
  <c r="K77" i="8"/>
  <c r="J77" i="8"/>
  <c r="I77" i="8"/>
  <c r="H77" i="8"/>
  <c r="G77" i="8"/>
  <c r="F77" i="8"/>
  <c r="E77" i="8"/>
  <c r="D77" i="8"/>
  <c r="C77" i="8"/>
  <c r="K76" i="8"/>
  <c r="J76" i="8"/>
  <c r="I76" i="8"/>
  <c r="H76" i="8"/>
  <c r="G76" i="8"/>
  <c r="F76" i="8"/>
  <c r="E76" i="8"/>
  <c r="D76" i="8"/>
  <c r="C76" i="8"/>
  <c r="K75" i="8"/>
  <c r="J75" i="8"/>
  <c r="I75" i="8"/>
  <c r="H75" i="8"/>
  <c r="G75" i="8"/>
  <c r="F75" i="8"/>
  <c r="E75" i="8"/>
  <c r="D75" i="8"/>
  <c r="C75" i="8"/>
  <c r="K74" i="8"/>
  <c r="J74" i="8"/>
  <c r="I74" i="8"/>
  <c r="H74" i="8"/>
  <c r="G74" i="8"/>
  <c r="F74" i="8"/>
  <c r="E74" i="8"/>
  <c r="D74" i="8"/>
  <c r="C74" i="8"/>
  <c r="K73" i="8"/>
  <c r="J73" i="8"/>
  <c r="I73" i="8"/>
  <c r="H73" i="8"/>
  <c r="G73" i="8"/>
  <c r="F73" i="8"/>
  <c r="E73" i="8"/>
  <c r="D73" i="8"/>
  <c r="C73" i="8"/>
  <c r="K72" i="8"/>
  <c r="J72" i="8"/>
  <c r="I72" i="8"/>
  <c r="H72" i="8"/>
  <c r="G72" i="8"/>
  <c r="F72" i="8"/>
  <c r="E72" i="8"/>
  <c r="D72" i="8"/>
  <c r="C72" i="8"/>
  <c r="K71" i="8"/>
  <c r="J71" i="8"/>
  <c r="I71" i="8"/>
  <c r="H71" i="8"/>
  <c r="G71" i="8"/>
  <c r="F71" i="8"/>
  <c r="E71" i="8"/>
  <c r="D71" i="8"/>
  <c r="C71" i="8"/>
  <c r="K70" i="8"/>
  <c r="J70" i="8"/>
  <c r="I70" i="8"/>
  <c r="H70" i="8"/>
  <c r="G70" i="8"/>
  <c r="F70" i="8"/>
  <c r="F78" i="8" s="1"/>
  <c r="E70" i="8"/>
  <c r="E78" i="8" s="1"/>
  <c r="D70" i="8"/>
  <c r="D78" i="8" s="1"/>
  <c r="C70" i="8"/>
  <c r="K57" i="8"/>
  <c r="J57" i="8"/>
  <c r="I57" i="8"/>
  <c r="H57" i="8"/>
  <c r="G57" i="8"/>
  <c r="F57" i="8"/>
  <c r="E57" i="8"/>
  <c r="D57" i="8"/>
  <c r="C57" i="8"/>
  <c r="C60" i="8"/>
  <c r="D60" i="8"/>
  <c r="E60" i="8"/>
  <c r="F60" i="8"/>
  <c r="G60" i="8"/>
  <c r="H60" i="8"/>
  <c r="I60" i="8"/>
  <c r="J60" i="8"/>
  <c r="K60" i="8"/>
  <c r="C61" i="8"/>
  <c r="D61" i="8"/>
  <c r="E61" i="8"/>
  <c r="F61" i="8"/>
  <c r="G61" i="8"/>
  <c r="H61" i="8"/>
  <c r="I61" i="8"/>
  <c r="J61" i="8"/>
  <c r="K61" i="8"/>
  <c r="C62" i="8"/>
  <c r="D62" i="8"/>
  <c r="E62" i="8"/>
  <c r="F62" i="8"/>
  <c r="G62" i="8"/>
  <c r="H62" i="8"/>
  <c r="I62" i="8"/>
  <c r="J62" i="8"/>
  <c r="K62" i="8"/>
  <c r="C48" i="8"/>
  <c r="K56" i="8"/>
  <c r="J56" i="8"/>
  <c r="I56" i="8"/>
  <c r="H56" i="8"/>
  <c r="G56" i="8"/>
  <c r="F56" i="8"/>
  <c r="E56" i="8"/>
  <c r="D56" i="8"/>
  <c r="C56" i="8"/>
  <c r="K55" i="8"/>
  <c r="J55" i="8"/>
  <c r="I55" i="8"/>
  <c r="H55" i="8"/>
  <c r="G55" i="8"/>
  <c r="F55" i="8"/>
  <c r="E55" i="8"/>
  <c r="D55" i="8"/>
  <c r="C55" i="8"/>
  <c r="K54" i="8"/>
  <c r="J54" i="8"/>
  <c r="J58" i="8" s="1"/>
  <c r="I54" i="8"/>
  <c r="I58" i="8" s="1"/>
  <c r="H54" i="8"/>
  <c r="H58" i="8" s="1"/>
  <c r="G54" i="8"/>
  <c r="F54" i="8"/>
  <c r="E54" i="8"/>
  <c r="D54" i="8"/>
  <c r="C54" i="8"/>
  <c r="K52" i="8"/>
  <c r="J52" i="8"/>
  <c r="I52" i="8"/>
  <c r="H52" i="8"/>
  <c r="G52" i="8"/>
  <c r="F52" i="8"/>
  <c r="E52" i="8"/>
  <c r="D52" i="8"/>
  <c r="C52" i="8"/>
  <c r="K51" i="8"/>
  <c r="J51" i="8"/>
  <c r="I51" i="8"/>
  <c r="H51" i="8"/>
  <c r="G51" i="8"/>
  <c r="F51" i="8"/>
  <c r="E51" i="8"/>
  <c r="D51" i="8"/>
  <c r="C51" i="8"/>
  <c r="K50" i="8"/>
  <c r="J50" i="8"/>
  <c r="I50" i="8"/>
  <c r="H50" i="8"/>
  <c r="G50" i="8"/>
  <c r="F50" i="8"/>
  <c r="E50" i="8"/>
  <c r="D50" i="8"/>
  <c r="C50" i="8"/>
  <c r="K49" i="8"/>
  <c r="J49" i="8"/>
  <c r="I49" i="8"/>
  <c r="H49" i="8"/>
  <c r="G49" i="8"/>
  <c r="F49" i="8"/>
  <c r="E49" i="8"/>
  <c r="D49" i="8"/>
  <c r="C49" i="8"/>
  <c r="K48" i="8"/>
  <c r="J48" i="8"/>
  <c r="I48" i="8"/>
  <c r="H48" i="8"/>
  <c r="G48" i="8"/>
  <c r="F48" i="8"/>
  <c r="E48" i="8"/>
  <c r="D48" i="8"/>
  <c r="I41" i="8"/>
  <c r="L41" i="8"/>
  <c r="L42" i="8" s="1"/>
  <c r="K41" i="8"/>
  <c r="J41" i="8"/>
  <c r="H41" i="8"/>
  <c r="G41" i="8"/>
  <c r="F41" i="8"/>
  <c r="E41" i="8"/>
  <c r="D41" i="8"/>
  <c r="C41" i="8"/>
  <c r="K3" i="8"/>
  <c r="J3" i="8"/>
  <c r="I3" i="8"/>
  <c r="H3" i="8"/>
  <c r="G3" i="8"/>
  <c r="F3" i="8"/>
  <c r="E3" i="8"/>
  <c r="D3" i="8"/>
  <c r="C3" i="8"/>
  <c r="L36" i="8"/>
  <c r="K36" i="8"/>
  <c r="J36" i="8"/>
  <c r="I36" i="8"/>
  <c r="H36" i="8"/>
  <c r="G36" i="8"/>
  <c r="F36" i="8"/>
  <c r="E36" i="8"/>
  <c r="D36" i="8"/>
  <c r="C36" i="8"/>
  <c r="L30" i="8"/>
  <c r="K30" i="8"/>
  <c r="J30" i="8"/>
  <c r="I30" i="8"/>
  <c r="H30" i="8"/>
  <c r="G30" i="8"/>
  <c r="F30" i="8"/>
  <c r="E30" i="8"/>
  <c r="D30" i="8"/>
  <c r="C30" i="8"/>
  <c r="L24" i="8"/>
  <c r="K24" i="8"/>
  <c r="J24" i="8"/>
  <c r="I24" i="8"/>
  <c r="H24" i="8"/>
  <c r="G24" i="8"/>
  <c r="F24" i="8"/>
  <c r="E24" i="8"/>
  <c r="D24" i="8"/>
  <c r="C24" i="8"/>
  <c r="L21" i="8"/>
  <c r="K21" i="8"/>
  <c r="J21" i="8"/>
  <c r="I21" i="8"/>
  <c r="H21" i="8"/>
  <c r="G21" i="8"/>
  <c r="F21" i="8"/>
  <c r="E21" i="8"/>
  <c r="D21" i="8"/>
  <c r="C21" i="8"/>
  <c r="L15" i="8"/>
  <c r="K15" i="8"/>
  <c r="J15" i="8"/>
  <c r="I15" i="8"/>
  <c r="H15" i="8"/>
  <c r="G15" i="8"/>
  <c r="F15" i="8"/>
  <c r="E15" i="8"/>
  <c r="D15" i="8"/>
  <c r="C15" i="8"/>
  <c r="H9" i="8"/>
  <c r="I9" i="8"/>
  <c r="J9" i="8"/>
  <c r="K9" i="8"/>
  <c r="L9" i="8"/>
  <c r="G9" i="8"/>
  <c r="F9" i="8"/>
  <c r="E9" i="8"/>
  <c r="D9" i="8"/>
  <c r="C9" i="8"/>
  <c r="L6" i="8"/>
  <c r="K6" i="8"/>
  <c r="J6" i="8"/>
  <c r="I6" i="8"/>
  <c r="H6" i="8"/>
  <c r="G6" i="8"/>
  <c r="F6" i="8"/>
  <c r="E6" i="8"/>
  <c r="D6" i="8"/>
  <c r="C6" i="8"/>
  <c r="C6" i="3"/>
  <c r="D6" i="3"/>
  <c r="E6" i="3"/>
  <c r="F6" i="3"/>
  <c r="G6" i="3"/>
  <c r="G14" i="3" s="1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C23" i="2" s="1"/>
  <c r="D4" i="2"/>
  <c r="E4" i="2"/>
  <c r="E5" i="2"/>
  <c r="E23" i="2" s="1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E16" i="2" s="1"/>
  <c r="F13" i="2"/>
  <c r="F16" i="2" s="1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I4" i="3"/>
  <c r="L4" i="1" s="1"/>
  <c r="L23" i="1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0" i="2" s="1"/>
  <c r="F4" i="1"/>
  <c r="F20" i="2" s="1"/>
  <c r="G4" i="1"/>
  <c r="H4" i="1"/>
  <c r="I4" i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F12" i="1"/>
  <c r="F13" i="1" s="1"/>
  <c r="G12" i="1"/>
  <c r="G23" i="2" s="1"/>
  <c r="H12" i="1"/>
  <c r="I12" i="1"/>
  <c r="I13" i="1" s="1"/>
  <c r="J12" i="1"/>
  <c r="J13" i="1" s="1"/>
  <c r="J14" i="1" s="1"/>
  <c r="K12" i="1"/>
  <c r="C15" i="1"/>
  <c r="D15" i="1"/>
  <c r="E15" i="1"/>
  <c r="F15" i="1"/>
  <c r="G15" i="1"/>
  <c r="H15" i="1"/>
  <c r="I15" i="1"/>
  <c r="J15" i="1"/>
  <c r="K15" i="1"/>
  <c r="B15" i="1"/>
  <c r="H13" i="1"/>
  <c r="B7" i="1"/>
  <c r="B4" i="1"/>
  <c r="H23" i="1" s="1"/>
  <c r="A1" i="1"/>
  <c r="E1" i="6"/>
  <c r="H1" i="1" s="1"/>
  <c r="H16" i="2"/>
  <c r="D16" i="2"/>
  <c r="F23" i="2"/>
  <c r="E6" i="1"/>
  <c r="E19" i="1" s="1"/>
  <c r="H23" i="2"/>
  <c r="I6" i="1"/>
  <c r="I19" i="1" s="1"/>
  <c r="K6" i="1"/>
  <c r="K19" i="1" s="1"/>
  <c r="G6" i="1"/>
  <c r="G19" i="1" s="1"/>
  <c r="C6" i="1"/>
  <c r="C19" i="1"/>
  <c r="D6" i="1"/>
  <c r="D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I21" i="2"/>
  <c r="H21" i="2"/>
  <c r="G21" i="2"/>
  <c r="E21" i="2"/>
  <c r="D21" i="2"/>
  <c r="C21" i="2"/>
  <c r="B18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G20" i="2"/>
  <c r="K20" i="2"/>
  <c r="D20" i="2"/>
  <c r="C20" i="2"/>
  <c r="L12" i="1"/>
  <c r="L13" i="1" s="1"/>
  <c r="L14" i="1" s="1"/>
  <c r="L25" i="1" s="1"/>
  <c r="L6" i="1"/>
  <c r="A1" i="3"/>
  <c r="A1" i="2"/>
  <c r="A1" i="4" s="1"/>
  <c r="I23" i="1"/>
  <c r="B21" i="2" l="1"/>
  <c r="K23" i="2"/>
  <c r="L7" i="1"/>
  <c r="J23" i="2"/>
  <c r="K21" i="2"/>
  <c r="L11" i="1"/>
  <c r="K16" i="2"/>
  <c r="J20" i="2"/>
  <c r="B6" i="1"/>
  <c r="B19" i="1" s="1"/>
  <c r="B23" i="2"/>
  <c r="G16" i="2"/>
  <c r="I78" i="8"/>
  <c r="J23" i="1"/>
  <c r="F21" i="2"/>
  <c r="L9" i="1"/>
  <c r="E58" i="8"/>
  <c r="I14" i="3"/>
  <c r="L19" i="1"/>
  <c r="L24" i="1" s="1"/>
  <c r="J21" i="2"/>
  <c r="C78" i="8"/>
  <c r="C104" i="8"/>
  <c r="K58" i="8"/>
  <c r="G78" i="8"/>
  <c r="F104" i="8"/>
  <c r="F63" i="8"/>
  <c r="C63" i="8"/>
  <c r="H78" i="8"/>
  <c r="J92" i="8"/>
  <c r="G104" i="8"/>
  <c r="K92" i="8"/>
  <c r="E104" i="8"/>
  <c r="E106" i="8" s="1"/>
  <c r="D63" i="8"/>
  <c r="J63" i="8"/>
  <c r="J65" i="8" s="1"/>
  <c r="J78" i="8"/>
  <c r="J106" i="8" s="1"/>
  <c r="H92" i="8"/>
  <c r="C58" i="8"/>
  <c r="C65" i="8" s="1"/>
  <c r="I63" i="8"/>
  <c r="I65" i="8" s="1"/>
  <c r="K78" i="8"/>
  <c r="D58" i="8"/>
  <c r="F92" i="8"/>
  <c r="H104" i="8"/>
  <c r="I104" i="8"/>
  <c r="I106" i="8" s="1"/>
  <c r="F58" i="8"/>
  <c r="D92" i="8"/>
  <c r="D106" i="8" s="1"/>
  <c r="J104" i="8"/>
  <c r="G58" i="8"/>
  <c r="C92" i="8"/>
  <c r="K104" i="8"/>
  <c r="K106" i="8"/>
  <c r="H63" i="8"/>
  <c r="H65" i="8" s="1"/>
  <c r="E63" i="8"/>
  <c r="E65" i="8" s="1"/>
  <c r="G63" i="8"/>
  <c r="K63" i="8"/>
  <c r="K65" i="8" s="1"/>
  <c r="J10" i="8"/>
  <c r="L44" i="8"/>
  <c r="K16" i="8"/>
  <c r="L22" i="8"/>
  <c r="J7" i="8"/>
  <c r="D7" i="8"/>
  <c r="G10" i="8"/>
  <c r="D22" i="8"/>
  <c r="F10" i="8"/>
  <c r="G12" i="8"/>
  <c r="G13" i="8" s="1"/>
  <c r="C22" i="8"/>
  <c r="F12" i="8"/>
  <c r="F13" i="8" s="1"/>
  <c r="I12" i="8"/>
  <c r="K22" i="8"/>
  <c r="E25" i="8"/>
  <c r="D12" i="8"/>
  <c r="E22" i="8"/>
  <c r="F25" i="8"/>
  <c r="F22" i="8"/>
  <c r="G25" i="8"/>
  <c r="F16" i="8"/>
  <c r="G16" i="8"/>
  <c r="H22" i="8"/>
  <c r="I25" i="8"/>
  <c r="D25" i="8"/>
  <c r="I22" i="8"/>
  <c r="J25" i="8"/>
  <c r="E12" i="8"/>
  <c r="L16" i="8"/>
  <c r="L12" i="8"/>
  <c r="K7" i="8"/>
  <c r="K10" i="8"/>
  <c r="J22" i="8"/>
  <c r="K25" i="8"/>
  <c r="C25" i="8"/>
  <c r="E10" i="8"/>
  <c r="I7" i="8"/>
  <c r="G22" i="8"/>
  <c r="D16" i="8"/>
  <c r="H25" i="8"/>
  <c r="C16" i="8"/>
  <c r="J16" i="8"/>
  <c r="E16" i="8"/>
  <c r="J12" i="8"/>
  <c r="H16" i="8"/>
  <c r="I10" i="8"/>
  <c r="I16" i="8"/>
  <c r="H10" i="8"/>
  <c r="K12" i="8"/>
  <c r="E7" i="8"/>
  <c r="C12" i="8"/>
  <c r="D10" i="8"/>
  <c r="F7" i="8"/>
  <c r="C10" i="8"/>
  <c r="G7" i="8"/>
  <c r="L10" i="8"/>
  <c r="H12" i="8"/>
  <c r="H7" i="8"/>
  <c r="L25" i="8"/>
  <c r="C14" i="1"/>
  <c r="F14" i="1"/>
  <c r="E24" i="2"/>
  <c r="G13" i="1"/>
  <c r="G14" i="1" s="1"/>
  <c r="N11" i="1"/>
  <c r="D24" i="2"/>
  <c r="E1" i="3"/>
  <c r="K24" i="2"/>
  <c r="M11" i="1"/>
  <c r="E1" i="2"/>
  <c r="I14" i="1"/>
  <c r="C24" i="2"/>
  <c r="I23" i="2"/>
  <c r="K13" i="1"/>
  <c r="K14" i="1" s="1"/>
  <c r="J25" i="1" s="1"/>
  <c r="H14" i="1"/>
  <c r="J16" i="2"/>
  <c r="D13" i="1"/>
  <c r="E13" i="1" s="1"/>
  <c r="E14" i="1" s="1"/>
  <c r="I25" i="1" s="1"/>
  <c r="L8" i="1"/>
  <c r="N8" i="1" s="1"/>
  <c r="J24" i="2"/>
  <c r="B20" i="2"/>
  <c r="I24" i="2"/>
  <c r="H24" i="2"/>
  <c r="B16" i="2"/>
  <c r="G24" i="2"/>
  <c r="K24" i="1"/>
  <c r="M24" i="1" s="1"/>
  <c r="B14" i="1"/>
  <c r="F24" i="2"/>
  <c r="M9" i="1"/>
  <c r="N9" i="1"/>
  <c r="I20" i="2"/>
  <c r="H20" i="2"/>
  <c r="K23" i="1"/>
  <c r="M23" i="1" s="1"/>
  <c r="M4" i="1" s="1"/>
  <c r="H6" i="1"/>
  <c r="H19" i="1" s="1"/>
  <c r="J24" i="1" s="1"/>
  <c r="F6" i="1"/>
  <c r="F19" i="1" s="1"/>
  <c r="E1" i="4"/>
  <c r="F106" i="8" l="1"/>
  <c r="D65" i="8"/>
  <c r="G106" i="8"/>
  <c r="H106" i="8"/>
  <c r="H24" i="1"/>
  <c r="C106" i="8"/>
  <c r="G65" i="8"/>
  <c r="F65" i="8"/>
  <c r="G18" i="8"/>
  <c r="G19" i="8" s="1"/>
  <c r="G27" i="8"/>
  <c r="H18" i="8"/>
  <c r="H13" i="8"/>
  <c r="L18" i="8"/>
  <c r="L13" i="8"/>
  <c r="E18" i="8"/>
  <c r="E13" i="8"/>
  <c r="I18" i="8"/>
  <c r="I13" i="8"/>
  <c r="J18" i="8"/>
  <c r="J13" i="8"/>
  <c r="K18" i="8"/>
  <c r="K13" i="8"/>
  <c r="D18" i="8"/>
  <c r="D13" i="8"/>
  <c r="C18" i="8"/>
  <c r="C13" i="8"/>
  <c r="F18" i="8"/>
  <c r="D14" i="1"/>
  <c r="H25" i="1" s="1"/>
  <c r="I24" i="1"/>
  <c r="N24" i="1" s="1"/>
  <c r="N23" i="1"/>
  <c r="N4" i="1" s="1"/>
  <c r="K25" i="1"/>
  <c r="M25" i="1" s="1"/>
  <c r="M14" i="1" s="1"/>
  <c r="M8" i="1"/>
  <c r="M6" i="1"/>
  <c r="M10" i="1" s="1"/>
  <c r="M12" i="1" s="1"/>
  <c r="M13" i="1" s="1"/>
  <c r="N6" i="1" l="1"/>
  <c r="J19" i="8"/>
  <c r="J27" i="8"/>
  <c r="E19" i="8"/>
  <c r="E27" i="8"/>
  <c r="C19" i="8"/>
  <c r="C27" i="8"/>
  <c r="L19" i="8"/>
  <c r="L27" i="8"/>
  <c r="D19" i="8"/>
  <c r="D27" i="8"/>
  <c r="H19" i="8"/>
  <c r="H27" i="8"/>
  <c r="I19" i="8"/>
  <c r="I27" i="8"/>
  <c r="F19" i="8"/>
  <c r="F27" i="8"/>
  <c r="G33" i="8"/>
  <c r="G28" i="8"/>
  <c r="G31" i="8"/>
  <c r="K19" i="8"/>
  <c r="K27" i="8"/>
  <c r="N10" i="1"/>
  <c r="N12" i="1" s="1"/>
  <c r="N13" i="1" s="1"/>
  <c r="N5" i="1"/>
  <c r="M15" i="1"/>
  <c r="N25" i="1"/>
  <c r="N14" i="1" s="1"/>
  <c r="M5" i="1"/>
  <c r="N15" i="1" l="1"/>
  <c r="G34" i="8"/>
  <c r="G38" i="8"/>
  <c r="H33" i="8"/>
  <c r="H28" i="8"/>
  <c r="H31" i="8"/>
  <c r="K28" i="8"/>
  <c r="K33" i="8"/>
  <c r="K31" i="8"/>
  <c r="D33" i="8"/>
  <c r="D28" i="8"/>
  <c r="D31" i="8"/>
  <c r="L28" i="8"/>
  <c r="L33" i="8"/>
  <c r="L34" i="8" s="1"/>
  <c r="L31" i="8"/>
  <c r="C33" i="8"/>
  <c r="C28" i="8"/>
  <c r="C31" i="8"/>
  <c r="F31" i="8"/>
  <c r="F33" i="8"/>
  <c r="F28" i="8"/>
  <c r="E31" i="8"/>
  <c r="E33" i="8"/>
  <c r="E28" i="8"/>
  <c r="I28" i="8"/>
  <c r="I31" i="8"/>
  <c r="I33" i="8"/>
  <c r="J28" i="8"/>
  <c r="J33" i="8"/>
  <c r="J31" i="8"/>
  <c r="G42" i="8" l="1"/>
  <c r="G44" i="8" s="1"/>
  <c r="D34" i="8"/>
  <c r="D38" i="8"/>
  <c r="D44" i="8" s="1"/>
  <c r="K34" i="8"/>
  <c r="K38" i="8"/>
  <c r="E34" i="8"/>
  <c r="E38" i="8"/>
  <c r="E44" i="8" s="1"/>
  <c r="F34" i="8"/>
  <c r="F38" i="8"/>
  <c r="J34" i="8"/>
  <c r="J38" i="8"/>
  <c r="C34" i="8"/>
  <c r="C38" i="8"/>
  <c r="H34" i="8"/>
  <c r="H38" i="8"/>
  <c r="H44" i="8" s="1"/>
  <c r="I34" i="8"/>
  <c r="I38" i="8"/>
  <c r="I44" i="8" s="1"/>
  <c r="K42" i="8" l="1"/>
  <c r="K44" i="8"/>
  <c r="C42" i="8"/>
  <c r="C44" i="8"/>
  <c r="I39" i="8"/>
  <c r="I42" i="8"/>
  <c r="J39" i="8"/>
  <c r="J42" i="8"/>
  <c r="J44" i="8" s="1"/>
  <c r="F39" i="8"/>
  <c r="F42" i="8"/>
  <c r="F44" i="8" s="1"/>
  <c r="E39" i="8"/>
  <c r="E42" i="8"/>
  <c r="H39" i="8"/>
  <c r="H42" i="8"/>
  <c r="D39" i="8"/>
  <c r="D42" i="8"/>
  <c r="G39" i="8"/>
  <c r="L39" i="8"/>
  <c r="K39" i="8"/>
</calcChain>
</file>

<file path=xl/sharedStrings.xml><?xml version="1.0" encoding="utf-8"?>
<sst xmlns="http://schemas.openxmlformats.org/spreadsheetml/2006/main" count="262" uniqueCount="159">
  <si>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</si>
  <si>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</si>
  <si>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</si>
  <si>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</si>
  <si>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</si>
  <si>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</si>
  <si>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</si>
  <si>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</si>
  <si>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</si>
  <si>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</si>
  <si>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</si>
  <si>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</si>
  <si>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</si>
  <si>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</si>
  <si>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</si>
  <si>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</si>
  <si>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</si>
  <si>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</si>
  <si>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</si>
  <si>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</si>
  <si>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</si>
  <si>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</si>
  <si>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</si>
  <si>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</si>
  <si>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</si>
  <si>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</si>
  <si>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</si>
  <si>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</si>
  <si>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</si>
  <si>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</si>
  <si>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</si>
  <si>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</si>
  <si>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</si>
  <si>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</si>
  <si>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</si>
  <si>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</si>
  <si>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</si>
  <si>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</si>
  <si>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</si>
  <si>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</si>
  <si>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</si>
  <si>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</si>
  <si>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</si>
  <si>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</si>
  <si>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</si>
  <si>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</si>
  <si>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</si>
  <si>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</si>
  <si>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</si>
  <si>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</si>
  <si>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</si>
  <si>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</si>
  <si>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</si>
  <si>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</si>
  <si>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</si>
  <si>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</si>
  <si>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</si>
  <si>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</si>
  <si>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</si>
  <si>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</si>
  <si>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</si>
  <si>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</si>
  <si>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</si>
  <si>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</si>
  <si>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</si>
  <si>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</si>
  <si>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</si>
  <si>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</si>
  <si>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</si>
  <si>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</si>
  <si>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</si>
  <si>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</si>
  <si>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</si>
  <si>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</si>
  <si>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</si>
  <si>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</si>
  <si>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</si>
  <si>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</si>
  <si>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</si>
  <si>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</si>
  <si>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</si>
  <si>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</si>
  <si>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</si>
  <si>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</si>
  <si>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</si>
  <si>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</si>
  <si>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</si>
  <si>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</si>
  <si>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</si>
  <si>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</si>
  <si>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</si>
  <si>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</si>
  <si>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</si>
  <si>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D</t>
  </si>
  <si>
    <t>Years</t>
  </si>
  <si>
    <t>LTM</t>
  </si>
  <si>
    <t>-</t>
  </si>
  <si>
    <t>Sales growth</t>
  </si>
  <si>
    <t>COGS</t>
  </si>
  <si>
    <t>COGS growth</t>
  </si>
  <si>
    <t>Gross profit</t>
  </si>
  <si>
    <t>Selling &amp; other Expenses</t>
  </si>
  <si>
    <t>S&amp;G Exp %</t>
  </si>
  <si>
    <t>EBITDA</t>
  </si>
  <si>
    <t>EBITDA %Sales</t>
  </si>
  <si>
    <t>Interest %Sales</t>
  </si>
  <si>
    <t>Depreciation %Sales</t>
  </si>
  <si>
    <t>Gross Margins</t>
  </si>
  <si>
    <t>Income Statement</t>
  </si>
  <si>
    <t>#</t>
  </si>
  <si>
    <t>Earnings Before Tax</t>
  </si>
  <si>
    <t>EBT %Sales</t>
  </si>
  <si>
    <t>Effective Tax Rate</t>
  </si>
  <si>
    <t>Net Profit</t>
  </si>
  <si>
    <t>Net Margins</t>
  </si>
  <si>
    <t>Dividend</t>
  </si>
  <si>
    <t>EPS %Growth</t>
  </si>
  <si>
    <t>Dividend Ratio</t>
  </si>
  <si>
    <t>Retained Earnings</t>
  </si>
  <si>
    <t>Balance sheet</t>
  </si>
  <si>
    <t>Total Liabilities</t>
  </si>
  <si>
    <t>Fixed Assets Net Block</t>
  </si>
  <si>
    <t>Total Non Current Assests</t>
  </si>
  <si>
    <t>Total Current Assets</t>
  </si>
  <si>
    <t>Total Assets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</si>
  <si>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</si>
  <si>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</si>
  <si>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</si>
  <si>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</si>
  <si>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</si>
  <si>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</si>
  <si>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</si>
  <si>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</si>
  <si>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</si>
  <si>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</si>
  <si>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</si>
  <si>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</si>
  <si>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</si>
  <si>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</si>
  <si>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</si>
  <si>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</si>
  <si>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</si>
  <si>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</si>
  <si>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</si>
  <si>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</si>
  <si>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</si>
  <si>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</si>
  <si>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</si>
  <si>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</si>
  <si>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</si>
  <si>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</si>
  <si>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</si>
  <si>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</si>
  <si>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Cashflow</t>
  </si>
  <si>
    <t>Operating Activity -</t>
  </si>
  <si>
    <t xml:space="preserve">Cash from Operating Activity </t>
  </si>
  <si>
    <t>Investing Activity</t>
  </si>
  <si>
    <t>Cash From Investing Activity</t>
  </si>
  <si>
    <t>Financing Activity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</si>
</sst>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;\(&quot;₹&quot;\ \-#,##0.00\)"/>
    <numFmt numFmtId="167" formatCode="&quot;₹&quot;\ #,##0.0;\(&quot;₹&quot;\ \-#,##0.0\);\-"/>
    <numFmt numFmtId="168" formatCode="0.000000%"/>
    <numFmt numFmtId="169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17" fontId="0" fillId="0" borderId="0" xfId="0" applyNumberFormat="1"/>
    <xf numFmtId="0" fontId="1" fillId="0" borderId="0" xfId="0" applyFont="1" applyAlignment="1">
      <alignment horizontal="left" vertical="center"/>
    </xf>
    <xf numFmtId="0" fontId="11" fillId="6" borderId="0" xfId="0" applyFont="1" applyFill="1" applyAlignment="1">
      <alignment horizontal="center"/>
    </xf>
    <xf numFmtId="17" fontId="11" fillId="6" borderId="0" xfId="0" applyNumberFormat="1" applyFont="1" applyFill="1" applyAlignment="1">
      <alignment horizontal="center"/>
    </xf>
    <xf numFmtId="166" fontId="0" fillId="0" borderId="0" xfId="0" applyNumberFormat="1"/>
    <xf numFmtId="0" fontId="12" fillId="0" borderId="0" xfId="0" applyFont="1"/>
    <xf numFmtId="0" fontId="1" fillId="7" borderId="0" xfId="0" applyFont="1" applyFill="1"/>
    <xf numFmtId="167" fontId="1" fillId="7" borderId="0" xfId="0" applyNumberFormat="1" applyFont="1" applyFill="1"/>
    <xf numFmtId="166" fontId="1" fillId="0" borderId="0" xfId="0" applyNumberFormat="1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/>
    </xf>
    <xf numFmtId="166" fontId="13" fillId="0" borderId="0" xfId="6" applyNumberFormat="1" applyFont="1"/>
    <xf numFmtId="0" fontId="13" fillId="0" borderId="0" xfId="0" applyFont="1"/>
    <xf numFmtId="10" fontId="13" fillId="0" borderId="0" xfId="6" applyNumberFormat="1" applyFont="1"/>
    <xf numFmtId="168" fontId="13" fillId="0" borderId="0" xfId="6" applyNumberFormat="1" applyFont="1"/>
    <xf numFmtId="169" fontId="1" fillId="0" borderId="0" xfId="0" applyNumberFormat="1" applyFont="1"/>
    <xf numFmtId="3" fontId="0" fillId="0" borderId="0" xfId="0" applyNumberFormat="1"/>
    <xf numFmtId="17" fontId="1" fillId="0" borderId="0" xfId="0" applyNumberFormat="1" applyFont="1"/>
    <xf numFmtId="0" fontId="10" fillId="6" borderId="0" xfId="0" applyFont="1" applyFill="1" applyAlignment="1">
      <alignment horizontal="center" vertic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B62ACE1-313A-42B1-BE75-972E3E2C50B5}">
  <we:reference id="wa200006575" version="1.0.0.5" store="en-US" storeType="OMEX"/>
  <we:alternateReferences>
    <we:reference id="wa200006575" version="1.0.0.5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87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I10" sqref="I10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RELIANCE INDUSTRIES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272583</v>
      </c>
      <c r="C4" s="1">
        <f>'Data Sheet'!C17</f>
        <v>303954</v>
      </c>
      <c r="D4" s="1">
        <f>'Data Sheet'!D17</f>
        <v>390823</v>
      </c>
      <c r="E4" s="1">
        <f>'Data Sheet'!E17</f>
        <v>568337</v>
      </c>
      <c r="F4" s="1">
        <f>'Data Sheet'!F17</f>
        <v>596679</v>
      </c>
      <c r="G4" s="1">
        <f>'Data Sheet'!G17</f>
        <v>466307</v>
      </c>
      <c r="H4" s="1">
        <f>'Data Sheet'!H17</f>
        <v>694673</v>
      </c>
      <c r="I4" s="1">
        <f>'Data Sheet'!I17</f>
        <v>876396</v>
      </c>
      <c r="J4" s="1">
        <f>'Data Sheet'!J17</f>
        <v>899041</v>
      </c>
      <c r="K4" s="1">
        <f>'Data Sheet'!K17</f>
        <v>962820</v>
      </c>
      <c r="L4" s="1">
        <f>SUM(Quarters!H4:K4)</f>
        <v>976541</v>
      </c>
      <c r="M4" s="1">
        <f>$K4+M23*K4</f>
        <v>1073494.9297121183</v>
      </c>
      <c r="N4" s="1">
        <f>$K4+N23*L4</f>
        <v>1032096.9389149104</v>
      </c>
    </row>
    <row r="5" spans="1:14" x14ac:dyDescent="0.3">
      <c r="A5" t="s">
        <v>7</v>
      </c>
      <c r="B5" s="6">
        <f>SUM('Data Sheet'!B18,'Data Sheet'!B20:B24, -1*'Data Sheet'!B19)</f>
        <v>230802</v>
      </c>
      <c r="C5" s="6">
        <f>SUM('Data Sheet'!C18,'Data Sheet'!C20:C24, -1*'Data Sheet'!C19)</f>
        <v>257647</v>
      </c>
      <c r="D5" s="6">
        <f>SUM('Data Sheet'!D18,'Data Sheet'!D20:D24, -1*'Data Sheet'!D19)</f>
        <v>326508</v>
      </c>
      <c r="E5" s="6">
        <f>SUM('Data Sheet'!E18,'Data Sheet'!E20:E24, -1*'Data Sheet'!E19)</f>
        <v>484087</v>
      </c>
      <c r="F5" s="6">
        <f>SUM('Data Sheet'!F18,'Data Sheet'!F20:F24, -1*'Data Sheet'!F19)</f>
        <v>507413</v>
      </c>
      <c r="G5" s="6">
        <f>SUM('Data Sheet'!G18,'Data Sheet'!G20:G24, -1*'Data Sheet'!G19)</f>
        <v>385517</v>
      </c>
      <c r="H5" s="6">
        <f>SUM('Data Sheet'!H18,'Data Sheet'!H20:H24, -1*'Data Sheet'!H19)</f>
        <v>586092</v>
      </c>
      <c r="I5" s="6">
        <f>SUM('Data Sheet'!I18,'Data Sheet'!I20:I24, -1*'Data Sheet'!I19)</f>
        <v>734078</v>
      </c>
      <c r="J5" s="6">
        <f>SUM('Data Sheet'!J18,'Data Sheet'!J20:J24, -1*'Data Sheet'!J19)</f>
        <v>736543</v>
      </c>
      <c r="K5" s="6">
        <f>SUM('Data Sheet'!K18,'Data Sheet'!K20:K24, -1*'Data Sheet'!K19)</f>
        <v>797222</v>
      </c>
      <c r="L5" s="6">
        <f>SUM(Quarters!H5:K5)</f>
        <v>806957</v>
      </c>
      <c r="M5" s="6">
        <f t="shared" ref="M5:N5" si="0">M4-M6</f>
        <v>887074.11977141956</v>
      </c>
      <c r="N5" s="6">
        <f t="shared" si="0"/>
        <v>863428.61071212566</v>
      </c>
    </row>
    <row r="6" spans="1:14" s="2" customFormat="1" x14ac:dyDescent="0.3">
      <c r="A6" s="2" t="s">
        <v>8</v>
      </c>
      <c r="B6" s="1">
        <f>B4-B5</f>
        <v>41781</v>
      </c>
      <c r="C6" s="1">
        <f t="shared" ref="C6:K6" si="1">C4-C5</f>
        <v>46307</v>
      </c>
      <c r="D6" s="1">
        <f t="shared" si="1"/>
        <v>64315</v>
      </c>
      <c r="E6" s="1">
        <f t="shared" si="1"/>
        <v>84250</v>
      </c>
      <c r="F6" s="1">
        <f t="shared" si="1"/>
        <v>89266</v>
      </c>
      <c r="G6" s="1">
        <f t="shared" si="1"/>
        <v>80790</v>
      </c>
      <c r="H6" s="1">
        <f t="shared" si="1"/>
        <v>108581</v>
      </c>
      <c r="I6" s="1">
        <f t="shared" si="1"/>
        <v>142318</v>
      </c>
      <c r="J6" s="1">
        <f t="shared" si="1"/>
        <v>162498</v>
      </c>
      <c r="K6" s="1">
        <f t="shared" si="1"/>
        <v>165598</v>
      </c>
      <c r="L6" s="1">
        <f>SUM(Quarters!H6:K6)</f>
        <v>169584</v>
      </c>
      <c r="M6" s="1">
        <f>M4*M24</f>
        <v>186420.80994069873</v>
      </c>
      <c r="N6" s="1">
        <f>N4*N24</f>
        <v>168668.32820278473</v>
      </c>
    </row>
    <row r="7" spans="1:14" x14ac:dyDescent="0.3">
      <c r="A7" t="s">
        <v>9</v>
      </c>
      <c r="B7" s="6">
        <f>'Data Sheet'!B25</f>
        <v>12212</v>
      </c>
      <c r="C7" s="6">
        <f>'Data Sheet'!C25</f>
        <v>9222</v>
      </c>
      <c r="D7" s="6">
        <f>'Data Sheet'!D25</f>
        <v>9869</v>
      </c>
      <c r="E7" s="6">
        <f>'Data Sheet'!E25</f>
        <v>8406</v>
      </c>
      <c r="F7" s="6">
        <f>'Data Sheet'!F25</f>
        <v>8570</v>
      </c>
      <c r="G7" s="6">
        <f>'Data Sheet'!G25</f>
        <v>22432</v>
      </c>
      <c r="H7" s="6">
        <f>'Data Sheet'!H25</f>
        <v>19600</v>
      </c>
      <c r="I7" s="6">
        <f>'Data Sheet'!I25</f>
        <v>12020</v>
      </c>
      <c r="J7" s="6">
        <f>'Data Sheet'!J25</f>
        <v>15792</v>
      </c>
      <c r="K7" s="6">
        <f>'Data Sheet'!K25</f>
        <v>17824</v>
      </c>
      <c r="L7" s="6">
        <f>SUM(Quarters!H7:K7)</f>
        <v>29114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11565</v>
      </c>
      <c r="C8" s="6">
        <f>'Data Sheet'!C26</f>
        <v>11646</v>
      </c>
      <c r="D8" s="6">
        <f>'Data Sheet'!D26</f>
        <v>16706</v>
      </c>
      <c r="E8" s="6">
        <f>'Data Sheet'!E26</f>
        <v>20934</v>
      </c>
      <c r="F8" s="6">
        <f>'Data Sheet'!F26</f>
        <v>22203</v>
      </c>
      <c r="G8" s="6">
        <f>'Data Sheet'!G26</f>
        <v>26572</v>
      </c>
      <c r="H8" s="6">
        <f>'Data Sheet'!H26</f>
        <v>29782</v>
      </c>
      <c r="I8" s="6">
        <f>'Data Sheet'!I26</f>
        <v>40303</v>
      </c>
      <c r="J8" s="6">
        <f>'Data Sheet'!J26</f>
        <v>50832</v>
      </c>
      <c r="K8" s="6">
        <f>'Data Sheet'!K26</f>
        <v>53136</v>
      </c>
      <c r="L8" s="6">
        <f>SUM(Quarters!H8:K8)</f>
        <v>53382</v>
      </c>
      <c r="M8" s="6">
        <f>+$L8</f>
        <v>53382</v>
      </c>
      <c r="N8" s="6">
        <f>+$L8</f>
        <v>53382</v>
      </c>
    </row>
    <row r="9" spans="1:14" x14ac:dyDescent="0.3">
      <c r="A9" t="s">
        <v>11</v>
      </c>
      <c r="B9" s="6">
        <f>'Data Sheet'!B27</f>
        <v>3691</v>
      </c>
      <c r="C9" s="6">
        <f>'Data Sheet'!C27</f>
        <v>3849</v>
      </c>
      <c r="D9" s="6">
        <f>'Data Sheet'!D27</f>
        <v>8052</v>
      </c>
      <c r="E9" s="6">
        <f>'Data Sheet'!E27</f>
        <v>16495</v>
      </c>
      <c r="F9" s="6">
        <f>'Data Sheet'!F27</f>
        <v>22027</v>
      </c>
      <c r="G9" s="6">
        <f>'Data Sheet'!G27</f>
        <v>21189</v>
      </c>
      <c r="H9" s="6">
        <f>'Data Sheet'!H27</f>
        <v>14584</v>
      </c>
      <c r="I9" s="6">
        <f>'Data Sheet'!I27</f>
        <v>19571</v>
      </c>
      <c r="J9" s="6">
        <f>'Data Sheet'!J27</f>
        <v>23118</v>
      </c>
      <c r="K9" s="6">
        <f>'Data Sheet'!K27</f>
        <v>24269</v>
      </c>
      <c r="L9" s="6">
        <f>SUM(Quarters!H9:K9)</f>
        <v>25387</v>
      </c>
      <c r="M9" s="6">
        <f>+$L9</f>
        <v>25387</v>
      </c>
      <c r="N9" s="6">
        <f>+$L9</f>
        <v>25387</v>
      </c>
    </row>
    <row r="10" spans="1:14" x14ac:dyDescent="0.3">
      <c r="A10" t="s">
        <v>12</v>
      </c>
      <c r="B10" s="6">
        <f>'Data Sheet'!B28</f>
        <v>38737</v>
      </c>
      <c r="C10" s="6">
        <f>'Data Sheet'!C28</f>
        <v>40034</v>
      </c>
      <c r="D10" s="6">
        <f>'Data Sheet'!D28</f>
        <v>49426</v>
      </c>
      <c r="E10" s="6">
        <f>'Data Sheet'!E28</f>
        <v>55227</v>
      </c>
      <c r="F10" s="6">
        <f>'Data Sheet'!F28</f>
        <v>53606</v>
      </c>
      <c r="G10" s="6">
        <f>'Data Sheet'!G28</f>
        <v>55461</v>
      </c>
      <c r="H10" s="6">
        <f>'Data Sheet'!H28</f>
        <v>83815</v>
      </c>
      <c r="I10" s="6">
        <f>'Data Sheet'!I28</f>
        <v>94464</v>
      </c>
      <c r="J10" s="6">
        <f>'Data Sheet'!J28</f>
        <v>104340</v>
      </c>
      <c r="K10" s="6">
        <f>'Data Sheet'!K28</f>
        <v>106017</v>
      </c>
      <c r="L10" s="6">
        <f>SUM(Quarters!H10:K10)</f>
        <v>119929</v>
      </c>
      <c r="M10" s="6">
        <f>M6+M7-SUM(M8:M9)</f>
        <v>107651.80994069873</v>
      </c>
      <c r="N10" s="6">
        <f>N6+N7-SUM(N8:N9)</f>
        <v>89899.328202784731</v>
      </c>
    </row>
    <row r="11" spans="1:14" x14ac:dyDescent="0.3">
      <c r="A11" t="s">
        <v>13</v>
      </c>
      <c r="B11" s="6">
        <f>'Data Sheet'!B29</f>
        <v>8876</v>
      </c>
      <c r="C11" s="6">
        <f>'Data Sheet'!C29</f>
        <v>10201</v>
      </c>
      <c r="D11" s="6">
        <f>'Data Sheet'!D29</f>
        <v>13346</v>
      </c>
      <c r="E11" s="6">
        <f>'Data Sheet'!E29</f>
        <v>15390</v>
      </c>
      <c r="F11" s="6">
        <f>'Data Sheet'!F29</f>
        <v>13726</v>
      </c>
      <c r="G11" s="6">
        <f>'Data Sheet'!G29</f>
        <v>1722</v>
      </c>
      <c r="H11" s="6">
        <f>'Data Sheet'!H29</f>
        <v>15970</v>
      </c>
      <c r="I11" s="6">
        <f>'Data Sheet'!I29</f>
        <v>20376</v>
      </c>
      <c r="J11" s="6">
        <f>'Data Sheet'!J29</f>
        <v>25707</v>
      </c>
      <c r="K11" s="6">
        <f>'Data Sheet'!K29</f>
        <v>25230</v>
      </c>
      <c r="L11" s="6">
        <f>SUM(Quarters!H11:K11)</f>
        <v>25909</v>
      </c>
      <c r="M11" s="7">
        <f>IF($L10&gt;0,$L11/$L10,0)</f>
        <v>0.21603615472487889</v>
      </c>
      <c r="N11" s="7">
        <f>IF($L10&gt;0,$L11/$L10,0)</f>
        <v>0.21603615472487889</v>
      </c>
    </row>
    <row r="12" spans="1:14" s="2" customFormat="1" x14ac:dyDescent="0.3">
      <c r="A12" s="2" t="s">
        <v>14</v>
      </c>
      <c r="B12" s="1">
        <f>'Data Sheet'!B30</f>
        <v>29745</v>
      </c>
      <c r="C12" s="1">
        <f>'Data Sheet'!C30</f>
        <v>29901</v>
      </c>
      <c r="D12" s="1">
        <f>'Data Sheet'!D30</f>
        <v>36075</v>
      </c>
      <c r="E12" s="1">
        <f>'Data Sheet'!E30</f>
        <v>39588</v>
      </c>
      <c r="F12" s="1">
        <f>'Data Sheet'!F30</f>
        <v>39354</v>
      </c>
      <c r="G12" s="1">
        <f>'Data Sheet'!G30</f>
        <v>49128</v>
      </c>
      <c r="H12" s="1">
        <f>'Data Sheet'!H30</f>
        <v>60705</v>
      </c>
      <c r="I12" s="1">
        <f>'Data Sheet'!I30</f>
        <v>66702</v>
      </c>
      <c r="J12" s="1">
        <f>'Data Sheet'!J30</f>
        <v>69621</v>
      </c>
      <c r="K12" s="1">
        <f>'Data Sheet'!K30</f>
        <v>69648</v>
      </c>
      <c r="L12" s="1">
        <f>SUM(Quarters!H12:K12)</f>
        <v>81504</v>
      </c>
      <c r="M12" s="1">
        <f>M10-M11*M10</f>
        <v>84395.126871936693</v>
      </c>
      <c r="N12" s="1">
        <f>N10-N11*N10</f>
        <v>70477.823025505262</v>
      </c>
    </row>
    <row r="13" spans="1:14" x14ac:dyDescent="0.3">
      <c r="A13" t="s">
        <v>57</v>
      </c>
      <c r="B13" s="6">
        <f>IF('Data Sheet'!B93&gt;0,B12/'Data Sheet'!B93,0)</f>
        <v>21.514125764874365</v>
      </c>
      <c r="C13" s="6">
        <f>IF('Data Sheet'!C93&gt;0,C12/'Data Sheet'!C93,0)</f>
        <v>21.554620031429767</v>
      </c>
      <c r="D13" s="6">
        <f>IF('Data Sheet'!D93&gt;0,D12/'Data Sheet'!D93,0)</f>
        <v>26.694736530535224</v>
      </c>
      <c r="E13" s="6">
        <f>IF('Data Sheet'!E93&gt;0,E12/'Data Sheet'!E93,0)</f>
        <v>29.275435197373287</v>
      </c>
      <c r="F13" s="6">
        <f>IF('Data Sheet'!F93&gt;0,F12/'Data Sheet'!F93,0)</f>
        <v>29.100024401606071</v>
      </c>
      <c r="G13" s="6">
        <f>IF('Data Sheet'!G93&gt;0,G12/'Data Sheet'!G93,0)</f>
        <v>38.747840901024531</v>
      </c>
      <c r="H13" s="6">
        <f>IF('Data Sheet'!H93&gt;0,H12/'Data Sheet'!H93,0)</f>
        <v>44.867625537701961</v>
      </c>
      <c r="I13" s="6">
        <f>IF('Data Sheet'!I93&gt;0,I12/'Data Sheet'!I93,0)</f>
        <v>49.294962752749207</v>
      </c>
      <c r="J13" s="6">
        <f>IF('Data Sheet'!J93&gt;0,J12/'Data Sheet'!J93,0)</f>
        <v>51.45143887550438</v>
      </c>
      <c r="K13" s="6">
        <f>IF('Data Sheet'!K93&gt;0,K12/'Data Sheet'!K93,0)</f>
        <v>51.467588897756492</v>
      </c>
      <c r="L13" s="6">
        <f>IF('Data Sheet'!$B6&gt;0,'Profit &amp; Loss'!L12/'Data Sheet'!$B6,0)</f>
        <v>60.22628561805795</v>
      </c>
      <c r="M13" s="6">
        <f>IF('Data Sheet'!$B6&gt;0,'Profit &amp; Loss'!M12/'Data Sheet'!$B6,0)</f>
        <v>62.3626449715535</v>
      </c>
      <c r="N13" s="6">
        <f>IF('Data Sheet'!$B6&gt;0,'Profit &amp; Loss'!N12/'Data Sheet'!$B6,0)</f>
        <v>52.078640303212367</v>
      </c>
    </row>
    <row r="14" spans="1:14" x14ac:dyDescent="0.3">
      <c r="A14" t="s">
        <v>16</v>
      </c>
      <c r="B14" s="6">
        <f>IF(B15&gt;0,B15/B13,"")</f>
        <v>11.037399455370652</v>
      </c>
      <c r="C14" s="6">
        <f t="shared" ref="C14:K14" si="2">IF(C15&gt;0,C15/C13,"")</f>
        <v>13.92230526738236</v>
      </c>
      <c r="D14" s="6">
        <f t="shared" si="2"/>
        <v>15.02468471794872</v>
      </c>
      <c r="E14" s="6">
        <f t="shared" si="2"/>
        <v>21.158694851975344</v>
      </c>
      <c r="F14" s="6">
        <f t="shared" si="2"/>
        <v>17.390363424302485</v>
      </c>
      <c r="G14" s="6">
        <f t="shared" si="2"/>
        <v>23.71177280166097</v>
      </c>
      <c r="H14" s="6">
        <f t="shared" si="2"/>
        <v>26.935011280784121</v>
      </c>
      <c r="I14" s="6">
        <f t="shared" si="2"/>
        <v>21.690045803724026</v>
      </c>
      <c r="J14" s="6">
        <f t="shared" si="2"/>
        <v>28.87868701972106</v>
      </c>
      <c r="K14" s="6">
        <f t="shared" si="2"/>
        <v>24.774815127498275</v>
      </c>
      <c r="L14" s="6">
        <f t="shared" ref="L14" si="3">IF(L13&gt;0,L15/L13,0)</f>
        <v>22.941809972516683</v>
      </c>
      <c r="M14" s="6">
        <f>M25</f>
        <v>24.57133948086501</v>
      </c>
      <c r="N14" s="6">
        <f>N25</f>
        <v>20.6786899748077</v>
      </c>
    </row>
    <row r="15" spans="1:14" s="2" customFormat="1" x14ac:dyDescent="0.3">
      <c r="A15" s="2" t="s">
        <v>58</v>
      </c>
      <c r="B15" s="1">
        <f>'Data Sheet'!B90</f>
        <v>237.46</v>
      </c>
      <c r="C15" s="1">
        <f>'Data Sheet'!C90</f>
        <v>300.08999999999997</v>
      </c>
      <c r="D15" s="1">
        <f>'Data Sheet'!D90</f>
        <v>401.08</v>
      </c>
      <c r="E15" s="1">
        <f>'Data Sheet'!E90</f>
        <v>619.42999999999995</v>
      </c>
      <c r="F15" s="1">
        <f>'Data Sheet'!F90</f>
        <v>506.06</v>
      </c>
      <c r="G15" s="1">
        <f>'Data Sheet'!G90</f>
        <v>918.78</v>
      </c>
      <c r="H15" s="1">
        <f>'Data Sheet'!H90</f>
        <v>1208.51</v>
      </c>
      <c r="I15" s="1">
        <f>'Data Sheet'!I90</f>
        <v>1069.21</v>
      </c>
      <c r="J15" s="1">
        <f>'Data Sheet'!J90</f>
        <v>1485.85</v>
      </c>
      <c r="K15" s="1">
        <f>'Data Sheet'!K90</f>
        <v>1275.0999999999999</v>
      </c>
      <c r="L15" s="1">
        <f>'Data Sheet'!B8</f>
        <v>1381.7</v>
      </c>
      <c r="M15" s="8">
        <f>M13*M14</f>
        <v>1532.3337205207004</v>
      </c>
      <c r="N15" s="9">
        <f>N13*N14</f>
        <v>1076.9180571396539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0.10406454866364095</v>
      </c>
      <c r="C18" s="5">
        <f>IF('Data Sheet'!C30&gt;0, 'Data Sheet'!C31/'Data Sheet'!C30, 0)</f>
        <v>0.10885589110732083</v>
      </c>
      <c r="D18" s="5">
        <f>IF('Data Sheet'!D30&gt;0, 'Data Sheet'!D31/'Data Sheet'!D30, 0)</f>
        <v>9.8494802494802483E-2</v>
      </c>
      <c r="E18" s="5">
        <f>IF('Data Sheet'!E30&gt;0, 'Data Sheet'!E31/'Data Sheet'!E30, 0)</f>
        <v>9.7299686773769836E-2</v>
      </c>
      <c r="F18" s="5">
        <f>IF('Data Sheet'!F30&gt;0, 'Data Sheet'!F31/'Data Sheet'!F30, 0)</f>
        <v>0.10469964933678916</v>
      </c>
      <c r="G18" s="5">
        <f>IF('Data Sheet'!G30&gt;0, 'Data Sheet'!G31/'Data Sheet'!G30, 0)</f>
        <v>9.1831542094121477E-2</v>
      </c>
      <c r="H18" s="5">
        <f>IF('Data Sheet'!H30&gt;0, 'Data Sheet'!H31/'Data Sheet'!H30, 0)</f>
        <v>8.9152458611317029E-2</v>
      </c>
      <c r="I18" s="5">
        <f>IF('Data Sheet'!I30&gt;0, 'Data Sheet'!I31/'Data Sheet'!I30, 0)</f>
        <v>9.129261491409553E-2</v>
      </c>
      <c r="J18" s="5">
        <f>IF('Data Sheet'!J30&gt;0, 'Data Sheet'!J31/'Data Sheet'!J30, 0)</f>
        <v>9.718332112437339E-2</v>
      </c>
      <c r="K18" s="5">
        <f>IF('Data Sheet'!K30&gt;0, 'Data Sheet'!K31/'Data Sheet'!K30, 0)</f>
        <v>0.1068602113484953</v>
      </c>
    </row>
    <row r="19" spans="1:14" x14ac:dyDescent="0.3">
      <c r="A19" t="s">
        <v>18</v>
      </c>
      <c r="B19" s="5">
        <f t="shared" ref="B19:L19" si="4">IF(B6&gt;0,B6/B4,0)</f>
        <v>0.15327808410649232</v>
      </c>
      <c r="C19" s="5">
        <f t="shared" ref="C19:K19" si="5">IF(C6&gt;0,C6/C4,0)</f>
        <v>0.15234871066016567</v>
      </c>
      <c r="D19" s="5">
        <f t="shared" si="5"/>
        <v>0.16456298631349742</v>
      </c>
      <c r="E19" s="5">
        <f t="shared" si="5"/>
        <v>0.14823951282425743</v>
      </c>
      <c r="F19" s="5">
        <f t="shared" si="5"/>
        <v>0.1496047288408005</v>
      </c>
      <c r="G19" s="5">
        <f t="shared" si="5"/>
        <v>0.17325495864312568</v>
      </c>
      <c r="H19" s="5">
        <f t="shared" si="5"/>
        <v>0.15630519683361813</v>
      </c>
      <c r="I19" s="5">
        <f t="shared" si="5"/>
        <v>0.16239006111392568</v>
      </c>
      <c r="J19" s="5">
        <f t="shared" si="5"/>
        <v>0.18074592816122959</v>
      </c>
      <c r="K19" s="5">
        <f t="shared" si="5"/>
        <v>0.17199268814524002</v>
      </c>
      <c r="L19" s="5">
        <f t="shared" si="4"/>
        <v>0.17365783925098896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0.15051964164654885</v>
      </c>
      <c r="I23" s="5">
        <f>IF(D4=0,"",POWER($K4/D4,1/7)-1)</f>
        <v>0.13746451111719526</v>
      </c>
      <c r="J23" s="5">
        <f>IF(F4=0,"",POWER($K4/F4,1/5)-1)</f>
        <v>0.10042606829042566</v>
      </c>
      <c r="K23" s="5">
        <f>IF(H4=0,"",POWER($K4/H4, 1/3)-1)</f>
        <v>0.11494872324226568</v>
      </c>
      <c r="L23" s="5">
        <f>IF(ISERROR(MAX(IF(J4=0,"",(K4-J4)/J4),IF(K4=0,"",(L4-K4)/K4))),"",MAX(IF(J4=0,"",(K4-J4)/J4),IF(K4=0,"",(L4-K4)/K4)))</f>
        <v>7.0941147289167006E-2</v>
      </c>
      <c r="M23" s="16">
        <f>MAX(K23:L23)</f>
        <v>0.11494872324226568</v>
      </c>
      <c r="N23" s="16">
        <f>MIN(H23:L23)</f>
        <v>7.0941147289167006E-2</v>
      </c>
    </row>
    <row r="24" spans="1:14" x14ac:dyDescent="0.3">
      <c r="G24" t="s">
        <v>18</v>
      </c>
      <c r="H24" s="5">
        <f>IF(SUM(B4:$K$4)=0,"",SUMPRODUCT(B19:$K$19,B4:$K$4)/SUM(B4:$K$4))</f>
        <v>0.16342295170462695</v>
      </c>
      <c r="I24" s="5">
        <f>IF(SUM(E4:$K$4)=0,"",SUMPRODUCT(E19:$K$19,E4:$K$4)/SUM(E4:$K$4))</f>
        <v>0.16454568916679321</v>
      </c>
      <c r="J24" s="5">
        <f>IF(SUM(G4:$K$4)=0,"",SUMPRODUCT(G19:$K$19,G4:$K$4)/SUM(G4:$K$4))</f>
        <v>0.169208745198099</v>
      </c>
      <c r="K24" s="5">
        <f>IF(SUM(I4:$K$4)=0, "", SUMPRODUCT(I19:$K$19,I4:$K$4)/SUM(I4:$K$4))</f>
        <v>0.1717932246681009</v>
      </c>
      <c r="L24" s="5">
        <f>L19</f>
        <v>0.17365783925098896</v>
      </c>
      <c r="M24" s="16">
        <f>MAX(K24:L24)</f>
        <v>0.17365783925098896</v>
      </c>
      <c r="N24" s="16">
        <f>MIN(H24:L24)</f>
        <v>0.16342295170462695</v>
      </c>
    </row>
    <row r="25" spans="1:14" x14ac:dyDescent="0.3">
      <c r="G25" t="s">
        <v>23</v>
      </c>
      <c r="H25" s="6">
        <f>IF(ISERROR(AVERAGEIF(B14:$L14,"&gt;0")),"",AVERAGEIF(B14:$L14,"&gt;0"))</f>
        <v>20.6786899748077</v>
      </c>
      <c r="I25" s="6">
        <f>IF(ISERROR(AVERAGEIF(E14:$L14,"&gt;0")),"",AVERAGEIF(E14:$L14,"&gt;0"))</f>
        <v>23.435150035272873</v>
      </c>
      <c r="J25" s="6">
        <f>IF(ISERROR(AVERAGEIF(G14:$L14,"&gt;0")),"",AVERAGEIF(G14:$L14,"&gt;0"))</f>
        <v>24.822023667650853</v>
      </c>
      <c r="K25" s="6">
        <f>IF(ISERROR(AVERAGEIF(I14:$L14,"&gt;0")),"",AVERAGEIF(I14:$L14,"&gt;0"))</f>
        <v>24.57133948086501</v>
      </c>
      <c r="L25" s="6">
        <f>L14</f>
        <v>22.941809972516683</v>
      </c>
      <c r="M25" s="1">
        <f>MAX(K25:L25)</f>
        <v>24.57133948086501</v>
      </c>
      <c r="N25" s="1">
        <f>MIN(H25:L25)</f>
        <v>20.6786899748077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33" zoomScaleNormal="120" zoomScalePageLayoutView="120" workbookViewId="0">
      <pane xSplit="1" ySplit="1" topLeftCell="C103" activePane="bottomRight" state="frozen"/>
      <selection activeCell="C4" sqref="C4"/>
      <selection pane="topRight" activeCell="C4" sqref="C4"/>
      <selection pane="bottomLeft" activeCell="C4" sqref="C4"/>
      <selection pane="bottomRight" activeCell="C71" sqref="C7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44" t="str">
        <f>IF(B2&lt;&gt;B3, "A NEW VERSION OF THE WORKSHEET IS AVAILABLE", "")</f>
        <v/>
      </c>
      <c r="F1" s="44"/>
      <c r="G1" s="44"/>
      <c r="H1" s="44"/>
      <c r="I1" s="44"/>
      <c r="J1" s="44"/>
      <c r="K1" s="44"/>
    </row>
    <row r="2" spans="1:11" x14ac:dyDescent="0.3">
      <c r="A2" s="1" t="s">
        <v>61</v>
      </c>
      <c r="B2" s="4">
        <v>2.1</v>
      </c>
      <c r="E2" s="45" t="s">
        <v>36</v>
      </c>
      <c r="F2" s="45"/>
      <c r="G2" s="45"/>
      <c r="H2" s="45"/>
      <c r="I2" s="45"/>
      <c r="J2" s="45"/>
      <c r="K2" s="45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1353.2961424332343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1381.7</v>
      </c>
    </row>
    <row r="9" spans="1:11" x14ac:dyDescent="0.3">
      <c r="A9" s="4" t="s">
        <v>79</v>
      </c>
      <c r="B9">
        <v>1869849.28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272583</v>
      </c>
      <c r="C17">
        <v>303954</v>
      </c>
      <c r="D17">
        <v>390823</v>
      </c>
      <c r="E17">
        <v>568337</v>
      </c>
      <c r="F17">
        <v>596679</v>
      </c>
      <c r="G17">
        <v>466307</v>
      </c>
      <c r="H17">
        <v>694673</v>
      </c>
      <c r="I17">
        <v>876396</v>
      </c>
      <c r="J17">
        <v>899041</v>
      </c>
      <c r="K17">
        <v>962820</v>
      </c>
    </row>
    <row r="18" spans="1:11" s="6" customFormat="1" x14ac:dyDescent="0.3">
      <c r="A18" s="4" t="s">
        <v>80</v>
      </c>
      <c r="B18">
        <v>186254</v>
      </c>
      <c r="C18">
        <v>217518</v>
      </c>
      <c r="D18">
        <v>276076</v>
      </c>
      <c r="E18">
        <v>399167</v>
      </c>
      <c r="F18">
        <v>410288</v>
      </c>
      <c r="G18">
        <v>301765</v>
      </c>
      <c r="H18">
        <v>494449</v>
      </c>
      <c r="I18">
        <v>618746</v>
      </c>
      <c r="J18">
        <v>590226</v>
      </c>
      <c r="K18">
        <v>644813</v>
      </c>
    </row>
    <row r="19" spans="1:11" s="6" customFormat="1" x14ac:dyDescent="0.3">
      <c r="A19" s="4" t="s">
        <v>81</v>
      </c>
      <c r="B19">
        <v>-2560</v>
      </c>
      <c r="C19">
        <v>5218</v>
      </c>
      <c r="D19">
        <v>8610</v>
      </c>
      <c r="E19">
        <v>4680</v>
      </c>
      <c r="F19">
        <v>5048</v>
      </c>
      <c r="G19">
        <v>9064</v>
      </c>
      <c r="H19">
        <v>21457</v>
      </c>
      <c r="I19">
        <v>30263</v>
      </c>
      <c r="J19">
        <v>4883</v>
      </c>
      <c r="K19">
        <v>15124</v>
      </c>
    </row>
    <row r="20" spans="1:11" s="6" customFormat="1" x14ac:dyDescent="0.3">
      <c r="A20" s="4" t="s">
        <v>82</v>
      </c>
      <c r="B20">
        <v>10741</v>
      </c>
      <c r="C20">
        <v>11251</v>
      </c>
      <c r="D20">
        <v>14569</v>
      </c>
      <c r="E20">
        <v>17029</v>
      </c>
      <c r="F20">
        <v>15098</v>
      </c>
      <c r="G20">
        <v>13214</v>
      </c>
      <c r="H20">
        <v>17902</v>
      </c>
      <c r="I20">
        <v>25062</v>
      </c>
      <c r="J20">
        <v>22137</v>
      </c>
      <c r="K20">
        <v>23823</v>
      </c>
    </row>
    <row r="21" spans="1:11" s="6" customFormat="1" x14ac:dyDescent="0.3">
      <c r="A21" s="4" t="s">
        <v>83</v>
      </c>
      <c r="B21">
        <v>8272</v>
      </c>
      <c r="C21">
        <v>9909</v>
      </c>
      <c r="D21">
        <v>9691</v>
      </c>
      <c r="E21">
        <v>12198</v>
      </c>
      <c r="F21">
        <v>11434</v>
      </c>
      <c r="G21">
        <v>7687</v>
      </c>
      <c r="H21">
        <v>12174</v>
      </c>
      <c r="I21">
        <v>19658</v>
      </c>
      <c r="J21">
        <v>18276</v>
      </c>
      <c r="K21">
        <v>18358</v>
      </c>
    </row>
    <row r="22" spans="1:11" s="6" customFormat="1" x14ac:dyDescent="0.3">
      <c r="A22" s="4" t="s">
        <v>84</v>
      </c>
      <c r="B22">
        <v>7407</v>
      </c>
      <c r="C22">
        <v>8388</v>
      </c>
      <c r="D22">
        <v>9523</v>
      </c>
      <c r="E22">
        <v>12488</v>
      </c>
      <c r="F22">
        <v>14075</v>
      </c>
      <c r="G22">
        <v>14817</v>
      </c>
      <c r="H22">
        <v>18758</v>
      </c>
      <c r="I22">
        <v>24872</v>
      </c>
      <c r="J22">
        <v>25679</v>
      </c>
      <c r="K22">
        <v>28559</v>
      </c>
    </row>
    <row r="23" spans="1:11" s="6" customFormat="1" x14ac:dyDescent="0.3">
      <c r="A23" s="4" t="s">
        <v>85</v>
      </c>
      <c r="B23">
        <v>18808</v>
      </c>
      <c r="C23">
        <v>18520</v>
      </c>
      <c r="D23">
        <v>29111</v>
      </c>
      <c r="E23">
        <v>50221</v>
      </c>
      <c r="F23">
        <v>62622</v>
      </c>
      <c r="G23">
        <v>56154</v>
      </c>
      <c r="H23">
        <v>63513</v>
      </c>
      <c r="I23">
        <v>67369</v>
      </c>
      <c r="J23">
        <v>77292</v>
      </c>
      <c r="K23">
        <v>88760</v>
      </c>
    </row>
    <row r="24" spans="1:11" s="6" customFormat="1" x14ac:dyDescent="0.3">
      <c r="A24" s="4" t="s">
        <v>86</v>
      </c>
      <c r="B24">
        <v>-3240</v>
      </c>
      <c r="C24">
        <v>-2721</v>
      </c>
      <c r="D24">
        <v>-3852</v>
      </c>
      <c r="E24">
        <v>-2336</v>
      </c>
      <c r="F24">
        <v>-1056</v>
      </c>
      <c r="G24">
        <v>944</v>
      </c>
      <c r="H24">
        <v>753</v>
      </c>
      <c r="I24">
        <v>8634</v>
      </c>
      <c r="J24">
        <v>7816</v>
      </c>
      <c r="K24">
        <v>8033</v>
      </c>
    </row>
    <row r="25" spans="1:11" s="6" customFormat="1" x14ac:dyDescent="0.3">
      <c r="A25" s="6" t="s">
        <v>9</v>
      </c>
      <c r="B25">
        <v>12212</v>
      </c>
      <c r="C25">
        <v>9222</v>
      </c>
      <c r="D25">
        <v>9869</v>
      </c>
      <c r="E25">
        <v>8406</v>
      </c>
      <c r="F25">
        <v>8570</v>
      </c>
      <c r="G25">
        <v>22432</v>
      </c>
      <c r="H25">
        <v>19600</v>
      </c>
      <c r="I25">
        <v>12020</v>
      </c>
      <c r="J25">
        <v>15792</v>
      </c>
      <c r="K25">
        <v>17824</v>
      </c>
    </row>
    <row r="26" spans="1:11" s="6" customFormat="1" x14ac:dyDescent="0.3">
      <c r="A26" s="6" t="s">
        <v>10</v>
      </c>
      <c r="B26">
        <v>11565</v>
      </c>
      <c r="C26">
        <v>11646</v>
      </c>
      <c r="D26">
        <v>16706</v>
      </c>
      <c r="E26">
        <v>20934</v>
      </c>
      <c r="F26">
        <v>22203</v>
      </c>
      <c r="G26">
        <v>26572</v>
      </c>
      <c r="H26">
        <v>29782</v>
      </c>
      <c r="I26">
        <v>40303</v>
      </c>
      <c r="J26">
        <v>50832</v>
      </c>
      <c r="K26">
        <v>53136</v>
      </c>
    </row>
    <row r="27" spans="1:11" s="6" customFormat="1" x14ac:dyDescent="0.3">
      <c r="A27" s="6" t="s">
        <v>11</v>
      </c>
      <c r="B27">
        <v>3691</v>
      </c>
      <c r="C27">
        <v>3849</v>
      </c>
      <c r="D27">
        <v>8052</v>
      </c>
      <c r="E27">
        <v>16495</v>
      </c>
      <c r="F27">
        <v>22027</v>
      </c>
      <c r="G27">
        <v>21189</v>
      </c>
      <c r="H27">
        <v>14584</v>
      </c>
      <c r="I27">
        <v>19571</v>
      </c>
      <c r="J27">
        <v>23118</v>
      </c>
      <c r="K27">
        <v>24269</v>
      </c>
    </row>
    <row r="28" spans="1:11" s="6" customFormat="1" x14ac:dyDescent="0.3">
      <c r="A28" s="6" t="s">
        <v>12</v>
      </c>
      <c r="B28">
        <v>38737</v>
      </c>
      <c r="C28">
        <v>40034</v>
      </c>
      <c r="D28">
        <v>49426</v>
      </c>
      <c r="E28">
        <v>55227</v>
      </c>
      <c r="F28">
        <v>53606</v>
      </c>
      <c r="G28">
        <v>55461</v>
      </c>
      <c r="H28">
        <v>83815</v>
      </c>
      <c r="I28">
        <v>94464</v>
      </c>
      <c r="J28">
        <v>104340</v>
      </c>
      <c r="K28">
        <v>106017</v>
      </c>
    </row>
    <row r="29" spans="1:11" s="6" customFormat="1" x14ac:dyDescent="0.3">
      <c r="A29" s="6" t="s">
        <v>13</v>
      </c>
      <c r="B29">
        <v>8876</v>
      </c>
      <c r="C29">
        <v>10201</v>
      </c>
      <c r="D29">
        <v>13346</v>
      </c>
      <c r="E29">
        <v>15390</v>
      </c>
      <c r="F29">
        <v>13726</v>
      </c>
      <c r="G29">
        <v>1722</v>
      </c>
      <c r="H29">
        <v>15970</v>
      </c>
      <c r="I29">
        <v>20376</v>
      </c>
      <c r="J29">
        <v>25707</v>
      </c>
      <c r="K29">
        <v>25230</v>
      </c>
    </row>
    <row r="30" spans="1:11" s="6" customFormat="1" x14ac:dyDescent="0.3">
      <c r="A30" s="6" t="s">
        <v>14</v>
      </c>
      <c r="B30">
        <v>29745</v>
      </c>
      <c r="C30">
        <v>29901</v>
      </c>
      <c r="D30">
        <v>36075</v>
      </c>
      <c r="E30">
        <v>39588</v>
      </c>
      <c r="F30">
        <v>39354</v>
      </c>
      <c r="G30">
        <v>49128</v>
      </c>
      <c r="H30">
        <v>60705</v>
      </c>
      <c r="I30">
        <v>66702</v>
      </c>
      <c r="J30">
        <v>69621</v>
      </c>
      <c r="K30">
        <v>69648</v>
      </c>
    </row>
    <row r="31" spans="1:11" s="6" customFormat="1" x14ac:dyDescent="0.3">
      <c r="A31" s="6" t="s">
        <v>70</v>
      </c>
      <c r="B31">
        <v>3095.4</v>
      </c>
      <c r="C31">
        <v>3254.9</v>
      </c>
      <c r="D31">
        <v>3553.2</v>
      </c>
      <c r="E31">
        <v>3851.9</v>
      </c>
      <c r="F31">
        <v>4120.3500000000004</v>
      </c>
      <c r="G31">
        <v>4511.5</v>
      </c>
      <c r="H31">
        <v>5412</v>
      </c>
      <c r="I31">
        <v>6089.4</v>
      </c>
      <c r="J31">
        <v>6766</v>
      </c>
      <c r="K31">
        <v>7442.6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212834</v>
      </c>
      <c r="C42">
        <v>207559</v>
      </c>
      <c r="D42">
        <v>231886</v>
      </c>
      <c r="E42">
        <v>225086</v>
      </c>
      <c r="F42">
        <v>236533</v>
      </c>
      <c r="G42">
        <v>231784</v>
      </c>
      <c r="H42">
        <v>231535</v>
      </c>
      <c r="I42">
        <v>239986</v>
      </c>
      <c r="J42">
        <v>261388</v>
      </c>
      <c r="K42">
        <v>243632</v>
      </c>
    </row>
    <row r="43" spans="1:11" s="6" customFormat="1" x14ac:dyDescent="0.3">
      <c r="A43" s="6" t="s">
        <v>7</v>
      </c>
      <c r="B43">
        <v>174478</v>
      </c>
      <c r="C43">
        <v>169466</v>
      </c>
      <c r="D43">
        <v>190918</v>
      </c>
      <c r="E43">
        <v>184430</v>
      </c>
      <c r="F43">
        <v>194017</v>
      </c>
      <c r="G43">
        <v>193019</v>
      </c>
      <c r="H43">
        <v>192477</v>
      </c>
      <c r="I43">
        <v>196197</v>
      </c>
      <c r="J43">
        <v>217556</v>
      </c>
      <c r="K43">
        <v>200727</v>
      </c>
    </row>
    <row r="44" spans="1:11" s="6" customFormat="1" x14ac:dyDescent="0.3">
      <c r="A44" s="6" t="s">
        <v>9</v>
      </c>
      <c r="B44">
        <v>2996</v>
      </c>
      <c r="C44">
        <v>3813</v>
      </c>
      <c r="D44">
        <v>3841</v>
      </c>
      <c r="E44">
        <v>3869</v>
      </c>
      <c r="F44">
        <v>4534</v>
      </c>
      <c r="G44">
        <v>3983</v>
      </c>
      <c r="H44">
        <v>4876</v>
      </c>
      <c r="I44">
        <v>4214</v>
      </c>
      <c r="J44">
        <v>4905</v>
      </c>
      <c r="K44">
        <v>15119</v>
      </c>
    </row>
    <row r="45" spans="1:11" s="6" customFormat="1" x14ac:dyDescent="0.3">
      <c r="A45" s="6" t="s">
        <v>10</v>
      </c>
      <c r="B45">
        <v>11452</v>
      </c>
      <c r="C45">
        <v>11775</v>
      </c>
      <c r="D45">
        <v>12585</v>
      </c>
      <c r="E45">
        <v>12903</v>
      </c>
      <c r="F45">
        <v>13569</v>
      </c>
      <c r="G45">
        <v>13596</v>
      </c>
      <c r="H45">
        <v>12880</v>
      </c>
      <c r="I45">
        <v>13181</v>
      </c>
      <c r="J45">
        <v>13479</v>
      </c>
      <c r="K45">
        <v>13842</v>
      </c>
    </row>
    <row r="46" spans="1:11" s="6" customFormat="1" x14ac:dyDescent="0.3">
      <c r="A46" s="6" t="s">
        <v>11</v>
      </c>
      <c r="B46">
        <v>5819</v>
      </c>
      <c r="C46">
        <v>5837</v>
      </c>
      <c r="D46">
        <v>5731</v>
      </c>
      <c r="E46">
        <v>5789</v>
      </c>
      <c r="F46">
        <v>5761</v>
      </c>
      <c r="G46">
        <v>5918</v>
      </c>
      <c r="H46">
        <v>6017</v>
      </c>
      <c r="I46">
        <v>6179</v>
      </c>
      <c r="J46">
        <v>6155</v>
      </c>
      <c r="K46">
        <v>7036</v>
      </c>
    </row>
    <row r="47" spans="1:11" s="6" customFormat="1" x14ac:dyDescent="0.3">
      <c r="A47" s="6" t="s">
        <v>12</v>
      </c>
      <c r="B47">
        <v>24081</v>
      </c>
      <c r="C47">
        <v>24294</v>
      </c>
      <c r="D47">
        <v>26493</v>
      </c>
      <c r="E47">
        <v>25833</v>
      </c>
      <c r="F47">
        <v>27720</v>
      </c>
      <c r="G47">
        <v>23234</v>
      </c>
      <c r="H47">
        <v>25037</v>
      </c>
      <c r="I47">
        <v>28643</v>
      </c>
      <c r="J47">
        <v>29103</v>
      </c>
      <c r="K47">
        <v>37146</v>
      </c>
    </row>
    <row r="48" spans="1:11" s="6" customFormat="1" x14ac:dyDescent="0.3">
      <c r="A48" s="6" t="s">
        <v>13</v>
      </c>
      <c r="B48">
        <v>2754</v>
      </c>
      <c r="C48">
        <v>6112</v>
      </c>
      <c r="D48">
        <v>6673</v>
      </c>
      <c r="E48">
        <v>6345</v>
      </c>
      <c r="F48">
        <v>6577</v>
      </c>
      <c r="G48">
        <v>5786</v>
      </c>
      <c r="H48">
        <v>5936</v>
      </c>
      <c r="I48">
        <v>6839</v>
      </c>
      <c r="J48">
        <v>6669</v>
      </c>
      <c r="K48">
        <v>6465</v>
      </c>
    </row>
    <row r="49" spans="1:11" s="6" customFormat="1" x14ac:dyDescent="0.3">
      <c r="A49" s="6" t="s">
        <v>14</v>
      </c>
      <c r="B49">
        <v>19299</v>
      </c>
      <c r="C49">
        <v>16011</v>
      </c>
      <c r="D49">
        <v>17394</v>
      </c>
      <c r="E49">
        <v>17265</v>
      </c>
      <c r="F49">
        <v>18951</v>
      </c>
      <c r="G49">
        <v>15138</v>
      </c>
      <c r="H49">
        <v>16563</v>
      </c>
      <c r="I49">
        <v>18540</v>
      </c>
      <c r="J49">
        <v>19407</v>
      </c>
      <c r="K49">
        <v>26994</v>
      </c>
    </row>
    <row r="50" spans="1:11" x14ac:dyDescent="0.3">
      <c r="A50" s="6" t="s">
        <v>8</v>
      </c>
      <c r="B50">
        <v>38356</v>
      </c>
      <c r="C50">
        <v>38093</v>
      </c>
      <c r="D50">
        <v>40968</v>
      </c>
      <c r="E50">
        <v>40656</v>
      </c>
      <c r="F50">
        <v>42516</v>
      </c>
      <c r="G50">
        <v>38765</v>
      </c>
      <c r="H50">
        <v>39058</v>
      </c>
      <c r="I50">
        <v>43789</v>
      </c>
      <c r="J50">
        <v>43832</v>
      </c>
      <c r="K50">
        <v>42905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2948</v>
      </c>
      <c r="C57">
        <v>2959</v>
      </c>
      <c r="D57">
        <v>5922</v>
      </c>
      <c r="E57">
        <v>5926</v>
      </c>
      <c r="F57">
        <v>6339</v>
      </c>
      <c r="G57">
        <v>6445</v>
      </c>
      <c r="H57">
        <v>6765</v>
      </c>
      <c r="I57">
        <v>6766</v>
      </c>
      <c r="J57">
        <v>6766</v>
      </c>
      <c r="K57">
        <v>13532</v>
      </c>
    </row>
    <row r="58" spans="1:11" x14ac:dyDescent="0.3">
      <c r="A58" s="6" t="s">
        <v>25</v>
      </c>
      <c r="B58">
        <v>228608</v>
      </c>
      <c r="C58">
        <v>260750</v>
      </c>
      <c r="D58">
        <v>287584</v>
      </c>
      <c r="E58">
        <v>381186</v>
      </c>
      <c r="F58">
        <v>442827</v>
      </c>
      <c r="G58">
        <v>693727</v>
      </c>
      <c r="H58">
        <v>772720</v>
      </c>
      <c r="I58">
        <v>709106</v>
      </c>
      <c r="J58">
        <v>786715</v>
      </c>
      <c r="K58">
        <v>829668</v>
      </c>
    </row>
    <row r="59" spans="1:11" x14ac:dyDescent="0.3">
      <c r="A59" s="6" t="s">
        <v>71</v>
      </c>
      <c r="B59">
        <v>194714</v>
      </c>
      <c r="C59">
        <v>217475</v>
      </c>
      <c r="D59">
        <v>239843</v>
      </c>
      <c r="E59">
        <v>307714</v>
      </c>
      <c r="F59">
        <v>355133</v>
      </c>
      <c r="G59">
        <v>278962</v>
      </c>
      <c r="H59">
        <v>319158</v>
      </c>
      <c r="I59">
        <v>451664</v>
      </c>
      <c r="J59">
        <v>350719</v>
      </c>
      <c r="K59">
        <v>374313</v>
      </c>
    </row>
    <row r="60" spans="1:11" x14ac:dyDescent="0.3">
      <c r="A60" s="6" t="s">
        <v>72</v>
      </c>
      <c r="B60">
        <v>172727</v>
      </c>
      <c r="C60">
        <v>225618</v>
      </c>
      <c r="D60">
        <v>277924</v>
      </c>
      <c r="E60">
        <v>302804</v>
      </c>
      <c r="F60">
        <v>358716</v>
      </c>
      <c r="G60">
        <v>340931</v>
      </c>
      <c r="H60">
        <v>399979</v>
      </c>
      <c r="I60">
        <v>438346</v>
      </c>
      <c r="J60">
        <v>610848</v>
      </c>
      <c r="K60">
        <v>732200</v>
      </c>
    </row>
    <row r="61" spans="1:11" s="1" customFormat="1" x14ac:dyDescent="0.3">
      <c r="A61" s="1" t="s">
        <v>26</v>
      </c>
      <c r="B61">
        <v>598997</v>
      </c>
      <c r="C61">
        <v>706802</v>
      </c>
      <c r="D61">
        <v>811273</v>
      </c>
      <c r="E61">
        <v>997630</v>
      </c>
      <c r="F61">
        <v>1163015</v>
      </c>
      <c r="G61">
        <v>1320065</v>
      </c>
      <c r="H61">
        <v>1498622</v>
      </c>
      <c r="I61">
        <v>1605882</v>
      </c>
      <c r="J61">
        <v>1755048</v>
      </c>
      <c r="K61">
        <v>1949713</v>
      </c>
    </row>
    <row r="62" spans="1:11" x14ac:dyDescent="0.3">
      <c r="A62" s="6" t="s">
        <v>27</v>
      </c>
      <c r="B62">
        <v>184910</v>
      </c>
      <c r="C62">
        <v>198526</v>
      </c>
      <c r="D62">
        <v>403885</v>
      </c>
      <c r="E62">
        <v>398374</v>
      </c>
      <c r="F62">
        <v>532658</v>
      </c>
      <c r="G62">
        <v>541258</v>
      </c>
      <c r="H62">
        <v>627798</v>
      </c>
      <c r="I62">
        <v>724805</v>
      </c>
      <c r="J62">
        <v>779985</v>
      </c>
      <c r="K62">
        <v>999393</v>
      </c>
    </row>
    <row r="63" spans="1:11" x14ac:dyDescent="0.3">
      <c r="A63" s="6" t="s">
        <v>28</v>
      </c>
      <c r="B63">
        <v>228697</v>
      </c>
      <c r="C63">
        <v>324837</v>
      </c>
      <c r="D63">
        <v>187022</v>
      </c>
      <c r="E63">
        <v>179463</v>
      </c>
      <c r="F63">
        <v>109106</v>
      </c>
      <c r="G63">
        <v>125953</v>
      </c>
      <c r="H63">
        <v>172506</v>
      </c>
      <c r="I63">
        <v>293752</v>
      </c>
      <c r="J63">
        <v>338855</v>
      </c>
      <c r="K63">
        <v>262358</v>
      </c>
    </row>
    <row r="64" spans="1:11" x14ac:dyDescent="0.3">
      <c r="A64" s="6" t="s">
        <v>29</v>
      </c>
      <c r="B64">
        <v>84015</v>
      </c>
      <c r="C64">
        <v>82899</v>
      </c>
      <c r="D64">
        <v>82862</v>
      </c>
      <c r="E64">
        <v>235635</v>
      </c>
      <c r="F64">
        <v>276767</v>
      </c>
      <c r="G64">
        <v>364828</v>
      </c>
      <c r="H64">
        <v>394264</v>
      </c>
      <c r="I64">
        <v>235560</v>
      </c>
      <c r="J64">
        <v>225672</v>
      </c>
      <c r="K64">
        <v>242381</v>
      </c>
    </row>
    <row r="65" spans="1:11" x14ac:dyDescent="0.3">
      <c r="A65" s="6" t="s">
        <v>73</v>
      </c>
      <c r="B65">
        <v>101375</v>
      </c>
      <c r="C65">
        <v>100540</v>
      </c>
      <c r="D65">
        <v>137504</v>
      </c>
      <c r="E65">
        <v>184158</v>
      </c>
      <c r="F65">
        <v>244484</v>
      </c>
      <c r="G65">
        <v>288026</v>
      </c>
      <c r="H65">
        <v>304054</v>
      </c>
      <c r="I65">
        <v>351765</v>
      </c>
      <c r="J65">
        <v>410536</v>
      </c>
      <c r="K65">
        <v>445581</v>
      </c>
    </row>
    <row r="66" spans="1:11" s="1" customFormat="1" x14ac:dyDescent="0.3">
      <c r="A66" s="1" t="s">
        <v>26</v>
      </c>
      <c r="B66">
        <v>598997</v>
      </c>
      <c r="C66">
        <v>706802</v>
      </c>
      <c r="D66">
        <v>811273</v>
      </c>
      <c r="E66">
        <v>997630</v>
      </c>
      <c r="F66">
        <v>1163015</v>
      </c>
      <c r="G66">
        <v>1320065</v>
      </c>
      <c r="H66">
        <v>1498622</v>
      </c>
      <c r="I66">
        <v>1605882</v>
      </c>
      <c r="J66">
        <v>1755048</v>
      </c>
      <c r="K66">
        <v>1949713</v>
      </c>
    </row>
    <row r="67" spans="1:11" s="6" customFormat="1" x14ac:dyDescent="0.3">
      <c r="A67" s="6" t="s">
        <v>78</v>
      </c>
      <c r="B67">
        <v>4465</v>
      </c>
      <c r="C67">
        <v>8177</v>
      </c>
      <c r="D67">
        <v>17555</v>
      </c>
      <c r="E67">
        <v>30089</v>
      </c>
      <c r="F67">
        <v>19656</v>
      </c>
      <c r="G67">
        <v>19014</v>
      </c>
      <c r="H67">
        <v>23640</v>
      </c>
      <c r="I67">
        <v>28448</v>
      </c>
      <c r="J67">
        <v>31628</v>
      </c>
      <c r="K67">
        <v>42121</v>
      </c>
    </row>
    <row r="68" spans="1:11" x14ac:dyDescent="0.3">
      <c r="A68" s="6" t="s">
        <v>45</v>
      </c>
      <c r="B68">
        <v>46486</v>
      </c>
      <c r="C68">
        <v>48951</v>
      </c>
      <c r="D68">
        <v>60837</v>
      </c>
      <c r="E68">
        <v>67561</v>
      </c>
      <c r="F68">
        <v>73903</v>
      </c>
      <c r="G68">
        <v>81672</v>
      </c>
      <c r="H68">
        <v>107778</v>
      </c>
      <c r="I68">
        <v>140008</v>
      </c>
      <c r="J68">
        <v>152770</v>
      </c>
      <c r="K68">
        <v>146062</v>
      </c>
    </row>
    <row r="69" spans="1:11" x14ac:dyDescent="0.3">
      <c r="A69" s="4" t="s">
        <v>87</v>
      </c>
      <c r="B69">
        <v>11028</v>
      </c>
      <c r="C69">
        <v>3023</v>
      </c>
      <c r="D69">
        <v>4255</v>
      </c>
      <c r="E69">
        <v>11081</v>
      </c>
      <c r="F69">
        <v>30920</v>
      </c>
      <c r="G69">
        <v>17397</v>
      </c>
      <c r="H69">
        <v>36178</v>
      </c>
      <c r="I69">
        <v>68664</v>
      </c>
      <c r="J69">
        <v>97225</v>
      </c>
      <c r="K69">
        <v>106502</v>
      </c>
    </row>
    <row r="70" spans="1:11" x14ac:dyDescent="0.3">
      <c r="A70" s="4" t="s">
        <v>74</v>
      </c>
      <c r="B70">
        <v>2948021694</v>
      </c>
      <c r="C70">
        <v>2958924277</v>
      </c>
      <c r="D70">
        <v>5921826196</v>
      </c>
      <c r="E70">
        <v>5925868997</v>
      </c>
      <c r="F70">
        <v>6338693823</v>
      </c>
      <c r="G70">
        <v>6762068814</v>
      </c>
      <c r="H70">
        <v>6765994014</v>
      </c>
      <c r="I70">
        <v>6766094014</v>
      </c>
      <c r="J70">
        <v>6766094014</v>
      </c>
      <c r="K70">
        <v>13532515463</v>
      </c>
    </row>
    <row r="71" spans="1:11" x14ac:dyDescent="0.3">
      <c r="A71" s="4" t="s">
        <v>75</v>
      </c>
      <c r="D71">
        <v>2959863235</v>
      </c>
      <c r="E71">
        <v>2959863235</v>
      </c>
      <c r="K71">
        <v>6766186449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38134</v>
      </c>
      <c r="C82">
        <v>49550</v>
      </c>
      <c r="D82">
        <v>71459</v>
      </c>
      <c r="E82">
        <v>42346</v>
      </c>
      <c r="F82">
        <v>94877</v>
      </c>
      <c r="G82">
        <v>26958</v>
      </c>
      <c r="H82">
        <v>110654</v>
      </c>
      <c r="I82">
        <v>115032</v>
      </c>
      <c r="J82">
        <v>158788</v>
      </c>
      <c r="K82">
        <v>178703</v>
      </c>
    </row>
    <row r="83" spans="1:11" s="6" customFormat="1" x14ac:dyDescent="0.3">
      <c r="A83" s="6" t="s">
        <v>33</v>
      </c>
      <c r="B83">
        <v>-36186</v>
      </c>
      <c r="C83">
        <v>-66201</v>
      </c>
      <c r="D83">
        <v>-68192</v>
      </c>
      <c r="E83">
        <v>-94507</v>
      </c>
      <c r="F83">
        <v>-72497</v>
      </c>
      <c r="G83">
        <v>-142385</v>
      </c>
      <c r="H83">
        <v>-109162</v>
      </c>
      <c r="I83">
        <v>-93001</v>
      </c>
      <c r="J83">
        <v>-113581</v>
      </c>
      <c r="K83">
        <v>-137535</v>
      </c>
    </row>
    <row r="84" spans="1:11" s="6" customFormat="1" x14ac:dyDescent="0.3">
      <c r="A84" s="6" t="s">
        <v>34</v>
      </c>
      <c r="B84">
        <v>-3210</v>
      </c>
      <c r="C84">
        <v>8617</v>
      </c>
      <c r="D84">
        <v>-2001</v>
      </c>
      <c r="E84">
        <v>55906</v>
      </c>
      <c r="F84">
        <v>-2541</v>
      </c>
      <c r="G84">
        <v>101904</v>
      </c>
      <c r="H84">
        <v>17289</v>
      </c>
      <c r="I84">
        <v>10455</v>
      </c>
      <c r="J84">
        <v>-16646</v>
      </c>
      <c r="K84">
        <v>-31891</v>
      </c>
    </row>
    <row r="85" spans="1:11" s="1" customFormat="1" x14ac:dyDescent="0.3">
      <c r="A85" s="6" t="s">
        <v>35</v>
      </c>
      <c r="B85">
        <v>-1262</v>
      </c>
      <c r="C85">
        <v>-8034</v>
      </c>
      <c r="D85">
        <v>1266</v>
      </c>
      <c r="E85">
        <v>3745</v>
      </c>
      <c r="F85">
        <v>19839</v>
      </c>
      <c r="G85">
        <v>-13523</v>
      </c>
      <c r="H85">
        <v>18781</v>
      </c>
      <c r="I85">
        <v>32486</v>
      </c>
      <c r="J85">
        <v>28561</v>
      </c>
      <c r="K85">
        <v>9277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237.46</v>
      </c>
      <c r="C90">
        <v>300.08999999999997</v>
      </c>
      <c r="D90">
        <v>401.08</v>
      </c>
      <c r="E90">
        <v>619.42999999999995</v>
      </c>
      <c r="F90">
        <v>506.06</v>
      </c>
      <c r="G90">
        <v>918.78</v>
      </c>
      <c r="H90">
        <v>1208.51</v>
      </c>
      <c r="I90">
        <v>1069.21</v>
      </c>
      <c r="J90">
        <v>1485.85</v>
      </c>
      <c r="K90">
        <v>1275.0999999999999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1382.58</v>
      </c>
      <c r="C93" s="24">
        <v>1387.22</v>
      </c>
      <c r="D93" s="24">
        <v>1351.39</v>
      </c>
      <c r="E93" s="24">
        <v>1352.26</v>
      </c>
      <c r="F93" s="24">
        <v>1352.37</v>
      </c>
      <c r="G93" s="24">
        <v>1267.8900000000001</v>
      </c>
      <c r="H93" s="24">
        <v>1352.98</v>
      </c>
      <c r="I93" s="24">
        <v>1353.12</v>
      </c>
      <c r="J93" s="24">
        <v>1353.14</v>
      </c>
      <c r="K93" s="24">
        <v>1353.24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RELIANCE INDUSTRIES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212834</v>
      </c>
      <c r="C4" s="1">
        <f>'Data Sheet'!C42</f>
        <v>207559</v>
      </c>
      <c r="D4" s="1">
        <f>'Data Sheet'!D42</f>
        <v>231886</v>
      </c>
      <c r="E4" s="1">
        <f>'Data Sheet'!E42</f>
        <v>225086</v>
      </c>
      <c r="F4" s="1">
        <f>'Data Sheet'!F42</f>
        <v>236533</v>
      </c>
      <c r="G4" s="1">
        <f>'Data Sheet'!G42</f>
        <v>231784</v>
      </c>
      <c r="H4" s="1">
        <f>'Data Sheet'!H42</f>
        <v>231535</v>
      </c>
      <c r="I4" s="1">
        <f>'Data Sheet'!I42</f>
        <v>239986</v>
      </c>
      <c r="J4" s="1">
        <f>'Data Sheet'!J42</f>
        <v>261388</v>
      </c>
      <c r="K4" s="1">
        <f>'Data Sheet'!K42</f>
        <v>243632</v>
      </c>
    </row>
    <row r="5" spans="1:11" x14ac:dyDescent="0.3">
      <c r="A5" t="s">
        <v>7</v>
      </c>
      <c r="B5" s="6">
        <f>'Data Sheet'!B43</f>
        <v>174478</v>
      </c>
      <c r="C5" s="6">
        <f>'Data Sheet'!C43</f>
        <v>169466</v>
      </c>
      <c r="D5" s="6">
        <f>'Data Sheet'!D43</f>
        <v>190918</v>
      </c>
      <c r="E5" s="6">
        <f>'Data Sheet'!E43</f>
        <v>184430</v>
      </c>
      <c r="F5" s="6">
        <f>'Data Sheet'!F43</f>
        <v>194017</v>
      </c>
      <c r="G5" s="6">
        <f>'Data Sheet'!G43</f>
        <v>193019</v>
      </c>
      <c r="H5" s="6">
        <f>'Data Sheet'!H43</f>
        <v>192477</v>
      </c>
      <c r="I5" s="6">
        <f>'Data Sheet'!I43</f>
        <v>196197</v>
      </c>
      <c r="J5" s="6">
        <f>'Data Sheet'!J43</f>
        <v>217556</v>
      </c>
      <c r="K5" s="6">
        <f>'Data Sheet'!K43</f>
        <v>200727</v>
      </c>
    </row>
    <row r="6" spans="1:11" s="2" customFormat="1" x14ac:dyDescent="0.3">
      <c r="A6" s="2" t="s">
        <v>8</v>
      </c>
      <c r="B6" s="1">
        <f>'Data Sheet'!B50</f>
        <v>38356</v>
      </c>
      <c r="C6" s="1">
        <f>'Data Sheet'!C50</f>
        <v>38093</v>
      </c>
      <c r="D6" s="1">
        <f>'Data Sheet'!D50</f>
        <v>40968</v>
      </c>
      <c r="E6" s="1">
        <f>'Data Sheet'!E50</f>
        <v>40656</v>
      </c>
      <c r="F6" s="1">
        <f>'Data Sheet'!F50</f>
        <v>42516</v>
      </c>
      <c r="G6" s="1">
        <f>'Data Sheet'!G50</f>
        <v>38765</v>
      </c>
      <c r="H6" s="1">
        <f>'Data Sheet'!H50</f>
        <v>39058</v>
      </c>
      <c r="I6" s="1">
        <f>'Data Sheet'!I50</f>
        <v>43789</v>
      </c>
      <c r="J6" s="1">
        <f>'Data Sheet'!J50</f>
        <v>43832</v>
      </c>
      <c r="K6" s="1">
        <f>'Data Sheet'!K50</f>
        <v>42905</v>
      </c>
    </row>
    <row r="7" spans="1:11" x14ac:dyDescent="0.3">
      <c r="A7" t="s">
        <v>9</v>
      </c>
      <c r="B7" s="6">
        <f>'Data Sheet'!B44</f>
        <v>2996</v>
      </c>
      <c r="C7" s="6">
        <f>'Data Sheet'!C44</f>
        <v>3813</v>
      </c>
      <c r="D7" s="6">
        <f>'Data Sheet'!D44</f>
        <v>3841</v>
      </c>
      <c r="E7" s="6">
        <f>'Data Sheet'!E44</f>
        <v>3869</v>
      </c>
      <c r="F7" s="6">
        <f>'Data Sheet'!F44</f>
        <v>4534</v>
      </c>
      <c r="G7" s="6">
        <f>'Data Sheet'!G44</f>
        <v>3983</v>
      </c>
      <c r="H7" s="6">
        <f>'Data Sheet'!H44</f>
        <v>4876</v>
      </c>
      <c r="I7" s="6">
        <f>'Data Sheet'!I44</f>
        <v>4214</v>
      </c>
      <c r="J7" s="6">
        <f>'Data Sheet'!J44</f>
        <v>4905</v>
      </c>
      <c r="K7" s="6">
        <f>'Data Sheet'!K44</f>
        <v>15119</v>
      </c>
    </row>
    <row r="8" spans="1:11" x14ac:dyDescent="0.3">
      <c r="A8" t="s">
        <v>10</v>
      </c>
      <c r="B8" s="6">
        <f>'Data Sheet'!B45</f>
        <v>11452</v>
      </c>
      <c r="C8" s="6">
        <f>'Data Sheet'!C45</f>
        <v>11775</v>
      </c>
      <c r="D8" s="6">
        <f>'Data Sheet'!D45</f>
        <v>12585</v>
      </c>
      <c r="E8" s="6">
        <f>'Data Sheet'!E45</f>
        <v>12903</v>
      </c>
      <c r="F8" s="6">
        <f>'Data Sheet'!F45</f>
        <v>13569</v>
      </c>
      <c r="G8" s="6">
        <f>'Data Sheet'!G45</f>
        <v>13596</v>
      </c>
      <c r="H8" s="6">
        <f>'Data Sheet'!H45</f>
        <v>12880</v>
      </c>
      <c r="I8" s="6">
        <f>'Data Sheet'!I45</f>
        <v>13181</v>
      </c>
      <c r="J8" s="6">
        <f>'Data Sheet'!J45</f>
        <v>13479</v>
      </c>
      <c r="K8" s="6">
        <f>'Data Sheet'!K45</f>
        <v>13842</v>
      </c>
    </row>
    <row r="9" spans="1:11" x14ac:dyDescent="0.3">
      <c r="A9" t="s">
        <v>11</v>
      </c>
      <c r="B9" s="6">
        <f>'Data Sheet'!B46</f>
        <v>5819</v>
      </c>
      <c r="C9" s="6">
        <f>'Data Sheet'!C46</f>
        <v>5837</v>
      </c>
      <c r="D9" s="6">
        <f>'Data Sheet'!D46</f>
        <v>5731</v>
      </c>
      <c r="E9" s="6">
        <f>'Data Sheet'!E46</f>
        <v>5789</v>
      </c>
      <c r="F9" s="6">
        <f>'Data Sheet'!F46</f>
        <v>5761</v>
      </c>
      <c r="G9" s="6">
        <f>'Data Sheet'!G46</f>
        <v>5918</v>
      </c>
      <c r="H9" s="6">
        <f>'Data Sheet'!H46</f>
        <v>6017</v>
      </c>
      <c r="I9" s="6">
        <f>'Data Sheet'!I46</f>
        <v>6179</v>
      </c>
      <c r="J9" s="6">
        <f>'Data Sheet'!J46</f>
        <v>6155</v>
      </c>
      <c r="K9" s="6">
        <f>'Data Sheet'!K46</f>
        <v>7036</v>
      </c>
    </row>
    <row r="10" spans="1:11" x14ac:dyDescent="0.3">
      <c r="A10" t="s">
        <v>12</v>
      </c>
      <c r="B10" s="6">
        <f>'Data Sheet'!B47</f>
        <v>24081</v>
      </c>
      <c r="C10" s="6">
        <f>'Data Sheet'!C47</f>
        <v>24294</v>
      </c>
      <c r="D10" s="6">
        <f>'Data Sheet'!D47</f>
        <v>26493</v>
      </c>
      <c r="E10" s="6">
        <f>'Data Sheet'!E47</f>
        <v>25833</v>
      </c>
      <c r="F10" s="6">
        <f>'Data Sheet'!F47</f>
        <v>27720</v>
      </c>
      <c r="G10" s="6">
        <f>'Data Sheet'!G47</f>
        <v>23234</v>
      </c>
      <c r="H10" s="6">
        <f>'Data Sheet'!H47</f>
        <v>25037</v>
      </c>
      <c r="I10" s="6">
        <f>'Data Sheet'!I47</f>
        <v>28643</v>
      </c>
      <c r="J10" s="6">
        <f>'Data Sheet'!J47</f>
        <v>29103</v>
      </c>
      <c r="K10" s="6">
        <f>'Data Sheet'!K47</f>
        <v>37146</v>
      </c>
    </row>
    <row r="11" spans="1:11" x14ac:dyDescent="0.3">
      <c r="A11" t="s">
        <v>13</v>
      </c>
      <c r="B11" s="6">
        <f>'Data Sheet'!B48</f>
        <v>2754</v>
      </c>
      <c r="C11" s="6">
        <f>'Data Sheet'!C48</f>
        <v>6112</v>
      </c>
      <c r="D11" s="6">
        <f>'Data Sheet'!D48</f>
        <v>6673</v>
      </c>
      <c r="E11" s="6">
        <f>'Data Sheet'!E48</f>
        <v>6345</v>
      </c>
      <c r="F11" s="6">
        <f>'Data Sheet'!F48</f>
        <v>6577</v>
      </c>
      <c r="G11" s="6">
        <f>'Data Sheet'!G48</f>
        <v>5786</v>
      </c>
      <c r="H11" s="6">
        <f>'Data Sheet'!H48</f>
        <v>5936</v>
      </c>
      <c r="I11" s="6">
        <f>'Data Sheet'!I48</f>
        <v>6839</v>
      </c>
      <c r="J11" s="6">
        <f>'Data Sheet'!J48</f>
        <v>6669</v>
      </c>
      <c r="K11" s="6">
        <f>'Data Sheet'!K48</f>
        <v>6465</v>
      </c>
    </row>
    <row r="12" spans="1:11" s="2" customFormat="1" x14ac:dyDescent="0.3">
      <c r="A12" s="2" t="s">
        <v>14</v>
      </c>
      <c r="B12" s="1">
        <f>'Data Sheet'!B49</f>
        <v>19299</v>
      </c>
      <c r="C12" s="1">
        <f>'Data Sheet'!C49</f>
        <v>16011</v>
      </c>
      <c r="D12" s="1">
        <f>'Data Sheet'!D49</f>
        <v>17394</v>
      </c>
      <c r="E12" s="1">
        <f>'Data Sheet'!E49</f>
        <v>17265</v>
      </c>
      <c r="F12" s="1">
        <f>'Data Sheet'!F49</f>
        <v>18951</v>
      </c>
      <c r="G12" s="1">
        <f>'Data Sheet'!G49</f>
        <v>15138</v>
      </c>
      <c r="H12" s="1">
        <f>'Data Sheet'!H49</f>
        <v>16563</v>
      </c>
      <c r="I12" s="1">
        <f>'Data Sheet'!I49</f>
        <v>18540</v>
      </c>
      <c r="J12" s="1">
        <f>'Data Sheet'!J49</f>
        <v>19407</v>
      </c>
      <c r="K12" s="1">
        <f>'Data Sheet'!K49</f>
        <v>26994</v>
      </c>
    </row>
    <row r="14" spans="1:11" s="2" customFormat="1" x14ac:dyDescent="0.3">
      <c r="A14" s="2" t="s">
        <v>18</v>
      </c>
      <c r="B14" s="10">
        <f>IF(B4&gt;0,B6/B4,"")</f>
        <v>0.18021556706165368</v>
      </c>
      <c r="C14" s="10">
        <f t="shared" ref="C14:K14" si="0">IF(C4&gt;0,C6/C4,"")</f>
        <v>0.18352853887328421</v>
      </c>
      <c r="D14" s="10">
        <f t="shared" si="0"/>
        <v>0.17667302036345445</v>
      </c>
      <c r="E14" s="10">
        <f t="shared" si="0"/>
        <v>0.18062429471402042</v>
      </c>
      <c r="F14" s="10">
        <f t="shared" si="0"/>
        <v>0.17974658927084169</v>
      </c>
      <c r="G14" s="10">
        <f t="shared" si="0"/>
        <v>0.16724622924792049</v>
      </c>
      <c r="H14" s="10">
        <f t="shared" si="0"/>
        <v>0.16869155851167211</v>
      </c>
      <c r="I14" s="10">
        <f t="shared" si="0"/>
        <v>0.18246481044727608</v>
      </c>
      <c r="J14" s="10">
        <f t="shared" si="0"/>
        <v>0.16768941190873338</v>
      </c>
      <c r="K14" s="10">
        <f t="shared" si="0"/>
        <v>0.17610576607342221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10" activePane="bottomRight" state="frozen"/>
      <selection activeCell="C4" sqref="C4"/>
      <selection pane="topRight" activeCell="C4" sqref="C4"/>
      <selection pane="bottomLeft" activeCell="C4" sqref="C4"/>
      <selection pane="bottomRight" activeCell="E20" sqref="E20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RELIANCE INDUSTRIES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2948</v>
      </c>
      <c r="C4" s="14">
        <f>'Data Sheet'!C57</f>
        <v>2959</v>
      </c>
      <c r="D4" s="14">
        <f>'Data Sheet'!D57</f>
        <v>5922</v>
      </c>
      <c r="E4" s="14">
        <f>'Data Sheet'!E57</f>
        <v>5926</v>
      </c>
      <c r="F4" s="14">
        <f>'Data Sheet'!F57</f>
        <v>6339</v>
      </c>
      <c r="G4" s="14">
        <f>'Data Sheet'!G57</f>
        <v>6445</v>
      </c>
      <c r="H4" s="14">
        <f>'Data Sheet'!H57</f>
        <v>6765</v>
      </c>
      <c r="I4" s="14">
        <f>'Data Sheet'!I57</f>
        <v>6766</v>
      </c>
      <c r="J4" s="14">
        <f>'Data Sheet'!J57</f>
        <v>6766</v>
      </c>
      <c r="K4" s="14">
        <f>'Data Sheet'!K57</f>
        <v>13532</v>
      </c>
    </row>
    <row r="5" spans="1:11" x14ac:dyDescent="0.3">
      <c r="A5" t="s">
        <v>25</v>
      </c>
      <c r="B5" s="14">
        <f>'Data Sheet'!B58</f>
        <v>228608</v>
      </c>
      <c r="C5" s="14">
        <f>'Data Sheet'!C58</f>
        <v>260750</v>
      </c>
      <c r="D5" s="14">
        <f>'Data Sheet'!D58</f>
        <v>287584</v>
      </c>
      <c r="E5" s="14">
        <f>'Data Sheet'!E58</f>
        <v>381186</v>
      </c>
      <c r="F5" s="14">
        <f>'Data Sheet'!F58</f>
        <v>442827</v>
      </c>
      <c r="G5" s="14">
        <f>'Data Sheet'!G58</f>
        <v>693727</v>
      </c>
      <c r="H5" s="14">
        <f>'Data Sheet'!H58</f>
        <v>772720</v>
      </c>
      <c r="I5" s="14">
        <f>'Data Sheet'!I58</f>
        <v>709106</v>
      </c>
      <c r="J5" s="14">
        <f>'Data Sheet'!J58</f>
        <v>786715</v>
      </c>
      <c r="K5" s="14">
        <f>'Data Sheet'!K58</f>
        <v>829668</v>
      </c>
    </row>
    <row r="6" spans="1:11" x14ac:dyDescent="0.3">
      <c r="A6" t="s">
        <v>71</v>
      </c>
      <c r="B6" s="14">
        <f>'Data Sheet'!B59</f>
        <v>194714</v>
      </c>
      <c r="C6" s="14">
        <f>'Data Sheet'!C59</f>
        <v>217475</v>
      </c>
      <c r="D6" s="14">
        <f>'Data Sheet'!D59</f>
        <v>239843</v>
      </c>
      <c r="E6" s="14">
        <f>'Data Sheet'!E59</f>
        <v>307714</v>
      </c>
      <c r="F6" s="14">
        <f>'Data Sheet'!F59</f>
        <v>355133</v>
      </c>
      <c r="G6" s="14">
        <f>'Data Sheet'!G59</f>
        <v>278962</v>
      </c>
      <c r="H6" s="14">
        <f>'Data Sheet'!H59</f>
        <v>319158</v>
      </c>
      <c r="I6" s="14">
        <f>'Data Sheet'!I59</f>
        <v>451664</v>
      </c>
      <c r="J6" s="14">
        <f>'Data Sheet'!J59</f>
        <v>350719</v>
      </c>
      <c r="K6" s="14">
        <f>'Data Sheet'!K59</f>
        <v>374313</v>
      </c>
    </row>
    <row r="7" spans="1:11" x14ac:dyDescent="0.3">
      <c r="A7" t="s">
        <v>72</v>
      </c>
      <c r="B7" s="14">
        <f>'Data Sheet'!B60</f>
        <v>172727</v>
      </c>
      <c r="C7" s="14">
        <f>'Data Sheet'!C60</f>
        <v>225618</v>
      </c>
      <c r="D7" s="14">
        <f>'Data Sheet'!D60</f>
        <v>277924</v>
      </c>
      <c r="E7" s="14">
        <f>'Data Sheet'!E60</f>
        <v>302804</v>
      </c>
      <c r="F7" s="14">
        <f>'Data Sheet'!F60</f>
        <v>358716</v>
      </c>
      <c r="G7" s="14">
        <f>'Data Sheet'!G60</f>
        <v>340931</v>
      </c>
      <c r="H7" s="14">
        <f>'Data Sheet'!H60</f>
        <v>399979</v>
      </c>
      <c r="I7" s="14">
        <f>'Data Sheet'!I60</f>
        <v>438346</v>
      </c>
      <c r="J7" s="14">
        <f>'Data Sheet'!J60</f>
        <v>610848</v>
      </c>
      <c r="K7" s="14">
        <f>'Data Sheet'!K60</f>
        <v>732200</v>
      </c>
    </row>
    <row r="8" spans="1:11" s="2" customFormat="1" x14ac:dyDescent="0.3">
      <c r="A8" s="2" t="s">
        <v>26</v>
      </c>
      <c r="B8" s="15">
        <f>'Data Sheet'!B61</f>
        <v>598997</v>
      </c>
      <c r="C8" s="15">
        <f>'Data Sheet'!C61</f>
        <v>706802</v>
      </c>
      <c r="D8" s="15">
        <f>'Data Sheet'!D61</f>
        <v>811273</v>
      </c>
      <c r="E8" s="15">
        <f>'Data Sheet'!E61</f>
        <v>997630</v>
      </c>
      <c r="F8" s="15">
        <f>'Data Sheet'!F61</f>
        <v>1163015</v>
      </c>
      <c r="G8" s="15">
        <f>'Data Sheet'!G61</f>
        <v>1320065</v>
      </c>
      <c r="H8" s="15">
        <f>'Data Sheet'!H61</f>
        <v>1498622</v>
      </c>
      <c r="I8" s="15">
        <f>'Data Sheet'!I61</f>
        <v>1605882</v>
      </c>
      <c r="J8" s="15">
        <f>'Data Sheet'!J61</f>
        <v>1755048</v>
      </c>
      <c r="K8" s="15">
        <f>'Data Sheet'!K61</f>
        <v>1949713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184910</v>
      </c>
      <c r="C10" s="14">
        <f>'Data Sheet'!C62</f>
        <v>198526</v>
      </c>
      <c r="D10" s="14">
        <f>'Data Sheet'!D62</f>
        <v>403885</v>
      </c>
      <c r="E10" s="14">
        <f>'Data Sheet'!E62</f>
        <v>398374</v>
      </c>
      <c r="F10" s="14">
        <f>'Data Sheet'!F62</f>
        <v>532658</v>
      </c>
      <c r="G10" s="14">
        <f>'Data Sheet'!G62</f>
        <v>541258</v>
      </c>
      <c r="H10" s="14">
        <f>'Data Sheet'!H62</f>
        <v>627798</v>
      </c>
      <c r="I10" s="14">
        <f>'Data Sheet'!I62</f>
        <v>724805</v>
      </c>
      <c r="J10" s="14">
        <f>'Data Sheet'!J62</f>
        <v>779985</v>
      </c>
      <c r="K10" s="14">
        <f>'Data Sheet'!K62</f>
        <v>999393</v>
      </c>
    </row>
    <row r="11" spans="1:11" x14ac:dyDescent="0.3">
      <c r="A11" t="s">
        <v>28</v>
      </c>
      <c r="B11" s="14">
        <f>'Data Sheet'!B63</f>
        <v>228697</v>
      </c>
      <c r="C11" s="14">
        <f>'Data Sheet'!C63</f>
        <v>324837</v>
      </c>
      <c r="D11" s="14">
        <f>'Data Sheet'!D63</f>
        <v>187022</v>
      </c>
      <c r="E11" s="14">
        <f>'Data Sheet'!E63</f>
        <v>179463</v>
      </c>
      <c r="F11" s="14">
        <f>'Data Sheet'!F63</f>
        <v>109106</v>
      </c>
      <c r="G11" s="14">
        <f>'Data Sheet'!G63</f>
        <v>125953</v>
      </c>
      <c r="H11" s="14">
        <f>'Data Sheet'!H63</f>
        <v>172506</v>
      </c>
      <c r="I11" s="14">
        <f>'Data Sheet'!I63</f>
        <v>293752</v>
      </c>
      <c r="J11" s="14">
        <f>'Data Sheet'!J63</f>
        <v>338855</v>
      </c>
      <c r="K11" s="14">
        <f>'Data Sheet'!K63</f>
        <v>262358</v>
      </c>
    </row>
    <row r="12" spans="1:11" x14ac:dyDescent="0.3">
      <c r="A12" t="s">
        <v>29</v>
      </c>
      <c r="B12" s="14">
        <f>'Data Sheet'!B64</f>
        <v>84015</v>
      </c>
      <c r="C12" s="14">
        <f>'Data Sheet'!C64</f>
        <v>82899</v>
      </c>
      <c r="D12" s="14">
        <f>'Data Sheet'!D64</f>
        <v>82862</v>
      </c>
      <c r="E12" s="14">
        <f>'Data Sheet'!E64</f>
        <v>235635</v>
      </c>
      <c r="F12" s="14">
        <f>'Data Sheet'!F64</f>
        <v>276767</v>
      </c>
      <c r="G12" s="14">
        <f>'Data Sheet'!G64</f>
        <v>364828</v>
      </c>
      <c r="H12" s="14">
        <f>'Data Sheet'!H64</f>
        <v>394264</v>
      </c>
      <c r="I12" s="14">
        <f>'Data Sheet'!I64</f>
        <v>235560</v>
      </c>
      <c r="J12" s="14">
        <f>'Data Sheet'!J64</f>
        <v>225672</v>
      </c>
      <c r="K12" s="14">
        <f>'Data Sheet'!K64</f>
        <v>242381</v>
      </c>
    </row>
    <row r="13" spans="1:11" x14ac:dyDescent="0.3">
      <c r="A13" t="s">
        <v>73</v>
      </c>
      <c r="B13" s="14">
        <f>'Data Sheet'!B65</f>
        <v>101375</v>
      </c>
      <c r="C13" s="14">
        <f>'Data Sheet'!C65</f>
        <v>100540</v>
      </c>
      <c r="D13" s="14">
        <f>'Data Sheet'!D65</f>
        <v>137504</v>
      </c>
      <c r="E13" s="14">
        <f>'Data Sheet'!E65</f>
        <v>184158</v>
      </c>
      <c r="F13" s="14">
        <f>'Data Sheet'!F65</f>
        <v>244484</v>
      </c>
      <c r="G13" s="14">
        <f>'Data Sheet'!G65</f>
        <v>288026</v>
      </c>
      <c r="H13" s="14">
        <f>'Data Sheet'!H65</f>
        <v>304054</v>
      </c>
      <c r="I13" s="14">
        <f>'Data Sheet'!I65</f>
        <v>351765</v>
      </c>
      <c r="J13" s="14">
        <f>'Data Sheet'!J65</f>
        <v>410536</v>
      </c>
      <c r="K13" s="14">
        <f>'Data Sheet'!K65</f>
        <v>445581</v>
      </c>
    </row>
    <row r="14" spans="1:11" s="2" customFormat="1" x14ac:dyDescent="0.3">
      <c r="A14" s="2" t="s">
        <v>26</v>
      </c>
      <c r="B14" s="14">
        <f>'Data Sheet'!B66</f>
        <v>598997</v>
      </c>
      <c r="C14" s="14">
        <f>'Data Sheet'!C66</f>
        <v>706802</v>
      </c>
      <c r="D14" s="14">
        <f>'Data Sheet'!D66</f>
        <v>811273</v>
      </c>
      <c r="E14" s="14">
        <f>'Data Sheet'!E66</f>
        <v>997630</v>
      </c>
      <c r="F14" s="14">
        <f>'Data Sheet'!F66</f>
        <v>1163015</v>
      </c>
      <c r="G14" s="14">
        <f>'Data Sheet'!G66</f>
        <v>1320065</v>
      </c>
      <c r="H14" s="14">
        <f>'Data Sheet'!H66</f>
        <v>1498622</v>
      </c>
      <c r="I14" s="14">
        <f>'Data Sheet'!I66</f>
        <v>1605882</v>
      </c>
      <c r="J14" s="14">
        <f>'Data Sheet'!J66</f>
        <v>1755048</v>
      </c>
      <c r="K14" s="14">
        <f>'Data Sheet'!K66</f>
        <v>1949713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-71352</v>
      </c>
      <c r="C16" s="4">
        <f t="shared" ref="C16:K16" si="0">C13-C7</f>
        <v>-125078</v>
      </c>
      <c r="D16" s="4">
        <f t="shared" si="0"/>
        <v>-140420</v>
      </c>
      <c r="E16" s="4">
        <f t="shared" si="0"/>
        <v>-118646</v>
      </c>
      <c r="F16" s="4">
        <f t="shared" si="0"/>
        <v>-114232</v>
      </c>
      <c r="G16" s="4">
        <f t="shared" si="0"/>
        <v>-52905</v>
      </c>
      <c r="H16" s="4">
        <f t="shared" si="0"/>
        <v>-95925</v>
      </c>
      <c r="I16" s="4">
        <f t="shared" si="0"/>
        <v>-86581</v>
      </c>
      <c r="J16" s="4">
        <f t="shared" si="0"/>
        <v>-200312</v>
      </c>
      <c r="K16" s="4">
        <f t="shared" si="0"/>
        <v>-286619</v>
      </c>
    </row>
    <row r="17" spans="1:11" x14ac:dyDescent="0.3">
      <c r="A17" t="s">
        <v>44</v>
      </c>
      <c r="B17" s="4">
        <f>'Data Sheet'!B67</f>
        <v>4465</v>
      </c>
      <c r="C17" s="4">
        <f>'Data Sheet'!C67</f>
        <v>8177</v>
      </c>
      <c r="D17" s="4">
        <f>'Data Sheet'!D67</f>
        <v>17555</v>
      </c>
      <c r="E17" s="4">
        <f>'Data Sheet'!E67</f>
        <v>30089</v>
      </c>
      <c r="F17" s="4">
        <f>'Data Sheet'!F67</f>
        <v>19656</v>
      </c>
      <c r="G17" s="4">
        <f>'Data Sheet'!G67</f>
        <v>19014</v>
      </c>
      <c r="H17" s="4">
        <f>'Data Sheet'!H67</f>
        <v>23640</v>
      </c>
      <c r="I17" s="4">
        <f>'Data Sheet'!I67</f>
        <v>28448</v>
      </c>
      <c r="J17" s="4">
        <f>'Data Sheet'!J67</f>
        <v>31628</v>
      </c>
      <c r="K17" s="4">
        <f>'Data Sheet'!K67</f>
        <v>42121</v>
      </c>
    </row>
    <row r="18" spans="1:11" x14ac:dyDescent="0.3">
      <c r="A18" t="s">
        <v>45</v>
      </c>
      <c r="B18" s="4">
        <f>'Data Sheet'!B68</f>
        <v>46486</v>
      </c>
      <c r="C18" s="4">
        <f>'Data Sheet'!C68</f>
        <v>48951</v>
      </c>
      <c r="D18" s="4">
        <f>'Data Sheet'!D68</f>
        <v>60837</v>
      </c>
      <c r="E18" s="4">
        <f>'Data Sheet'!E68</f>
        <v>67561</v>
      </c>
      <c r="F18" s="4">
        <f>'Data Sheet'!F68</f>
        <v>73903</v>
      </c>
      <c r="G18" s="4">
        <f>'Data Sheet'!G68</f>
        <v>81672</v>
      </c>
      <c r="H18" s="4">
        <f>'Data Sheet'!H68</f>
        <v>107778</v>
      </c>
      <c r="I18" s="4">
        <f>'Data Sheet'!I68</f>
        <v>140008</v>
      </c>
      <c r="J18" s="4">
        <f>'Data Sheet'!J68</f>
        <v>152770</v>
      </c>
      <c r="K18" s="4">
        <f>'Data Sheet'!K68</f>
        <v>146062</v>
      </c>
    </row>
    <row r="20" spans="1:11" x14ac:dyDescent="0.3">
      <c r="A20" t="s">
        <v>46</v>
      </c>
      <c r="B20" s="4">
        <f>IF('Profit &amp; Loss'!B4&gt;0,'Balance Sheet'!B17/('Profit &amp; Loss'!B4/365),0)</f>
        <v>5.9788211297109504</v>
      </c>
      <c r="C20" s="4">
        <f>IF('Profit &amp; Loss'!C4&gt;0,'Balance Sheet'!C17/('Profit &amp; Loss'!C4/365),0)</f>
        <v>9.8192654151615049</v>
      </c>
      <c r="D20" s="4">
        <f>IF('Profit &amp; Loss'!D4&gt;0,'Balance Sheet'!D17/('Profit &amp; Loss'!D4/365),0)</f>
        <v>16.395081661007669</v>
      </c>
      <c r="E20" s="4">
        <f>IF('Profit &amp; Loss'!E4&gt;0,'Balance Sheet'!E17/('Profit &amp; Loss'!E4/365),0)</f>
        <v>19.323895857563382</v>
      </c>
      <c r="F20" s="4">
        <f>IF('Profit &amp; Loss'!F4&gt;0,'Balance Sheet'!F17/('Profit &amp; Loss'!F4/365),0)</f>
        <v>12.023952577516555</v>
      </c>
      <c r="G20" s="4">
        <f>IF('Profit &amp; Loss'!G4&gt;0,'Balance Sheet'!G17/('Profit &amp; Loss'!G4/365),0)</f>
        <v>14.883134930421376</v>
      </c>
      <c r="H20" s="4">
        <f>IF('Profit &amp; Loss'!H4&gt;0,'Balance Sheet'!H17/('Profit &amp; Loss'!H4/365),0)</f>
        <v>12.421095968894717</v>
      </c>
      <c r="I20" s="4">
        <f>IF('Profit &amp; Loss'!I4&gt;0,'Balance Sheet'!I17/('Profit &amp; Loss'!I4/365),0)</f>
        <v>11.847977398345039</v>
      </c>
      <c r="J20" s="4">
        <f>IF('Profit &amp; Loss'!J4&gt;0,'Balance Sheet'!J17/('Profit &amp; Loss'!J4/365),0)</f>
        <v>12.840593476826974</v>
      </c>
      <c r="K20" s="4">
        <f>IF('Profit &amp; Loss'!K4&gt;0,'Balance Sheet'!K17/('Profit &amp; Loss'!K4/365),0)</f>
        <v>15.967849649986498</v>
      </c>
    </row>
    <row r="21" spans="1:11" x14ac:dyDescent="0.3">
      <c r="A21" t="s">
        <v>47</v>
      </c>
      <c r="B21" s="4">
        <f>IF('Balance Sheet'!B18&gt;0,'Profit &amp; Loss'!B4/'Balance Sheet'!B18,0)</f>
        <v>5.8637654347545496</v>
      </c>
      <c r="C21" s="4">
        <f>IF('Balance Sheet'!C18&gt;0,'Profit &amp; Loss'!C4/'Balance Sheet'!C18,0)</f>
        <v>6.2093522093522093</v>
      </c>
      <c r="D21" s="4">
        <f>IF('Balance Sheet'!D18&gt;0,'Profit &amp; Loss'!D4/'Balance Sheet'!D18,0)</f>
        <v>6.4241004651774416</v>
      </c>
      <c r="E21" s="4">
        <f>IF('Balance Sheet'!E18&gt;0,'Profit &amp; Loss'!E4/'Balance Sheet'!E18,0)</f>
        <v>8.41220526635189</v>
      </c>
      <c r="F21" s="4">
        <f>IF('Balance Sheet'!F18&gt;0,'Profit &amp; Loss'!F4/'Balance Sheet'!F18,0)</f>
        <v>8.0738129710566557</v>
      </c>
      <c r="G21" s="4">
        <f>IF('Balance Sheet'!G18&gt;0,'Profit &amp; Loss'!G4/'Balance Sheet'!G18,0)</f>
        <v>5.7095087667744151</v>
      </c>
      <c r="H21" s="4">
        <f>IF('Balance Sheet'!H18&gt;0,'Profit &amp; Loss'!H4/'Balance Sheet'!H18,0)</f>
        <v>6.4454062981313438</v>
      </c>
      <c r="I21" s="4">
        <f>IF('Balance Sheet'!I18&gt;0,'Profit &amp; Loss'!I4/'Balance Sheet'!I18,0)</f>
        <v>6.2596137363579221</v>
      </c>
      <c r="J21" s="4">
        <f>IF('Balance Sheet'!J18&gt;0,'Profit &amp; Loss'!J4/'Balance Sheet'!J18,0)</f>
        <v>5.8849315965176405</v>
      </c>
      <c r="K21" s="4">
        <f>IF('Balance Sheet'!K18&gt;0,'Profit &amp; Loss'!K4/'Balance Sheet'!K18,0)</f>
        <v>6.5918582519751885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0.12845704710739519</v>
      </c>
      <c r="C23" s="10">
        <f>IF(SUM('Balance Sheet'!C4:C5)&gt;0,'Profit &amp; Loss'!C12/SUM('Balance Sheet'!C4:C5),"")</f>
        <v>0.11338634631355016</v>
      </c>
      <c r="D23" s="10">
        <f>IF(SUM('Balance Sheet'!D4:D5)&gt;0,'Profit &amp; Loss'!D12/SUM('Balance Sheet'!D4:D5),"")</f>
        <v>0.12291060489393743</v>
      </c>
      <c r="E23" s="10">
        <f>IF(SUM('Balance Sheet'!E4:E5)&gt;0,'Profit &amp; Loss'!E12/SUM('Balance Sheet'!E4:E5),"")</f>
        <v>0.10226497757754861</v>
      </c>
      <c r="F23" s="10">
        <f>IF(SUM('Balance Sheet'!F4:F5)&gt;0,'Profit &amp; Loss'!F12/SUM('Balance Sheet'!F4:F5),"")</f>
        <v>8.7615714457461163E-2</v>
      </c>
      <c r="G23" s="10">
        <f>IF(SUM('Balance Sheet'!G4:G5)&gt;0,'Profit &amp; Loss'!G12/SUM('Balance Sheet'!G4:G5),"")</f>
        <v>7.0165616448529797E-2</v>
      </c>
      <c r="H23" s="10">
        <f>IF(SUM('Balance Sheet'!H4:H5)&gt;0,'Profit &amp; Loss'!H12/SUM('Balance Sheet'!H4:H5),"")</f>
        <v>7.787834275194519E-2</v>
      </c>
      <c r="I23" s="10">
        <f>IF(SUM('Balance Sheet'!I4:I5)&gt;0,'Profit &amp; Loss'!I12/SUM('Balance Sheet'!I4:I5),"")</f>
        <v>9.3175875016762777E-2</v>
      </c>
      <c r="J23" s="10">
        <f>IF(SUM('Balance Sheet'!J4:J5)&gt;0,'Profit &amp; Loss'!J12/SUM('Balance Sheet'!J4:J5),"")</f>
        <v>8.7741231359036956E-2</v>
      </c>
      <c r="K23" s="10">
        <f>IF(SUM('Balance Sheet'!K4:K5)&gt;0,'Profit &amp; Loss'!K12/SUM('Balance Sheet'!K4:K5),"")</f>
        <v>8.259962049335863E-2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9.6716748176767092E-2</v>
      </c>
      <c r="D24" s="10">
        <f>IF((C4+C5+C6+D4+D5+D6)&gt;0,('Profit &amp; Loss'!D10+'Profit &amp; Loss'!D9)*2/(C4+C5+C6+D4+D5+D6),"")</f>
        <v>0.1133092762877107</v>
      </c>
      <c r="E24" s="10">
        <f>IF((D4+D5+D6+E4+E5+E6)&gt;0,('Profit &amp; Loss'!E10+'Profit &amp; Loss'!E9)*2/(D4+D5+D6+E4+E5+E6),"")</f>
        <v>0.11679443076108861</v>
      </c>
      <c r="F24" s="10">
        <f>IF((E4+E5+E6+F4+F5+F6)&gt;0,('Profit &amp; Loss'!F10+'Profit &amp; Loss'!F9)*2/(E4+E5+E6+F4+F5+F6),"")</f>
        <v>0.10090286000166764</v>
      </c>
      <c r="G24" s="10">
        <f>IF((F4+F5+F6+G4+G5+G6)&gt;0,('Profit &amp; Loss'!G10+'Profit &amp; Loss'!G9)*2/(F4+F5+F6+G4+G5+G6),"")</f>
        <v>8.5957812825040239E-2</v>
      </c>
      <c r="H24" s="10">
        <f>IF((G4+G5+G6+H4+H5+H6)&gt;0,('Profit &amp; Loss'!H10+'Profit &amp; Loss'!H9)*2/(G4+G5+G6+H4+H5+H6),"")</f>
        <v>9.4715650428318338E-2</v>
      </c>
      <c r="I24" s="10">
        <f>IF((H4+H5+H6+I4+I5+I6)&gt;0,('Profit &amp; Loss'!I10+'Profit &amp; Loss'!I9)*2/(H4+H5+H6+I4+I5+I6),"")</f>
        <v>0.10064077021276784</v>
      </c>
      <c r="J24" s="10">
        <f>IF((I4+I5+I6+J4+J5+J6)&gt;0,('Profit &amp; Loss'!J10+'Profit &amp; Loss'!J9)*2/(I4+I5+I6+J4+J5+J6),"")</f>
        <v>0.11027037689424744</v>
      </c>
      <c r="K24" s="10">
        <f>IF((J4+J5+J6+K4+K5+K6)&gt;0,('Profit &amp; Loss'!K10+'Profit &amp; Loss'!K9)*2/(J4+J5+J6+K4+K5+K6),"")</f>
        <v>0.11033178036450661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RELIANCE INDUSTRIES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38134</v>
      </c>
      <c r="C4" s="1">
        <f>'Data Sheet'!C82</f>
        <v>49550</v>
      </c>
      <c r="D4" s="1">
        <f>'Data Sheet'!D82</f>
        <v>71459</v>
      </c>
      <c r="E4" s="1">
        <f>'Data Sheet'!E82</f>
        <v>42346</v>
      </c>
      <c r="F4" s="1">
        <f>'Data Sheet'!F82</f>
        <v>94877</v>
      </c>
      <c r="G4" s="1">
        <f>'Data Sheet'!G82</f>
        <v>26958</v>
      </c>
      <c r="H4" s="1">
        <f>'Data Sheet'!H82</f>
        <v>110654</v>
      </c>
      <c r="I4" s="1">
        <f>'Data Sheet'!I82</f>
        <v>115032</v>
      </c>
      <c r="J4" s="1">
        <f>'Data Sheet'!J82</f>
        <v>158788</v>
      </c>
      <c r="K4" s="1">
        <f>'Data Sheet'!K82</f>
        <v>178703</v>
      </c>
    </row>
    <row r="5" spans="1:11" x14ac:dyDescent="0.3">
      <c r="A5" t="s">
        <v>33</v>
      </c>
      <c r="B5" s="6">
        <f>'Data Sheet'!B83</f>
        <v>-36186</v>
      </c>
      <c r="C5" s="6">
        <f>'Data Sheet'!C83</f>
        <v>-66201</v>
      </c>
      <c r="D5" s="6">
        <f>'Data Sheet'!D83</f>
        <v>-68192</v>
      </c>
      <c r="E5" s="6">
        <f>'Data Sheet'!E83</f>
        <v>-94507</v>
      </c>
      <c r="F5" s="6">
        <f>'Data Sheet'!F83</f>
        <v>-72497</v>
      </c>
      <c r="G5" s="6">
        <f>'Data Sheet'!G83</f>
        <v>-142385</v>
      </c>
      <c r="H5" s="6">
        <f>'Data Sheet'!H83</f>
        <v>-109162</v>
      </c>
      <c r="I5" s="6">
        <f>'Data Sheet'!I83</f>
        <v>-93001</v>
      </c>
      <c r="J5" s="6">
        <f>'Data Sheet'!J83</f>
        <v>-113581</v>
      </c>
      <c r="K5" s="6">
        <f>'Data Sheet'!K83</f>
        <v>-137535</v>
      </c>
    </row>
    <row r="6" spans="1:11" x14ac:dyDescent="0.3">
      <c r="A6" t="s">
        <v>34</v>
      </c>
      <c r="B6" s="6">
        <f>'Data Sheet'!B84</f>
        <v>-3210</v>
      </c>
      <c r="C6" s="6">
        <f>'Data Sheet'!C84</f>
        <v>8617</v>
      </c>
      <c r="D6" s="6">
        <f>'Data Sheet'!D84</f>
        <v>-2001</v>
      </c>
      <c r="E6" s="6">
        <f>'Data Sheet'!E84</f>
        <v>55906</v>
      </c>
      <c r="F6" s="6">
        <f>'Data Sheet'!F84</f>
        <v>-2541</v>
      </c>
      <c r="G6" s="6">
        <f>'Data Sheet'!G84</f>
        <v>101904</v>
      </c>
      <c r="H6" s="6">
        <f>'Data Sheet'!H84</f>
        <v>17289</v>
      </c>
      <c r="I6" s="6">
        <f>'Data Sheet'!I84</f>
        <v>10455</v>
      </c>
      <c r="J6" s="6">
        <f>'Data Sheet'!J84</f>
        <v>-16646</v>
      </c>
      <c r="K6" s="6">
        <f>'Data Sheet'!K84</f>
        <v>-31891</v>
      </c>
    </row>
    <row r="7" spans="1:11" s="2" customFormat="1" x14ac:dyDescent="0.3">
      <c r="A7" s="2" t="s">
        <v>35</v>
      </c>
      <c r="B7" s="1">
        <f>'Data Sheet'!B85</f>
        <v>-1262</v>
      </c>
      <c r="C7" s="1">
        <f>'Data Sheet'!C85</f>
        <v>-8034</v>
      </c>
      <c r="D7" s="1">
        <f>'Data Sheet'!D85</f>
        <v>1266</v>
      </c>
      <c r="E7" s="1">
        <f>'Data Sheet'!E85</f>
        <v>3745</v>
      </c>
      <c r="F7" s="1">
        <f>'Data Sheet'!F85</f>
        <v>19839</v>
      </c>
      <c r="G7" s="1">
        <f>'Data Sheet'!G85</f>
        <v>-13523</v>
      </c>
      <c r="H7" s="1">
        <f>'Data Sheet'!H85</f>
        <v>18781</v>
      </c>
      <c r="I7" s="1">
        <f>'Data Sheet'!I85</f>
        <v>32486</v>
      </c>
      <c r="J7" s="1">
        <f>'Data Sheet'!J85</f>
        <v>28561</v>
      </c>
      <c r="K7" s="1">
        <f>'Data Sheet'!K85</f>
        <v>9277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1C25-A12F-4B69-BA82-9ECDF2B6168F}">
  <dimension ref="A1"/>
  <sheetViews>
    <sheetView workbookViewId="0"/>
  </sheetViews>
  <sheetFormatPr defaultRowHeight="14.4" x14ac:dyDescent="0.3"/>
  <sheetData>
    <row r="1" spans="1:1" x14ac:dyDescent="0.3">
      <c r="A1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E5BB-D5FD-41F3-84C1-DAF997AACFEC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BAD0-66BA-4C6B-8D0A-F53F75932380}">
  <sheetPr>
    <tabColor rgb="FF00B050"/>
  </sheetPr>
  <dimension ref="A2:N106"/>
  <sheetViews>
    <sheetView tabSelected="1" zoomScale="101" zoomScaleNormal="130" workbookViewId="0">
      <pane ySplit="3" topLeftCell="A4" activePane="bottomLeft" state="frozen"/>
      <selection pane="bottomLeft" activeCell="N27" sqref="N27"/>
    </sheetView>
  </sheetViews>
  <sheetFormatPr defaultRowHeight="14.4" x14ac:dyDescent="0.3"/>
  <cols>
    <col min="1" max="1" width="2" bestFit="1" customWidth="1"/>
    <col min="2" max="2" width="27.109375" bestFit="1" customWidth="1"/>
    <col min="3" max="4" width="13.33203125" bestFit="1" customWidth="1"/>
    <col min="5" max="5" width="15.109375" bestFit="1" customWidth="1"/>
    <col min="6" max="7" width="14.109375" bestFit="1" customWidth="1"/>
    <col min="8" max="9" width="15.109375" bestFit="1" customWidth="1"/>
    <col min="10" max="11" width="14.109375" bestFit="1" customWidth="1"/>
    <col min="12" max="12" width="13" bestFit="1" customWidth="1"/>
    <col min="13" max="14" width="11.77734375" bestFit="1" customWidth="1"/>
  </cols>
  <sheetData>
    <row r="2" spans="1:13" s="26" customFormat="1" ht="22.2" customHeight="1" x14ac:dyDescent="0.3">
      <c r="A2"/>
      <c r="B2" s="43" t="str">
        <f>"Histroical Financial Statement " &amp;'Data Sheet'!B1</f>
        <v>Histroical Financial Statement RELIANCE INDUSTRIES LTD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3" ht="16.8" customHeight="1" x14ac:dyDescent="0.3">
      <c r="B3" s="27" t="s">
        <v>94</v>
      </c>
      <c r="C3" s="28">
        <f>'Data Sheet'!C16</f>
        <v>42825</v>
      </c>
      <c r="D3" s="28">
        <f>'Data Sheet'!D16</f>
        <v>43190</v>
      </c>
      <c r="E3" s="28">
        <f>'Data Sheet'!E16</f>
        <v>43555</v>
      </c>
      <c r="F3" s="28">
        <f>'Data Sheet'!F16</f>
        <v>43921</v>
      </c>
      <c r="G3" s="28">
        <f>'Data Sheet'!G16</f>
        <v>44286</v>
      </c>
      <c r="H3" s="28">
        <f>'Data Sheet'!H16</f>
        <v>44651</v>
      </c>
      <c r="I3" s="28">
        <f>'Data Sheet'!I16</f>
        <v>45016</v>
      </c>
      <c r="J3" s="28">
        <f>'Data Sheet'!J16</f>
        <v>45382</v>
      </c>
      <c r="K3" s="28">
        <f>'Data Sheet'!K16</f>
        <v>45747</v>
      </c>
      <c r="L3" s="28" t="s">
        <v>95</v>
      </c>
      <c r="M3" s="25"/>
    </row>
    <row r="4" spans="1:13" ht="16.8" customHeight="1" x14ac:dyDescent="0.3"/>
    <row r="5" spans="1:13" ht="19.8" customHeight="1" x14ac:dyDescent="0.3">
      <c r="A5" t="s">
        <v>109</v>
      </c>
      <c r="B5" s="31" t="s">
        <v>108</v>
      </c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ht="19.8" customHeight="1" x14ac:dyDescent="0.3">
      <c r="B6" s="33" t="s">
        <v>6</v>
      </c>
      <c r="C6" s="33">
        <f>IFERROR('Data Sheet'!B17,0)</f>
        <v>272583</v>
      </c>
      <c r="D6" s="33">
        <f>IFERROR('Data Sheet'!C17,0)</f>
        <v>303954</v>
      </c>
      <c r="E6" s="33">
        <f>IFERROR('Data Sheet'!D17,0)</f>
        <v>390823</v>
      </c>
      <c r="F6" s="33">
        <f>IFERROR('Data Sheet'!E17,0)</f>
        <v>568337</v>
      </c>
      <c r="G6" s="33">
        <f>IFERROR('Data Sheet'!F17,0)</f>
        <v>596679</v>
      </c>
      <c r="H6" s="33">
        <f>IFERROR('Data Sheet'!G17,0)</f>
        <v>466307</v>
      </c>
      <c r="I6" s="33">
        <f>IFERROR('Data Sheet'!H17,0)</f>
        <v>694673</v>
      </c>
      <c r="J6" s="33">
        <f>IFERROR('Data Sheet'!I17,0)</f>
        <v>876396</v>
      </c>
      <c r="K6" s="33">
        <f>IFERROR('Data Sheet'!J17,0)</f>
        <v>899041</v>
      </c>
      <c r="L6" s="33">
        <f>IFERROR(SUM('Data Sheet'!H42:K42),0)</f>
        <v>976541</v>
      </c>
    </row>
    <row r="7" spans="1:13" s="30" customFormat="1" ht="19.8" customHeight="1" x14ac:dyDescent="0.3">
      <c r="B7" s="34" t="s">
        <v>97</v>
      </c>
      <c r="C7" s="35" t="s">
        <v>96</v>
      </c>
      <c r="D7" s="36">
        <f t="shared" ref="D7:K7" si="0">D6/C6-1</f>
        <v>0.11508788148930793</v>
      </c>
      <c r="E7" s="36">
        <f t="shared" si="0"/>
        <v>0.28579653500200686</v>
      </c>
      <c r="F7" s="36">
        <f t="shared" si="0"/>
        <v>0.45420561225925793</v>
      </c>
      <c r="G7" s="36">
        <f t="shared" si="0"/>
        <v>4.9868299969912266E-2</v>
      </c>
      <c r="H7" s="36">
        <f t="shared" si="0"/>
        <v>-0.21849604226057895</v>
      </c>
      <c r="I7" s="36">
        <f t="shared" si="0"/>
        <v>0.48973315862725619</v>
      </c>
      <c r="J7" s="36">
        <f t="shared" si="0"/>
        <v>0.26159502384575184</v>
      </c>
      <c r="K7" s="36">
        <f t="shared" si="0"/>
        <v>2.5838776078393799E-2</v>
      </c>
      <c r="L7" s="34"/>
    </row>
    <row r="8" spans="1:13" s="30" customFormat="1" ht="19.8" customHeight="1" x14ac:dyDescent="0.3">
      <c r="B8" s="34"/>
      <c r="C8" s="35"/>
      <c r="D8" s="36"/>
      <c r="E8" s="36"/>
      <c r="F8" s="36"/>
      <c r="G8" s="36"/>
      <c r="H8" s="36"/>
      <c r="I8" s="36"/>
      <c r="J8" s="36"/>
      <c r="K8" s="36"/>
      <c r="L8" s="34"/>
    </row>
    <row r="9" spans="1:13" ht="19.8" customHeight="1" x14ac:dyDescent="0.3">
      <c r="B9" s="33" t="s">
        <v>98</v>
      </c>
      <c r="C9" s="33">
        <f>IFERROR(SUM('Data Sheet'!C18,'Data Sheet'!C20:C22)-1*'Data Sheet'!C19,0)</f>
        <v>241848</v>
      </c>
      <c r="D9" s="33">
        <f>IFERROR(SUM('Data Sheet'!D18,'Data Sheet'!D20:D22)-1*'Data Sheet'!D19,0)</f>
        <v>301249</v>
      </c>
      <c r="E9" s="33">
        <f>IFERROR(SUM('Data Sheet'!E18,'Data Sheet'!E20:E22)-1*'Data Sheet'!E19,0)</f>
        <v>436202</v>
      </c>
      <c r="F9" s="33">
        <f>IFERROR(SUM('Data Sheet'!F18,'Data Sheet'!F20:F22)-1*'Data Sheet'!F19,0)</f>
        <v>445847</v>
      </c>
      <c r="G9" s="33">
        <f>IFERROR(SUM('Data Sheet'!G18,'Data Sheet'!G20:G22)-1*'Data Sheet'!G19,0)</f>
        <v>328419</v>
      </c>
      <c r="H9" s="33">
        <f>IFERROR(SUM('Data Sheet'!H18,'Data Sheet'!H20:H22)-1*'Data Sheet'!H19,0)</f>
        <v>521826</v>
      </c>
      <c r="I9" s="33">
        <f>IFERROR(SUM('Data Sheet'!I18,'Data Sheet'!I20:I22)-1*'Data Sheet'!I19,0)</f>
        <v>658075</v>
      </c>
      <c r="J9" s="33">
        <f>IFERROR(SUM('Data Sheet'!J18,'Data Sheet'!J20:J22)-1*'Data Sheet'!J19,0)</f>
        <v>651435</v>
      </c>
      <c r="K9" s="33">
        <f>IFERROR(SUM('Data Sheet'!K18,'Data Sheet'!K20:K22)-1*'Data Sheet'!K19,0)</f>
        <v>700429</v>
      </c>
      <c r="L9" s="33">
        <f>IFERROR(SUM('Data Sheet'!H43:K43),0)</f>
        <v>806957</v>
      </c>
    </row>
    <row r="10" spans="1:13" s="30" customFormat="1" ht="19.8" customHeight="1" x14ac:dyDescent="0.3">
      <c r="B10" s="34" t="s">
        <v>99</v>
      </c>
      <c r="C10" s="36">
        <f t="shared" ref="C10:L10" si="1">C9/C6</f>
        <v>0.88724535279162675</v>
      </c>
      <c r="D10" s="36">
        <f t="shared" si="1"/>
        <v>0.99110062706856961</v>
      </c>
      <c r="E10" s="36">
        <f t="shared" si="1"/>
        <v>1.1161113854609375</v>
      </c>
      <c r="F10" s="36">
        <f t="shared" si="1"/>
        <v>0.78447646378821012</v>
      </c>
      <c r="G10" s="36">
        <f t="shared" si="1"/>
        <v>0.55041152780640845</v>
      </c>
      <c r="H10" s="36">
        <f t="shared" si="1"/>
        <v>1.1190610477646701</v>
      </c>
      <c r="I10" s="36">
        <f t="shared" si="1"/>
        <v>0.94731621928590859</v>
      </c>
      <c r="J10" s="36">
        <f t="shared" si="1"/>
        <v>0.74331124286281547</v>
      </c>
      <c r="K10" s="36">
        <f t="shared" si="1"/>
        <v>0.77908460237074839</v>
      </c>
      <c r="L10" s="36">
        <f t="shared" si="1"/>
        <v>0.82634216074901101</v>
      </c>
    </row>
    <row r="11" spans="1:13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3" x14ac:dyDescent="0.3">
      <c r="B12" s="33" t="s">
        <v>100</v>
      </c>
      <c r="C12" s="33">
        <f t="shared" ref="C12:L12" si="2">C6-C9</f>
        <v>30735</v>
      </c>
      <c r="D12" s="33">
        <f t="shared" si="2"/>
        <v>2705</v>
      </c>
      <c r="E12" s="33">
        <f t="shared" si="2"/>
        <v>-45379</v>
      </c>
      <c r="F12" s="33">
        <f t="shared" si="2"/>
        <v>122490</v>
      </c>
      <c r="G12" s="33">
        <f t="shared" si="2"/>
        <v>268260</v>
      </c>
      <c r="H12" s="33">
        <f t="shared" si="2"/>
        <v>-55519</v>
      </c>
      <c r="I12" s="33">
        <f t="shared" si="2"/>
        <v>36598</v>
      </c>
      <c r="J12" s="33">
        <f t="shared" si="2"/>
        <v>224961</v>
      </c>
      <c r="K12" s="33">
        <f t="shared" si="2"/>
        <v>198612</v>
      </c>
      <c r="L12" s="33">
        <f t="shared" si="2"/>
        <v>169584</v>
      </c>
    </row>
    <row r="13" spans="1:13" x14ac:dyDescent="0.3">
      <c r="B13" s="33" t="s">
        <v>107</v>
      </c>
      <c r="C13" s="33">
        <f>C12/C6</f>
        <v>0.11275464720837323</v>
      </c>
      <c r="D13" s="33">
        <f t="shared" ref="D13:L13" si="3">D12/D6</f>
        <v>8.8993729314304146E-3</v>
      </c>
      <c r="E13" s="33">
        <f t="shared" si="3"/>
        <v>-0.11611138546093756</v>
      </c>
      <c r="F13" s="33">
        <f t="shared" si="3"/>
        <v>0.21552353621178982</v>
      </c>
      <c r="G13" s="33">
        <f t="shared" si="3"/>
        <v>0.44958847219359155</v>
      </c>
      <c r="H13" s="33">
        <f t="shared" si="3"/>
        <v>-0.11906104776467005</v>
      </c>
      <c r="I13" s="33">
        <f t="shared" si="3"/>
        <v>5.2683780714091376E-2</v>
      </c>
      <c r="J13" s="33">
        <f t="shared" si="3"/>
        <v>0.25668875713718459</v>
      </c>
      <c r="K13" s="33">
        <f t="shared" si="3"/>
        <v>0.22091539762925161</v>
      </c>
      <c r="L13" s="33">
        <f t="shared" si="3"/>
        <v>0.17365783925098896</v>
      </c>
    </row>
    <row r="14" spans="1:13" x14ac:dyDescent="0.3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3" x14ac:dyDescent="0.3">
      <c r="B15" s="33" t="s">
        <v>101</v>
      </c>
      <c r="C15" s="33">
        <f>IFERROR(SUM('Data Sheet'!C23:C24),0)</f>
        <v>15799</v>
      </c>
      <c r="D15" s="33">
        <f>IFERROR(SUM('Data Sheet'!D23:D24),0)</f>
        <v>25259</v>
      </c>
      <c r="E15" s="33">
        <f>IFERROR(SUM('Data Sheet'!E23:E24),0)</f>
        <v>47885</v>
      </c>
      <c r="F15" s="33">
        <f>IFERROR(SUM('Data Sheet'!F23:F24),0)</f>
        <v>61566</v>
      </c>
      <c r="G15" s="33">
        <f>IFERROR(SUM('Data Sheet'!G23:G24),0)</f>
        <v>57098</v>
      </c>
      <c r="H15" s="33">
        <f>IFERROR(SUM('Data Sheet'!H23:H24),0)</f>
        <v>64266</v>
      </c>
      <c r="I15" s="33">
        <f>IFERROR(SUM('Data Sheet'!I23:I24),0)</f>
        <v>76003</v>
      </c>
      <c r="J15" s="33">
        <f>IFERROR(SUM('Data Sheet'!J23:J24),0)</f>
        <v>85108</v>
      </c>
      <c r="K15" s="33">
        <f>IFERROR(SUM('Data Sheet'!K23:K24),0)</f>
        <v>96793</v>
      </c>
      <c r="L15" s="33">
        <f>IFERROR(SUM('Data Sheet'!M23:M24),0)</f>
        <v>0</v>
      </c>
    </row>
    <row r="16" spans="1:13" s="30" customFormat="1" x14ac:dyDescent="0.3">
      <c r="B16" s="34" t="s">
        <v>102</v>
      </c>
      <c r="C16" s="36">
        <f t="shared" ref="C16:L16" si="4">C15/C6</f>
        <v>5.7960327680009395E-2</v>
      </c>
      <c r="D16" s="36">
        <f t="shared" si="4"/>
        <v>8.3101390341959638E-2</v>
      </c>
      <c r="E16" s="36">
        <f t="shared" si="4"/>
        <v>0.12252349529070705</v>
      </c>
      <c r="F16" s="36">
        <f t="shared" si="4"/>
        <v>0.10832657384615114</v>
      </c>
      <c r="G16" s="36">
        <f t="shared" si="4"/>
        <v>9.5692994055430136E-2</v>
      </c>
      <c r="H16" s="36">
        <f t="shared" si="4"/>
        <v>0.13781907627378528</v>
      </c>
      <c r="I16" s="36">
        <f t="shared" si="4"/>
        <v>0.10940831153650711</v>
      </c>
      <c r="J16" s="36">
        <f t="shared" si="4"/>
        <v>9.7111351489509307E-2</v>
      </c>
      <c r="K16" s="36">
        <f t="shared" si="4"/>
        <v>0.10766249815080736</v>
      </c>
      <c r="L16" s="36">
        <f t="shared" si="4"/>
        <v>0</v>
      </c>
    </row>
    <row r="17" spans="2:12" x14ac:dyDescent="0.3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2:12" x14ac:dyDescent="0.3">
      <c r="B18" s="33" t="s">
        <v>103</v>
      </c>
      <c r="C18" s="33">
        <f t="shared" ref="C18:L18" si="5">C12-C15</f>
        <v>14936</v>
      </c>
      <c r="D18" s="33">
        <f t="shared" si="5"/>
        <v>-22554</v>
      </c>
      <c r="E18" s="33">
        <f t="shared" si="5"/>
        <v>-93264</v>
      </c>
      <c r="F18" s="33">
        <f t="shared" si="5"/>
        <v>60924</v>
      </c>
      <c r="G18" s="33">
        <f t="shared" si="5"/>
        <v>211162</v>
      </c>
      <c r="H18" s="33">
        <f t="shared" si="5"/>
        <v>-119785</v>
      </c>
      <c r="I18" s="33">
        <f t="shared" si="5"/>
        <v>-39405</v>
      </c>
      <c r="J18" s="33">
        <f t="shared" si="5"/>
        <v>139853</v>
      </c>
      <c r="K18" s="33">
        <f t="shared" si="5"/>
        <v>101819</v>
      </c>
      <c r="L18" s="33">
        <f t="shared" si="5"/>
        <v>169584</v>
      </c>
    </row>
    <row r="19" spans="2:12" s="30" customFormat="1" x14ac:dyDescent="0.3">
      <c r="B19" s="34" t="s">
        <v>104</v>
      </c>
      <c r="C19" s="36">
        <f t="shared" ref="C19:L19" si="6">C18/C6</f>
        <v>5.479431952836384E-2</v>
      </c>
      <c r="D19" s="36">
        <f t="shared" si="6"/>
        <v>-7.4202017410529231E-2</v>
      </c>
      <c r="E19" s="36">
        <f t="shared" si="6"/>
        <v>-0.2386348807516446</v>
      </c>
      <c r="F19" s="36">
        <f t="shared" si="6"/>
        <v>0.10719696236563869</v>
      </c>
      <c r="G19" s="36">
        <f t="shared" si="6"/>
        <v>0.35389547813816141</v>
      </c>
      <c r="H19" s="36">
        <f t="shared" si="6"/>
        <v>-0.25688012403845534</v>
      </c>
      <c r="I19" s="36">
        <f t="shared" si="6"/>
        <v>-5.6724530822415728E-2</v>
      </c>
      <c r="J19" s="36">
        <f t="shared" si="6"/>
        <v>0.15957740564767525</v>
      </c>
      <c r="K19" s="36">
        <f t="shared" si="6"/>
        <v>0.11325289947844425</v>
      </c>
      <c r="L19" s="36">
        <f t="shared" si="6"/>
        <v>0.17365783925098896</v>
      </c>
    </row>
    <row r="20" spans="2:12" x14ac:dyDescent="0.3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2:12" x14ac:dyDescent="0.3">
      <c r="B21" s="33" t="s">
        <v>11</v>
      </c>
      <c r="C21" s="33">
        <f>IFERROR('Data Sheet'!C27,0)</f>
        <v>3849</v>
      </c>
      <c r="D21" s="33">
        <f>IFERROR('Data Sheet'!D27,0)</f>
        <v>8052</v>
      </c>
      <c r="E21" s="33">
        <f>IFERROR('Data Sheet'!E27,0)</f>
        <v>16495</v>
      </c>
      <c r="F21" s="33">
        <f>IFERROR('Data Sheet'!F27,0)</f>
        <v>22027</v>
      </c>
      <c r="G21" s="33">
        <f>IFERROR('Data Sheet'!G27,0)</f>
        <v>21189</v>
      </c>
      <c r="H21" s="33">
        <f>IFERROR('Data Sheet'!H27,0)</f>
        <v>14584</v>
      </c>
      <c r="I21" s="33">
        <f>IFERROR('Data Sheet'!I27,0)</f>
        <v>19571</v>
      </c>
      <c r="J21" s="33">
        <f>IFERROR('Data Sheet'!J27,0)</f>
        <v>23118</v>
      </c>
      <c r="K21" s="33">
        <f>IFERROR('Data Sheet'!K27,0)</f>
        <v>24269</v>
      </c>
      <c r="L21" s="33">
        <f>IFERROR(SUM('Data Sheet'!H46:K46),0)</f>
        <v>25387</v>
      </c>
    </row>
    <row r="22" spans="2:12" s="37" customFormat="1" x14ac:dyDescent="0.3">
      <c r="B22" s="34" t="s">
        <v>105</v>
      </c>
      <c r="C22" s="36">
        <f t="shared" ref="C22:K22" si="7">IF(C21/C9,C21/C9,0)</f>
        <v>1.591495484767292E-2</v>
      </c>
      <c r="D22" s="36">
        <f t="shared" si="7"/>
        <v>2.6728719431433796E-2</v>
      </c>
      <c r="E22" s="36">
        <f t="shared" si="7"/>
        <v>3.7815048991063777E-2</v>
      </c>
      <c r="F22" s="36">
        <f t="shared" si="7"/>
        <v>4.9404840674042889E-2</v>
      </c>
      <c r="G22" s="36">
        <f t="shared" si="7"/>
        <v>6.4518191700236593E-2</v>
      </c>
      <c r="H22" s="36">
        <f t="shared" si="7"/>
        <v>2.7948013322448478E-2</v>
      </c>
      <c r="I22" s="36">
        <f t="shared" si="7"/>
        <v>2.973977130266307E-2</v>
      </c>
      <c r="J22" s="36">
        <f t="shared" si="7"/>
        <v>3.5487807686108361E-2</v>
      </c>
      <c r="K22" s="36">
        <f t="shared" si="7"/>
        <v>3.464876525672124E-2</v>
      </c>
      <c r="L22" s="36">
        <f>IF(L21/L9,L21/L9,0)</f>
        <v>3.1460164544083513E-2</v>
      </c>
    </row>
    <row r="23" spans="2:12" x14ac:dyDescent="0.3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2:12" x14ac:dyDescent="0.3">
      <c r="B24" s="33" t="s">
        <v>10</v>
      </c>
      <c r="C24" s="33">
        <f>IFERROR('Data Sheet'!C26,0)</f>
        <v>11646</v>
      </c>
      <c r="D24" s="33">
        <f>IFERROR('Data Sheet'!D26,0)</f>
        <v>16706</v>
      </c>
      <c r="E24" s="33">
        <f>IFERROR('Data Sheet'!E26,0)</f>
        <v>20934</v>
      </c>
      <c r="F24" s="33">
        <f>IFERROR('Data Sheet'!F26,0)</f>
        <v>22203</v>
      </c>
      <c r="G24" s="33">
        <f>IFERROR('Data Sheet'!G26,0)</f>
        <v>26572</v>
      </c>
      <c r="H24" s="33">
        <f>IFERROR('Data Sheet'!H26,0)</f>
        <v>29782</v>
      </c>
      <c r="I24" s="33">
        <f>IFERROR('Data Sheet'!I26,0)</f>
        <v>40303</v>
      </c>
      <c r="J24" s="33">
        <f>IFERROR('Data Sheet'!J26,0)</f>
        <v>50832</v>
      </c>
      <c r="K24" s="33">
        <f>IFERROR('Data Sheet'!K26,0)</f>
        <v>53136</v>
      </c>
      <c r="L24" s="33">
        <f>IFERROR(SUM('Data Sheet'!H45:K45),0)</f>
        <v>53382</v>
      </c>
    </row>
    <row r="25" spans="2:12" s="37" customFormat="1" x14ac:dyDescent="0.3">
      <c r="B25" s="34" t="s">
        <v>106</v>
      </c>
      <c r="C25" s="36">
        <f t="shared" ref="C25:L25" si="8">C24/C6</f>
        <v>4.2724601314095154E-2</v>
      </c>
      <c r="D25" s="36">
        <f t="shared" si="8"/>
        <v>5.4962264026793529E-2</v>
      </c>
      <c r="E25" s="36">
        <f t="shared" si="8"/>
        <v>5.3563889535672156E-2</v>
      </c>
      <c r="F25" s="36">
        <f t="shared" si="8"/>
        <v>3.9066610127441996E-2</v>
      </c>
      <c r="G25" s="36">
        <f t="shared" si="8"/>
        <v>4.4533157694505755E-2</v>
      </c>
      <c r="H25" s="36">
        <f t="shared" si="8"/>
        <v>6.3867795250768272E-2</v>
      </c>
      <c r="I25" s="36">
        <f t="shared" si="8"/>
        <v>5.801722537078597E-2</v>
      </c>
      <c r="J25" s="36">
        <f t="shared" si="8"/>
        <v>5.8001177549874716E-2</v>
      </c>
      <c r="K25" s="36">
        <f t="shared" si="8"/>
        <v>5.9102977506031426E-2</v>
      </c>
      <c r="L25" s="36">
        <f t="shared" si="8"/>
        <v>5.4664371490802742E-2</v>
      </c>
    </row>
    <row r="26" spans="2:12" x14ac:dyDescent="0.3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2:12" s="29" customFormat="1" x14ac:dyDescent="0.3">
      <c r="B27" s="33" t="s">
        <v>110</v>
      </c>
      <c r="C27" s="33">
        <f>IFERROR(C18-SUM(C24,C21),0)</f>
        <v>-559</v>
      </c>
      <c r="D27" s="33">
        <f t="shared" ref="D27:L27" si="9">IFERROR(D18-SUM(D24,D21),0)</f>
        <v>-47312</v>
      </c>
      <c r="E27" s="33">
        <f t="shared" si="9"/>
        <v>-130693</v>
      </c>
      <c r="F27" s="33">
        <f t="shared" si="9"/>
        <v>16694</v>
      </c>
      <c r="G27" s="33">
        <f t="shared" si="9"/>
        <v>163401</v>
      </c>
      <c r="H27" s="33">
        <f t="shared" si="9"/>
        <v>-164151</v>
      </c>
      <c r="I27" s="33">
        <f t="shared" si="9"/>
        <v>-99279</v>
      </c>
      <c r="J27" s="33">
        <f t="shared" si="9"/>
        <v>65903</v>
      </c>
      <c r="K27" s="33">
        <f t="shared" si="9"/>
        <v>24414</v>
      </c>
      <c r="L27" s="33">
        <f t="shared" si="9"/>
        <v>90815</v>
      </c>
    </row>
    <row r="28" spans="2:12" s="37" customFormat="1" x14ac:dyDescent="0.3">
      <c r="B28" s="37" t="s">
        <v>111</v>
      </c>
      <c r="C28" s="38">
        <f>C27/C6</f>
        <v>-2.0507515142176879E-3</v>
      </c>
      <c r="D28" s="38">
        <f t="shared" ref="D28:L28" si="10">D27/D6</f>
        <v>-0.15565513202655665</v>
      </c>
      <c r="E28" s="38">
        <f t="shared" si="10"/>
        <v>-0.33440457700800619</v>
      </c>
      <c r="F28" s="38">
        <f t="shared" si="10"/>
        <v>2.9373417532203603E-2</v>
      </c>
      <c r="G28" s="38">
        <f t="shared" si="10"/>
        <v>0.27385076397862168</v>
      </c>
      <c r="H28" s="38">
        <f t="shared" si="10"/>
        <v>-0.35202345236078375</v>
      </c>
      <c r="I28" s="38">
        <f t="shared" si="10"/>
        <v>-0.14291472390606805</v>
      </c>
      <c r="J28" s="38">
        <f t="shared" si="10"/>
        <v>7.5197741660162756E-2</v>
      </c>
      <c r="K28" s="38">
        <f t="shared" si="10"/>
        <v>2.7155602469742759E-2</v>
      </c>
      <c r="L28" s="38">
        <f t="shared" si="10"/>
        <v>9.2996607413308813E-2</v>
      </c>
    </row>
    <row r="30" spans="2:12" x14ac:dyDescent="0.3">
      <c r="B30" s="2" t="s">
        <v>13</v>
      </c>
      <c r="C30" s="33">
        <f>IFERROR('Data Sheet'!C29,0)</f>
        <v>10201</v>
      </c>
      <c r="D30" s="33">
        <f>IFERROR('Data Sheet'!D29,0)</f>
        <v>13346</v>
      </c>
      <c r="E30" s="33">
        <f>IFERROR('Data Sheet'!E29,0)</f>
        <v>15390</v>
      </c>
      <c r="F30" s="33">
        <f>IFERROR('Data Sheet'!F29,0)</f>
        <v>13726</v>
      </c>
      <c r="G30" s="33">
        <f>IFERROR('Data Sheet'!G29,0)</f>
        <v>1722</v>
      </c>
      <c r="H30" s="33">
        <f>IFERROR('Data Sheet'!H29,0)</f>
        <v>15970</v>
      </c>
      <c r="I30" s="33">
        <f>IFERROR('Data Sheet'!I29,0)</f>
        <v>20376</v>
      </c>
      <c r="J30" s="33">
        <f>IFERROR('Data Sheet'!J29,0)</f>
        <v>25707</v>
      </c>
      <c r="K30" s="33">
        <f>IFERROR('Data Sheet'!K29,0)</f>
        <v>25230</v>
      </c>
      <c r="L30" s="33">
        <f>IFERROR(SUM('Data Sheet'!H48:K48),0)</f>
        <v>25909</v>
      </c>
    </row>
    <row r="31" spans="2:12" s="37" customFormat="1" x14ac:dyDescent="0.3">
      <c r="B31" s="37" t="s">
        <v>112</v>
      </c>
      <c r="C31" s="38">
        <f>C30/C27</f>
        <v>-18.248658318425761</v>
      </c>
      <c r="D31" s="38">
        <f t="shared" ref="D31:L31" si="11">D30/D27</f>
        <v>-0.28208488332769699</v>
      </c>
      <c r="E31" s="38">
        <f t="shared" si="11"/>
        <v>-0.11775688062864882</v>
      </c>
      <c r="F31" s="38">
        <f t="shared" si="11"/>
        <v>0.82221157302024683</v>
      </c>
      <c r="G31" s="38">
        <f t="shared" si="11"/>
        <v>1.0538491196504305E-2</v>
      </c>
      <c r="H31" s="38">
        <f t="shared" si="11"/>
        <v>-9.7288472199377404E-2</v>
      </c>
      <c r="I31" s="38">
        <f t="shared" si="11"/>
        <v>-0.20523977880518537</v>
      </c>
      <c r="J31" s="38">
        <f t="shared" si="11"/>
        <v>0.39007328953158432</v>
      </c>
      <c r="K31" s="38">
        <f t="shared" si="11"/>
        <v>1.0334234455640205</v>
      </c>
      <c r="L31" s="38">
        <f t="shared" si="11"/>
        <v>0.28529427957936465</v>
      </c>
    </row>
    <row r="33" spans="1:12" s="33" customFormat="1" x14ac:dyDescent="0.3">
      <c r="B33" s="33" t="s">
        <v>113</v>
      </c>
      <c r="C33" s="33">
        <f>C27-C30</f>
        <v>-10760</v>
      </c>
      <c r="D33" s="33">
        <f t="shared" ref="D33:L33" si="12">D27-D30</f>
        <v>-60658</v>
      </c>
      <c r="E33" s="33">
        <f t="shared" si="12"/>
        <v>-146083</v>
      </c>
      <c r="F33" s="33">
        <f t="shared" si="12"/>
        <v>2968</v>
      </c>
      <c r="G33" s="33">
        <f t="shared" si="12"/>
        <v>161679</v>
      </c>
      <c r="H33" s="33">
        <f t="shared" si="12"/>
        <v>-180121</v>
      </c>
      <c r="I33" s="33">
        <f t="shared" si="12"/>
        <v>-119655</v>
      </c>
      <c r="J33" s="33">
        <f t="shared" si="12"/>
        <v>40196</v>
      </c>
      <c r="K33" s="33">
        <f t="shared" si="12"/>
        <v>-816</v>
      </c>
      <c r="L33" s="33">
        <f t="shared" si="12"/>
        <v>64906</v>
      </c>
    </row>
    <row r="34" spans="1:12" s="33" customFormat="1" x14ac:dyDescent="0.3">
      <c r="B34" s="33" t="s">
        <v>114</v>
      </c>
      <c r="C34" s="33">
        <f>C33/C6</f>
        <v>-3.9474215193170521E-2</v>
      </c>
      <c r="D34" s="33">
        <f t="shared" ref="D34:L34" si="13">D33/D6</f>
        <v>-0.19956309178362516</v>
      </c>
      <c r="E34" s="33">
        <f t="shared" si="13"/>
        <v>-0.37378301686441179</v>
      </c>
      <c r="F34" s="33">
        <f t="shared" si="13"/>
        <v>5.2222536980699834E-3</v>
      </c>
      <c r="G34" s="33">
        <f t="shared" si="13"/>
        <v>0.27096479011327701</v>
      </c>
      <c r="H34" s="33">
        <f t="shared" si="13"/>
        <v>-0.38627127621931473</v>
      </c>
      <c r="I34" s="33">
        <f t="shared" si="13"/>
        <v>-0.17224651022855358</v>
      </c>
      <c r="J34" s="33">
        <f t="shared" si="13"/>
        <v>4.5865111205436813E-2</v>
      </c>
      <c r="K34" s="33">
        <f t="shared" si="13"/>
        <v>-9.0763380090563167E-4</v>
      </c>
      <c r="L34" s="33">
        <f t="shared" si="13"/>
        <v>6.646520729800387E-2</v>
      </c>
    </row>
    <row r="36" spans="1:12" s="2" customFormat="1" x14ac:dyDescent="0.3">
      <c r="B36" s="2" t="s">
        <v>74</v>
      </c>
      <c r="C36" s="2">
        <f>IFERROR('Data Sheet'!C70,0)</f>
        <v>2958924277</v>
      </c>
      <c r="D36" s="2">
        <f>IFERROR('Data Sheet'!D70,0)</f>
        <v>5921826196</v>
      </c>
      <c r="E36" s="2">
        <f>IFERROR('Data Sheet'!E70,0)</f>
        <v>5925868997</v>
      </c>
      <c r="F36" s="2">
        <f>IFERROR('Data Sheet'!F70,0)</f>
        <v>6338693823</v>
      </c>
      <c r="G36" s="2">
        <f>IFERROR('Data Sheet'!G70,0)</f>
        <v>6762068814</v>
      </c>
      <c r="H36" s="2">
        <f>IFERROR('Data Sheet'!H70,0)</f>
        <v>6765994014</v>
      </c>
      <c r="I36" s="2">
        <f>IFERROR('Data Sheet'!I70,0)</f>
        <v>6766094014</v>
      </c>
      <c r="J36" s="2">
        <f>IFERROR('Data Sheet'!J70,0)</f>
        <v>6766094014</v>
      </c>
      <c r="K36" s="2">
        <f>IFERROR('Data Sheet'!K70,0)</f>
        <v>13532515463</v>
      </c>
      <c r="L36" s="2">
        <f>IFERROR('Data Sheet'!M70,0)</f>
        <v>0</v>
      </c>
    </row>
    <row r="37" spans="1:12" s="2" customFormat="1" x14ac:dyDescent="0.3"/>
    <row r="38" spans="1:12" s="33" customFormat="1" x14ac:dyDescent="0.3">
      <c r="B38" s="33" t="s">
        <v>57</v>
      </c>
      <c r="C38" s="33">
        <f>C33/C36</f>
        <v>-3.6364566959818823E-6</v>
      </c>
      <c r="D38" s="33">
        <f t="shared" ref="D38:K38" si="14">D33/D36</f>
        <v>-1.0243123994583376E-5</v>
      </c>
      <c r="E38" s="33">
        <f t="shared" si="14"/>
        <v>-2.4651743073286843E-5</v>
      </c>
      <c r="F38" s="33">
        <f t="shared" si="14"/>
        <v>4.6823526784502336E-7</v>
      </c>
      <c r="G38" s="33">
        <f t="shared" si="14"/>
        <v>2.3909694569399277E-5</v>
      </c>
      <c r="H38" s="33">
        <f t="shared" si="14"/>
        <v>-2.6621513354475162E-5</v>
      </c>
      <c r="I38" s="33">
        <f t="shared" si="14"/>
        <v>-1.7684501538467687E-5</v>
      </c>
      <c r="J38" s="33">
        <f t="shared" si="14"/>
        <v>5.9407983271927384E-6</v>
      </c>
      <c r="K38" s="33">
        <f t="shared" si="14"/>
        <v>-6.0299210610996215E-8</v>
      </c>
      <c r="L38" s="33">
        <v>0</v>
      </c>
    </row>
    <row r="39" spans="1:12" s="33" customFormat="1" x14ac:dyDescent="0.3">
      <c r="B39" s="33" t="s">
        <v>116</v>
      </c>
      <c r="D39" s="33">
        <f t="shared" ref="D39:L39" si="15">IFERROR(D38-C38,0)</f>
        <v>-6.6066672986014937E-6</v>
      </c>
      <c r="E39" s="33">
        <f t="shared" si="15"/>
        <v>-1.4408619078703467E-5</v>
      </c>
      <c r="F39" s="33">
        <f t="shared" si="15"/>
        <v>2.5119978341131867E-5</v>
      </c>
      <c r="G39" s="33">
        <f t="shared" si="15"/>
        <v>2.3441459301554253E-5</v>
      </c>
      <c r="H39" s="33">
        <f t="shared" si="15"/>
        <v>-5.0531207923874442E-5</v>
      </c>
      <c r="I39" s="33">
        <f t="shared" si="15"/>
        <v>8.9370118160074749E-6</v>
      </c>
      <c r="J39" s="33">
        <f t="shared" si="15"/>
        <v>2.3625299865660424E-5</v>
      </c>
      <c r="K39" s="33">
        <f t="shared" si="15"/>
        <v>-6.001097537803735E-6</v>
      </c>
      <c r="L39" s="33">
        <f t="shared" si="15"/>
        <v>6.0299210610996215E-8</v>
      </c>
    </row>
    <row r="40" spans="1:12" s="37" customFormat="1" x14ac:dyDescent="0.3">
      <c r="D40" s="39"/>
      <c r="E40" s="39"/>
      <c r="F40" s="39"/>
      <c r="G40" s="39"/>
      <c r="H40" s="39"/>
      <c r="I40" s="39"/>
      <c r="J40" s="39"/>
      <c r="K40" s="39"/>
      <c r="L40" s="39"/>
    </row>
    <row r="41" spans="1:12" s="33" customFormat="1" x14ac:dyDescent="0.3">
      <c r="B41" s="33" t="s">
        <v>115</v>
      </c>
      <c r="C41" s="33">
        <f>IFERROR('Data Sheet'!C31/'Data Sheet'!C70,0)</f>
        <v>1.1000281505345194E-6</v>
      </c>
      <c r="D41" s="33">
        <f>IFERROR('Data Sheet'!D31/'Data Sheet'!D70,0)</f>
        <v>6.0001760983800411E-7</v>
      </c>
      <c r="E41" s="33">
        <f>IFERROR('Data Sheet'!E31/'Data Sheet'!E70,0)</f>
        <v>6.5001436952960709E-7</v>
      </c>
      <c r="F41" s="33">
        <f>IFERROR('Data Sheet'!F31/'Data Sheet'!F70,0)</f>
        <v>6.5003139685486598E-7</v>
      </c>
      <c r="G41" s="33">
        <f>IFERROR('Data Sheet'!G31/'Data Sheet'!G70,0)</f>
        <v>6.6717747542874973E-7</v>
      </c>
      <c r="H41" s="33">
        <f>IFERROR('Data Sheet'!H31/'Data Sheet'!H70,0)</f>
        <v>7.998824694201097E-7</v>
      </c>
      <c r="I41" s="33">
        <f>IFERROR('Data Sheet'!I31/'Data Sheet'!I70,0)</f>
        <v>8.9998749461656525E-7</v>
      </c>
      <c r="J41" s="33">
        <f>IFERROR('Data Sheet'!J31/'Data Sheet'!J70,0)</f>
        <v>9.9998610512951711E-7</v>
      </c>
      <c r="K41" s="33">
        <f>IFERROR('Data Sheet'!K31/'Data Sheet'!K70,0)</f>
        <v>5.4997905011446142E-7</v>
      </c>
      <c r="L41" s="33">
        <f>IFERROR('Data Sheet'!L31/'Data Sheet'!L70,0)</f>
        <v>0</v>
      </c>
    </row>
    <row r="42" spans="1:12" s="33" customFormat="1" x14ac:dyDescent="0.3">
      <c r="B42" s="33" t="s">
        <v>117</v>
      </c>
      <c r="C42" s="33">
        <f>IFERROR(C41/C38,0)</f>
        <v>-0.30249999999999999</v>
      </c>
      <c r="D42" s="33">
        <f t="shared" ref="D42:L42" si="16">IFERROR(D41/D38,0)</f>
        <v>-5.8577598997659013E-2</v>
      </c>
      <c r="E42" s="33">
        <f t="shared" si="16"/>
        <v>-2.6367886749313747E-2</v>
      </c>
      <c r="F42" s="33">
        <f t="shared" si="16"/>
        <v>1.3882580862533693</v>
      </c>
      <c r="G42" s="33">
        <f t="shared" si="16"/>
        <v>2.7904056803913925E-2</v>
      </c>
      <c r="H42" s="33">
        <f t="shared" si="16"/>
        <v>-3.0046468762665098E-2</v>
      </c>
      <c r="I42" s="33">
        <f t="shared" si="16"/>
        <v>-5.0891312523505067E-2</v>
      </c>
      <c r="J42" s="33">
        <f t="shared" si="16"/>
        <v>0.16832520648820778</v>
      </c>
      <c r="K42" s="33">
        <f t="shared" si="16"/>
        <v>-9.1208333333333353</v>
      </c>
      <c r="L42" s="33">
        <f t="shared" si="16"/>
        <v>0</v>
      </c>
    </row>
    <row r="44" spans="1:12" s="2" customFormat="1" x14ac:dyDescent="0.3">
      <c r="B44" s="2" t="s">
        <v>118</v>
      </c>
      <c r="C44" s="40">
        <f>IFERROR(IF(C38&gt;C41,1-C42,0),0)</f>
        <v>0</v>
      </c>
      <c r="D44" s="40">
        <f t="shared" ref="D44:L44" si="17">IFERROR(IF(D38&gt;D41,1-D42,0),0)</f>
        <v>0</v>
      </c>
      <c r="E44" s="40">
        <f t="shared" si="17"/>
        <v>0</v>
      </c>
      <c r="F44" s="40">
        <f t="shared" si="17"/>
        <v>0</v>
      </c>
      <c r="G44" s="40">
        <f t="shared" si="17"/>
        <v>0.97209594319608605</v>
      </c>
      <c r="H44" s="40">
        <f t="shared" si="17"/>
        <v>0</v>
      </c>
      <c r="I44" s="40">
        <f t="shared" si="17"/>
        <v>0</v>
      </c>
      <c r="J44" s="40">
        <f t="shared" si="17"/>
        <v>0.83167479351179219</v>
      </c>
      <c r="K44" s="40">
        <f t="shared" si="17"/>
        <v>0</v>
      </c>
      <c r="L44" s="40">
        <f t="shared" si="17"/>
        <v>0</v>
      </c>
    </row>
    <row r="47" spans="1:12" x14ac:dyDescent="0.3">
      <c r="A47" t="s">
        <v>109</v>
      </c>
      <c r="B47" s="31" t="s">
        <v>119</v>
      </c>
      <c r="C47" s="32"/>
      <c r="D47" s="32"/>
      <c r="E47" s="32"/>
      <c r="F47" s="32"/>
      <c r="G47" s="32"/>
      <c r="H47" s="32"/>
      <c r="I47" s="32"/>
      <c r="J47" s="32"/>
      <c r="K47" s="32"/>
    </row>
    <row r="48" spans="1:12" x14ac:dyDescent="0.3">
      <c r="B48" t="s">
        <v>24</v>
      </c>
      <c r="C48" s="29">
        <f>IFERROR('Data Sheet'!C57,0)</f>
        <v>2959</v>
      </c>
      <c r="D48" s="29">
        <f>IFERROR('Data Sheet'!D57,0)</f>
        <v>5922</v>
      </c>
      <c r="E48" s="29">
        <f>IFERROR('Data Sheet'!E57,0)</f>
        <v>5926</v>
      </c>
      <c r="F48" s="29">
        <f>IFERROR('Data Sheet'!F57,0)</f>
        <v>6339</v>
      </c>
      <c r="G48" s="29">
        <f>IFERROR('Data Sheet'!G57,0)</f>
        <v>6445</v>
      </c>
      <c r="H48" s="29">
        <f>IFERROR('Data Sheet'!H57,0)</f>
        <v>6765</v>
      </c>
      <c r="I48" s="29">
        <f>IFERROR('Data Sheet'!I57,0)</f>
        <v>6766</v>
      </c>
      <c r="J48" s="29">
        <f>IFERROR('Data Sheet'!J57,0)</f>
        <v>6766</v>
      </c>
      <c r="K48" s="29">
        <f>IFERROR('Data Sheet'!K57,0)</f>
        <v>13532</v>
      </c>
    </row>
    <row r="49" spans="2:11" x14ac:dyDescent="0.3">
      <c r="B49" t="s">
        <v>25</v>
      </c>
      <c r="C49" s="29">
        <f>IFERROR('Data Sheet'!C58,0)</f>
        <v>260750</v>
      </c>
      <c r="D49" s="29">
        <f>IFERROR('Data Sheet'!D58,0)</f>
        <v>287584</v>
      </c>
      <c r="E49" s="29">
        <f>IFERROR('Data Sheet'!E58,0)</f>
        <v>381186</v>
      </c>
      <c r="F49" s="29">
        <f>IFERROR('Data Sheet'!F58,0)</f>
        <v>442827</v>
      </c>
      <c r="G49" s="29">
        <f>IFERROR('Data Sheet'!G58,0)</f>
        <v>693727</v>
      </c>
      <c r="H49" s="29">
        <f>IFERROR('Data Sheet'!H58,0)</f>
        <v>772720</v>
      </c>
      <c r="I49" s="29">
        <f>IFERROR('Data Sheet'!I58,0)</f>
        <v>709106</v>
      </c>
      <c r="J49" s="29">
        <f>IFERROR('Data Sheet'!J58,0)</f>
        <v>786715</v>
      </c>
      <c r="K49" s="29">
        <f>IFERROR('Data Sheet'!K58,0)</f>
        <v>829668</v>
      </c>
    </row>
    <row r="50" spans="2:11" x14ac:dyDescent="0.3">
      <c r="B50" t="s">
        <v>71</v>
      </c>
      <c r="C50" s="29">
        <f>IFERROR('Data Sheet'!C59,0)</f>
        <v>217475</v>
      </c>
      <c r="D50" s="29">
        <f>IFERROR('Data Sheet'!D59,0)</f>
        <v>239843</v>
      </c>
      <c r="E50" s="29">
        <f>IFERROR('Data Sheet'!E59,0)</f>
        <v>307714</v>
      </c>
      <c r="F50" s="29">
        <f>IFERROR('Data Sheet'!F59,0)</f>
        <v>355133</v>
      </c>
      <c r="G50" s="29">
        <f>IFERROR('Data Sheet'!G59,0)</f>
        <v>278962</v>
      </c>
      <c r="H50" s="29">
        <f>IFERROR('Data Sheet'!H59,0)</f>
        <v>319158</v>
      </c>
      <c r="I50" s="29">
        <f>IFERROR('Data Sheet'!I59,0)</f>
        <v>451664</v>
      </c>
      <c r="J50" s="29">
        <f>IFERROR('Data Sheet'!J59,0)</f>
        <v>350719</v>
      </c>
      <c r="K50" s="29">
        <f>IFERROR('Data Sheet'!K59,0)</f>
        <v>374313</v>
      </c>
    </row>
    <row r="51" spans="2:11" x14ac:dyDescent="0.3">
      <c r="B51" t="s">
        <v>72</v>
      </c>
      <c r="C51" s="29">
        <f>IFERROR('Data Sheet'!C60,0)</f>
        <v>225618</v>
      </c>
      <c r="D51" s="29">
        <f>IFERROR('Data Sheet'!D60,0)</f>
        <v>277924</v>
      </c>
      <c r="E51" s="29">
        <f>IFERROR('Data Sheet'!E60,0)</f>
        <v>302804</v>
      </c>
      <c r="F51" s="29">
        <f>IFERROR('Data Sheet'!F60,0)</f>
        <v>358716</v>
      </c>
      <c r="G51" s="29">
        <f>IFERROR('Data Sheet'!G60,0)</f>
        <v>340931</v>
      </c>
      <c r="H51" s="29">
        <f>IFERROR('Data Sheet'!H60,0)</f>
        <v>399979</v>
      </c>
      <c r="I51" s="29">
        <f>IFERROR('Data Sheet'!I60,0)</f>
        <v>438346</v>
      </c>
      <c r="J51" s="29">
        <f>IFERROR('Data Sheet'!J60,0)</f>
        <v>610848</v>
      </c>
      <c r="K51" s="29">
        <f>IFERROR('Data Sheet'!K60,0)</f>
        <v>732200</v>
      </c>
    </row>
    <row r="52" spans="2:11" s="2" customFormat="1" x14ac:dyDescent="0.3">
      <c r="B52" s="2" t="s">
        <v>120</v>
      </c>
      <c r="C52" s="33">
        <f>IFERROR('Data Sheet'!C61,0)</f>
        <v>706802</v>
      </c>
      <c r="D52" s="33">
        <f>IFERROR('Data Sheet'!D61,0)</f>
        <v>811273</v>
      </c>
      <c r="E52" s="33">
        <f>IFERROR('Data Sheet'!E61,0)</f>
        <v>997630</v>
      </c>
      <c r="F52" s="33">
        <f>IFERROR('Data Sheet'!F61,0)</f>
        <v>1163015</v>
      </c>
      <c r="G52" s="33">
        <f>IFERROR('Data Sheet'!G61,0)</f>
        <v>1320065</v>
      </c>
      <c r="H52" s="33">
        <f>IFERROR('Data Sheet'!H61,0)</f>
        <v>1498622</v>
      </c>
      <c r="I52" s="33">
        <f>IFERROR('Data Sheet'!I61,0)</f>
        <v>1605882</v>
      </c>
      <c r="J52" s="33">
        <f>IFERROR('Data Sheet'!J61,0)</f>
        <v>1755048</v>
      </c>
      <c r="K52" s="33">
        <f>IFERROR('Data Sheet'!K61,0)</f>
        <v>1949713</v>
      </c>
    </row>
    <row r="54" spans="2:11" x14ac:dyDescent="0.3">
      <c r="B54" t="s">
        <v>121</v>
      </c>
      <c r="C54" s="29">
        <f>IFERROR('Data Sheet'!C62,0)</f>
        <v>198526</v>
      </c>
      <c r="D54" s="29">
        <f>IFERROR('Data Sheet'!D62,0)</f>
        <v>403885</v>
      </c>
      <c r="E54" s="29">
        <f>IFERROR('Data Sheet'!E62,0)</f>
        <v>398374</v>
      </c>
      <c r="F54" s="29">
        <f>IFERROR('Data Sheet'!F62,0)</f>
        <v>532658</v>
      </c>
      <c r="G54" s="29">
        <f>IFERROR('Data Sheet'!G62,0)</f>
        <v>541258</v>
      </c>
      <c r="H54" s="29">
        <f>IFERROR('Data Sheet'!H62,0)</f>
        <v>627798</v>
      </c>
      <c r="I54" s="29">
        <f>IFERROR('Data Sheet'!I62,0)</f>
        <v>724805</v>
      </c>
      <c r="J54" s="29">
        <f>IFERROR('Data Sheet'!J62,0)</f>
        <v>779985</v>
      </c>
      <c r="K54" s="29">
        <f>IFERROR('Data Sheet'!K62,0)</f>
        <v>999393</v>
      </c>
    </row>
    <row r="55" spans="2:11" x14ac:dyDescent="0.3">
      <c r="B55" t="s">
        <v>28</v>
      </c>
      <c r="C55" s="29">
        <f>IFERROR('Data Sheet'!C63,0)</f>
        <v>324837</v>
      </c>
      <c r="D55" s="29">
        <f>IFERROR('Data Sheet'!D63,0)</f>
        <v>187022</v>
      </c>
      <c r="E55" s="29">
        <f>IFERROR('Data Sheet'!E63,0)</f>
        <v>179463</v>
      </c>
      <c r="F55" s="29">
        <f>IFERROR('Data Sheet'!F63,0)</f>
        <v>109106</v>
      </c>
      <c r="G55" s="29">
        <f>IFERROR('Data Sheet'!G63,0)</f>
        <v>125953</v>
      </c>
      <c r="H55" s="29">
        <f>IFERROR('Data Sheet'!H63,0)</f>
        <v>172506</v>
      </c>
      <c r="I55" s="29">
        <f>IFERROR('Data Sheet'!I63,0)</f>
        <v>293752</v>
      </c>
      <c r="J55" s="29">
        <f>IFERROR('Data Sheet'!J63,0)</f>
        <v>338855</v>
      </c>
      <c r="K55" s="29">
        <f>IFERROR('Data Sheet'!K63,0)</f>
        <v>262358</v>
      </c>
    </row>
    <row r="56" spans="2:11" x14ac:dyDescent="0.3">
      <c r="B56" t="s">
        <v>29</v>
      </c>
      <c r="C56" s="29">
        <f>IFERROR('Data Sheet'!C64,0)</f>
        <v>82899</v>
      </c>
      <c r="D56" s="29">
        <f>IFERROR('Data Sheet'!D64,0)</f>
        <v>82862</v>
      </c>
      <c r="E56" s="29">
        <f>IFERROR('Data Sheet'!E64,0)</f>
        <v>235635</v>
      </c>
      <c r="F56" s="29">
        <f>IFERROR('Data Sheet'!F64,0)</f>
        <v>276767</v>
      </c>
      <c r="G56" s="29">
        <f>IFERROR('Data Sheet'!G64,0)</f>
        <v>364828</v>
      </c>
      <c r="H56" s="29">
        <f>IFERROR('Data Sheet'!H64,0)</f>
        <v>394264</v>
      </c>
      <c r="I56" s="29">
        <f>IFERROR('Data Sheet'!I64,0)</f>
        <v>235560</v>
      </c>
      <c r="J56" s="29">
        <f>IFERROR('Data Sheet'!J64,0)</f>
        <v>225672</v>
      </c>
      <c r="K56" s="29">
        <f>IFERROR('Data Sheet'!K64,0)</f>
        <v>242381</v>
      </c>
    </row>
    <row r="57" spans="2:11" x14ac:dyDescent="0.3">
      <c r="B57" t="s">
        <v>73</v>
      </c>
      <c r="C57" s="29">
        <f>IFERROR('Data Sheet'!C65-SUM('Data Sheet'!C67:C69),0)</f>
        <v>40389</v>
      </c>
      <c r="D57" s="29">
        <f>IFERROR('Data Sheet'!D65-SUM('Data Sheet'!D67:D69),0)</f>
        <v>54857</v>
      </c>
      <c r="E57" s="29">
        <f>IFERROR('Data Sheet'!E65-SUM('Data Sheet'!E67:E69),0)</f>
        <v>75427</v>
      </c>
      <c r="F57" s="29">
        <f>IFERROR('Data Sheet'!F65-SUM('Data Sheet'!F67:F69),0)</f>
        <v>120005</v>
      </c>
      <c r="G57" s="29">
        <f>IFERROR('Data Sheet'!G65-SUM('Data Sheet'!G67:G69),0)</f>
        <v>169943</v>
      </c>
      <c r="H57" s="29">
        <f>IFERROR('Data Sheet'!H65-SUM('Data Sheet'!H67:H69),0)</f>
        <v>136458</v>
      </c>
      <c r="I57" s="29">
        <f>IFERROR('Data Sheet'!I65-SUM('Data Sheet'!I67:I69),0)</f>
        <v>114645</v>
      </c>
      <c r="J57" s="29">
        <f>IFERROR('Data Sheet'!J65-SUM('Data Sheet'!J67:J69),0)</f>
        <v>128913</v>
      </c>
      <c r="K57" s="29">
        <f>IFERROR('Data Sheet'!K65-SUM('Data Sheet'!K67:K69),0)</f>
        <v>150896</v>
      </c>
    </row>
    <row r="58" spans="2:11" s="2" customFormat="1" x14ac:dyDescent="0.3">
      <c r="B58" s="2" t="s">
        <v>122</v>
      </c>
      <c r="C58" s="33">
        <f>SUM(C54:C57)</f>
        <v>646651</v>
      </c>
      <c r="D58" s="33">
        <f t="shared" ref="D58:K58" si="18">SUM(D54:D57)</f>
        <v>728626</v>
      </c>
      <c r="E58" s="33">
        <f t="shared" si="18"/>
        <v>888899</v>
      </c>
      <c r="F58" s="33">
        <f t="shared" si="18"/>
        <v>1038536</v>
      </c>
      <c r="G58" s="33">
        <f t="shared" si="18"/>
        <v>1201982</v>
      </c>
      <c r="H58" s="33">
        <f t="shared" si="18"/>
        <v>1331026</v>
      </c>
      <c r="I58" s="33">
        <f t="shared" si="18"/>
        <v>1368762</v>
      </c>
      <c r="J58" s="33">
        <f t="shared" si="18"/>
        <v>1473425</v>
      </c>
      <c r="K58" s="33">
        <f t="shared" si="18"/>
        <v>1655028</v>
      </c>
    </row>
    <row r="60" spans="2:11" x14ac:dyDescent="0.3">
      <c r="B60" t="s">
        <v>78</v>
      </c>
      <c r="C60" s="29">
        <f>IFERROR('Data Sheet'!C67,0)</f>
        <v>8177</v>
      </c>
      <c r="D60" s="29">
        <f>IFERROR('Data Sheet'!D67,0)</f>
        <v>17555</v>
      </c>
      <c r="E60" s="29">
        <f>IFERROR('Data Sheet'!E67,0)</f>
        <v>30089</v>
      </c>
      <c r="F60" s="29">
        <f>IFERROR('Data Sheet'!F67,0)</f>
        <v>19656</v>
      </c>
      <c r="G60" s="29">
        <f>IFERROR('Data Sheet'!G67,0)</f>
        <v>19014</v>
      </c>
      <c r="H60" s="29">
        <f>IFERROR('Data Sheet'!H67,0)</f>
        <v>23640</v>
      </c>
      <c r="I60" s="29">
        <f>IFERROR('Data Sheet'!I67,0)</f>
        <v>28448</v>
      </c>
      <c r="J60" s="29">
        <f>IFERROR('Data Sheet'!J67,0)</f>
        <v>31628</v>
      </c>
      <c r="K60" s="29">
        <f>IFERROR('Data Sheet'!K67,0)</f>
        <v>42121</v>
      </c>
    </row>
    <row r="61" spans="2:11" x14ac:dyDescent="0.3">
      <c r="B61" t="s">
        <v>45</v>
      </c>
      <c r="C61" s="29">
        <f>IFERROR('Data Sheet'!C68,0)</f>
        <v>48951</v>
      </c>
      <c r="D61" s="29">
        <f>IFERROR('Data Sheet'!D68,0)</f>
        <v>60837</v>
      </c>
      <c r="E61" s="29">
        <f>IFERROR('Data Sheet'!E68,0)</f>
        <v>67561</v>
      </c>
      <c r="F61" s="29">
        <f>IFERROR('Data Sheet'!F68,0)</f>
        <v>73903</v>
      </c>
      <c r="G61" s="29">
        <f>IFERROR('Data Sheet'!G68,0)</f>
        <v>81672</v>
      </c>
      <c r="H61" s="29">
        <f>IFERROR('Data Sheet'!H68,0)</f>
        <v>107778</v>
      </c>
      <c r="I61" s="29">
        <f>IFERROR('Data Sheet'!I68,0)</f>
        <v>140008</v>
      </c>
      <c r="J61" s="29">
        <f>IFERROR('Data Sheet'!J68,0)</f>
        <v>152770</v>
      </c>
      <c r="K61" s="29">
        <f>IFERROR('Data Sheet'!K68,0)</f>
        <v>146062</v>
      </c>
    </row>
    <row r="62" spans="2:11" x14ac:dyDescent="0.3">
      <c r="B62" t="s">
        <v>87</v>
      </c>
      <c r="C62" s="29">
        <f>IFERROR('Data Sheet'!C69,0)</f>
        <v>3023</v>
      </c>
      <c r="D62" s="29">
        <f>IFERROR('Data Sheet'!D69,0)</f>
        <v>4255</v>
      </c>
      <c r="E62" s="29">
        <f>IFERROR('Data Sheet'!E69,0)</f>
        <v>11081</v>
      </c>
      <c r="F62" s="29">
        <f>IFERROR('Data Sheet'!F69,0)</f>
        <v>30920</v>
      </c>
      <c r="G62" s="29">
        <f>IFERROR('Data Sheet'!G69,0)</f>
        <v>17397</v>
      </c>
      <c r="H62" s="29">
        <f>IFERROR('Data Sheet'!H69,0)</f>
        <v>36178</v>
      </c>
      <c r="I62" s="29">
        <f>IFERROR('Data Sheet'!I69,0)</f>
        <v>68664</v>
      </c>
      <c r="J62" s="29">
        <f>IFERROR('Data Sheet'!J69,0)</f>
        <v>97225</v>
      </c>
      <c r="K62" s="29">
        <f>IFERROR('Data Sheet'!K69,0)</f>
        <v>106502</v>
      </c>
    </row>
    <row r="63" spans="2:11" s="2" customFormat="1" x14ac:dyDescent="0.3">
      <c r="B63" s="2" t="s">
        <v>123</v>
      </c>
      <c r="C63" s="33">
        <f>IFERROR(SUM(C60:C62),0)</f>
        <v>60151</v>
      </c>
      <c r="D63" s="33">
        <f t="shared" ref="D63:K63" si="19">IFERROR(SUM(D60:D62),0)</f>
        <v>82647</v>
      </c>
      <c r="E63" s="33">
        <f t="shared" si="19"/>
        <v>108731</v>
      </c>
      <c r="F63" s="33">
        <f t="shared" si="19"/>
        <v>124479</v>
      </c>
      <c r="G63" s="33">
        <f t="shared" si="19"/>
        <v>118083</v>
      </c>
      <c r="H63" s="33">
        <f t="shared" si="19"/>
        <v>167596</v>
      </c>
      <c r="I63" s="33">
        <f t="shared" si="19"/>
        <v>237120</v>
      </c>
      <c r="J63" s="33">
        <f t="shared" si="19"/>
        <v>281623</v>
      </c>
      <c r="K63" s="33">
        <f t="shared" si="19"/>
        <v>294685</v>
      </c>
    </row>
    <row r="65" spans="1:14" s="2" customFormat="1" x14ac:dyDescent="0.3">
      <c r="B65" s="2" t="s">
        <v>124</v>
      </c>
      <c r="C65" s="33">
        <f>IFERROR(SUM(C58,C63),0)</f>
        <v>706802</v>
      </c>
      <c r="D65" s="33">
        <f t="shared" ref="D65:K65" si="20">IFERROR(SUM(D58,D63),0)</f>
        <v>811273</v>
      </c>
      <c r="E65" s="33">
        <f t="shared" si="20"/>
        <v>997630</v>
      </c>
      <c r="F65" s="33">
        <f t="shared" si="20"/>
        <v>1163015</v>
      </c>
      <c r="G65" s="33">
        <f t="shared" si="20"/>
        <v>1320065</v>
      </c>
      <c r="H65" s="33">
        <f t="shared" si="20"/>
        <v>1498622</v>
      </c>
      <c r="I65" s="33">
        <f t="shared" si="20"/>
        <v>1605882</v>
      </c>
      <c r="J65" s="33">
        <f t="shared" si="20"/>
        <v>1755048</v>
      </c>
      <c r="K65" s="33">
        <f t="shared" si="20"/>
        <v>1949713</v>
      </c>
    </row>
    <row r="68" spans="1:14" x14ac:dyDescent="0.3">
      <c r="A68" t="s">
        <v>109</v>
      </c>
      <c r="B68" s="31" t="s">
        <v>153</v>
      </c>
      <c r="C68" s="32"/>
      <c r="D68" s="32"/>
      <c r="E68" s="32"/>
      <c r="F68" s="32"/>
      <c r="G68" s="32"/>
      <c r="H68" s="32"/>
      <c r="I68" s="32"/>
      <c r="J68" s="32"/>
      <c r="K68" s="32"/>
    </row>
    <row r="69" spans="1:14" x14ac:dyDescent="0.3">
      <c r="B69" s="2" t="s">
        <v>154</v>
      </c>
    </row>
    <row r="70" spans="1:14" x14ac:dyDescent="0.3">
      <c r="B70" t="s">
        <v>125</v>
      </c>
      <c r="C70" s="29">
        <f>IFERROR(Cashflow!C5,0)</f>
        <v>36303</v>
      </c>
      <c r="D70" s="29">
        <f>IFERROR(Cashflow!D5,0)</f>
        <v>43397</v>
      </c>
      <c r="E70" s="29">
        <f>IFERROR(Cashflow!E5,0)</f>
        <v>38626</v>
      </c>
      <c r="F70" s="29">
        <f>IFERROR(Cashflow!F5,0)</f>
        <v>28840</v>
      </c>
      <c r="G70" s="29">
        <f>IFERROR(Cashflow!G5,0)</f>
        <v>33312</v>
      </c>
      <c r="H70" s="29">
        <f>IFERROR(Cashflow!H5,0)</f>
        <v>28771</v>
      </c>
      <c r="I70" s="29">
        <f>IFERROR(Cashflow!I5,0)</f>
        <v>23352</v>
      </c>
      <c r="J70" s="29">
        <f>IFERROR(Cashflow!J5,0)</f>
        <v>31198</v>
      </c>
      <c r="K70" s="29">
        <f>IFERROR(Cashflow!K5,0)</f>
        <v>26943</v>
      </c>
      <c r="L70" s="29"/>
      <c r="M70" s="29"/>
      <c r="N70" s="29"/>
    </row>
    <row r="71" spans="1:14" x14ac:dyDescent="0.3">
      <c r="B71" t="s">
        <v>78</v>
      </c>
      <c r="C71" s="29">
        <f>IFERROR(Cashflow!C6,0)</f>
        <v>445</v>
      </c>
      <c r="D71" s="29">
        <f>IFERROR(Cashflow!D6,0)</f>
        <v>-3179</v>
      </c>
      <c r="E71" s="29">
        <f>IFERROR(Cashflow!E6,0)</f>
        <v>-2223</v>
      </c>
      <c r="F71" s="29">
        <f>IFERROR(Cashflow!F6,0)</f>
        <v>-4152</v>
      </c>
      <c r="G71" s="29">
        <f>IFERROR(Cashflow!G6,0)</f>
        <v>-10688</v>
      </c>
      <c r="H71" s="29">
        <f>IFERROR(Cashflow!H6,0)</f>
        <v>-9109</v>
      </c>
      <c r="I71" s="29">
        <f>IFERROR(Cashflow!I6,0)</f>
        <v>9950</v>
      </c>
      <c r="J71" s="29">
        <f>IFERROR(Cashflow!J6,0)</f>
        <v>-5505</v>
      </c>
      <c r="K71" s="29">
        <f>IFERROR(Cashflow!K6,0)</f>
        <v>185</v>
      </c>
      <c r="L71" s="29"/>
      <c r="M71" s="29"/>
      <c r="N71" s="29"/>
    </row>
    <row r="72" spans="1:14" x14ac:dyDescent="0.3">
      <c r="B72" t="s">
        <v>45</v>
      </c>
      <c r="C72" s="29">
        <f>IFERROR(Cashflow!C7,0)</f>
        <v>-2853</v>
      </c>
      <c r="D72" s="29">
        <f>IFERROR(Cashflow!D7,0)</f>
        <v>-3692</v>
      </c>
      <c r="E72" s="29">
        <f>IFERROR(Cashflow!E7,0)</f>
        <v>-5743</v>
      </c>
      <c r="F72" s="29">
        <f>IFERROR(Cashflow!F7,0)</f>
        <v>-6621</v>
      </c>
      <c r="G72" s="29">
        <f>IFERROR(Cashflow!G7,0)</f>
        <v>-3560</v>
      </c>
      <c r="H72" s="29">
        <f>IFERROR(Cashflow!H7,0)</f>
        <v>2069</v>
      </c>
      <c r="I72" s="29">
        <f>IFERROR(Cashflow!I7,0)</f>
        <v>2326</v>
      </c>
      <c r="J72" s="29">
        <f>IFERROR(Cashflow!J7,0)</f>
        <v>3814</v>
      </c>
      <c r="K72" s="29">
        <f>IFERROR(Cashflow!K7,0)</f>
        <v>472</v>
      </c>
      <c r="L72" s="29"/>
      <c r="M72" s="29"/>
      <c r="N72" s="29"/>
    </row>
    <row r="73" spans="1:14" x14ac:dyDescent="0.3">
      <c r="B73" t="s">
        <v>126</v>
      </c>
      <c r="C73" s="29">
        <f>IFERROR(Cashflow!C8,0)</f>
        <v>4694</v>
      </c>
      <c r="D73" s="29">
        <f>IFERROR(Cashflow!D8,0)</f>
        <v>3598</v>
      </c>
      <c r="E73" s="29">
        <f>IFERROR(Cashflow!E8,0)</f>
        <v>3947</v>
      </c>
      <c r="F73" s="29">
        <f>IFERROR(Cashflow!F8,0)</f>
        <v>9301</v>
      </c>
      <c r="G73" s="29">
        <f>IFERROR(Cashflow!G8,0)</f>
        <v>7320</v>
      </c>
      <c r="H73" s="29">
        <f>IFERROR(Cashflow!H8,0)</f>
        <v>-4692</v>
      </c>
      <c r="I73" s="29">
        <f>IFERROR(Cashflow!I8,0)</f>
        <v>-8085</v>
      </c>
      <c r="J73" s="29">
        <f>IFERROR(Cashflow!J8,0)</f>
        <v>5748</v>
      </c>
      <c r="K73" s="29">
        <f>IFERROR(Cashflow!K8,0)</f>
        <v>-7012</v>
      </c>
      <c r="L73" s="29"/>
      <c r="M73" s="29"/>
      <c r="N73" s="29"/>
    </row>
    <row r="74" spans="1:14" x14ac:dyDescent="0.3">
      <c r="B74" t="s">
        <v>127</v>
      </c>
      <c r="C74" s="29">
        <f>IFERROR(Cashflow!C9,0)</f>
        <v>0</v>
      </c>
      <c r="D74" s="29">
        <f>IFERROR(Cashflow!D9,0)</f>
        <v>0</v>
      </c>
      <c r="E74" s="29">
        <f>IFERROR(Cashflow!E9,0)</f>
        <v>-520</v>
      </c>
      <c r="F74" s="29">
        <f>IFERROR(Cashflow!F9,0)</f>
        <v>0</v>
      </c>
      <c r="G74" s="29">
        <f>IFERROR(Cashflow!G9,0)</f>
        <v>0</v>
      </c>
      <c r="H74" s="29">
        <f>IFERROR(Cashflow!H9,0)</f>
        <v>0</v>
      </c>
      <c r="I74" s="29">
        <f>IFERROR(Cashflow!I9,0)</f>
        <v>0</v>
      </c>
      <c r="J74" s="29">
        <f>IFERROR(Cashflow!J9,0)</f>
        <v>0</v>
      </c>
      <c r="K74" s="29">
        <f>IFERROR(Cashflow!K9,0)</f>
        <v>0</v>
      </c>
      <c r="L74" s="29"/>
      <c r="M74" s="29"/>
      <c r="N74" s="29"/>
    </row>
    <row r="75" spans="1:14" x14ac:dyDescent="0.3">
      <c r="B75" t="s">
        <v>128</v>
      </c>
      <c r="C75" s="29">
        <f>IFERROR(Cashflow!C10,0)</f>
        <v>1870</v>
      </c>
      <c r="D75" s="29">
        <f>IFERROR(Cashflow!D10,0)</f>
        <v>-398</v>
      </c>
      <c r="E75" s="29">
        <f>IFERROR(Cashflow!E10,0)</f>
        <v>5852</v>
      </c>
      <c r="F75" s="29">
        <f>IFERROR(Cashflow!F10,0)</f>
        <v>4727</v>
      </c>
      <c r="G75" s="29">
        <f>IFERROR(Cashflow!G10,0)</f>
        <v>494</v>
      </c>
      <c r="H75" s="29">
        <f>IFERROR(Cashflow!H10,0)</f>
        <v>4512</v>
      </c>
      <c r="I75" s="29">
        <f>IFERROR(Cashflow!I10,0)</f>
        <v>875</v>
      </c>
      <c r="J75" s="29">
        <f>IFERROR(Cashflow!J10,0)</f>
        <v>-4150</v>
      </c>
      <c r="K75" s="29">
        <f>IFERROR(Cashflow!K10,0)</f>
        <v>-4396</v>
      </c>
      <c r="L75" s="29"/>
      <c r="M75" s="29"/>
      <c r="N75" s="29"/>
    </row>
    <row r="76" spans="1:14" x14ac:dyDescent="0.3">
      <c r="B76" t="s">
        <v>129</v>
      </c>
      <c r="C76" s="29">
        <f>IFERROR(Cashflow!C11,0)</f>
        <v>4157</v>
      </c>
      <c r="D76" s="29">
        <f>IFERROR(Cashflow!D11,0)</f>
        <v>-3672</v>
      </c>
      <c r="E76" s="29">
        <f>IFERROR(Cashflow!E11,0)</f>
        <v>1313</v>
      </c>
      <c r="F76" s="29">
        <f>IFERROR(Cashflow!F11,0)</f>
        <v>3254</v>
      </c>
      <c r="G76" s="29">
        <f>IFERROR(Cashflow!G11,0)</f>
        <v>-6434</v>
      </c>
      <c r="H76" s="29">
        <f>IFERROR(Cashflow!H11,0)</f>
        <v>-7221</v>
      </c>
      <c r="I76" s="29">
        <f>IFERROR(Cashflow!I11,0)</f>
        <v>5065</v>
      </c>
      <c r="J76" s="29">
        <f>IFERROR(Cashflow!J11,0)</f>
        <v>-93</v>
      </c>
      <c r="K76" s="29">
        <f>IFERROR(Cashflow!K11,0)</f>
        <v>-10750</v>
      </c>
      <c r="L76" s="29"/>
      <c r="M76" s="29"/>
      <c r="N76" s="29"/>
    </row>
    <row r="77" spans="1:14" x14ac:dyDescent="0.3">
      <c r="B77" t="s">
        <v>130</v>
      </c>
      <c r="C77" s="29">
        <f>IFERROR(Cashflow!C12,0)</f>
        <v>-4308</v>
      </c>
      <c r="D77" s="29">
        <f>IFERROR(Cashflow!D12,0)</f>
        <v>-4194</v>
      </c>
      <c r="E77" s="29">
        <f>IFERROR(Cashflow!E12,0)</f>
        <v>-2040</v>
      </c>
      <c r="F77" s="29">
        <f>IFERROR(Cashflow!F12,0)</f>
        <v>-1895</v>
      </c>
      <c r="G77" s="29">
        <f>IFERROR(Cashflow!G12,0)</f>
        <v>-3021</v>
      </c>
      <c r="H77" s="29">
        <f>IFERROR(Cashflow!H12,0)</f>
        <v>-2659</v>
      </c>
      <c r="I77" s="29">
        <f>IFERROR(Cashflow!I12,0)</f>
        <v>-1785</v>
      </c>
      <c r="J77" s="29">
        <f>IFERROR(Cashflow!J12,0)</f>
        <v>-2105</v>
      </c>
      <c r="K77" s="29">
        <f>IFERROR(Cashflow!K12,0)</f>
        <v>-1910</v>
      </c>
      <c r="L77" s="29"/>
      <c r="M77" s="29"/>
      <c r="N77" s="29"/>
    </row>
    <row r="78" spans="1:14" s="2" customFormat="1" x14ac:dyDescent="0.3">
      <c r="B78" s="2" t="s">
        <v>155</v>
      </c>
      <c r="C78" s="33">
        <f>IFERROR(SUM(C70:C77),0)</f>
        <v>40308</v>
      </c>
      <c r="D78" s="33">
        <f t="shared" ref="D78:K78" si="21">IFERROR(SUM(D70:D77),0)</f>
        <v>31860</v>
      </c>
      <c r="E78" s="33">
        <f t="shared" si="21"/>
        <v>39212</v>
      </c>
      <c r="F78" s="33">
        <f t="shared" si="21"/>
        <v>33454</v>
      </c>
      <c r="G78" s="33">
        <f t="shared" si="21"/>
        <v>17423</v>
      </c>
      <c r="H78" s="33">
        <f t="shared" si="21"/>
        <v>11671</v>
      </c>
      <c r="I78" s="33">
        <f t="shared" si="21"/>
        <v>31698</v>
      </c>
      <c r="J78" s="33">
        <f t="shared" si="21"/>
        <v>28907</v>
      </c>
      <c r="K78" s="33">
        <f t="shared" si="21"/>
        <v>3532</v>
      </c>
    </row>
    <row r="80" spans="1:14" x14ac:dyDescent="0.3">
      <c r="B80" s="2" t="s">
        <v>156</v>
      </c>
    </row>
    <row r="81" spans="2:11" x14ac:dyDescent="0.3">
      <c r="B81" t="s">
        <v>131</v>
      </c>
      <c r="C81" s="29">
        <f>IFERROR(Cashflow!F14,0)</f>
        <v>-16072</v>
      </c>
      <c r="D81" s="29">
        <f>IFERROR(Cashflow!G14,0)</f>
        <v>-35079</v>
      </c>
      <c r="E81" s="29">
        <f>IFERROR(Cashflow!H14,0)</f>
        <v>-35304</v>
      </c>
      <c r="F81" s="29">
        <f>IFERROR(Cashflow!I14,0)</f>
        <v>-29702</v>
      </c>
      <c r="G81" s="29">
        <f>IFERROR(Cashflow!J14,0)</f>
        <v>-20205</v>
      </c>
      <c r="H81" s="29">
        <f>IFERROR(Cashflow!K14,0)</f>
        <v>-15168</v>
      </c>
      <c r="I81" s="29">
        <f>IFERROR(Cashflow!L14,0)</f>
        <v>-19230</v>
      </c>
      <c r="J81" s="29">
        <f>IFERROR(Cashflow!M14,0)</f>
        <v>-31414</v>
      </c>
      <c r="K81" s="29">
        <f>IFERROR(Cashflow!N14,0)</f>
        <v>-38042</v>
      </c>
    </row>
    <row r="82" spans="2:11" x14ac:dyDescent="0.3">
      <c r="B82" t="s">
        <v>132</v>
      </c>
      <c r="C82" s="29">
        <f>IFERROR(Cashflow!F15,0)</f>
        <v>53</v>
      </c>
      <c r="D82" s="29">
        <f>IFERROR(Cashflow!G15,0)</f>
        <v>30</v>
      </c>
      <c r="E82" s="29">
        <f>IFERROR(Cashflow!H15,0)</f>
        <v>67</v>
      </c>
      <c r="F82" s="29">
        <f>IFERROR(Cashflow!I15,0)</f>
        <v>171</v>
      </c>
      <c r="G82" s="29">
        <f>IFERROR(Cashflow!J15,0)</f>
        <v>351</v>
      </c>
      <c r="H82" s="29">
        <f>IFERROR(Cashflow!K15,0)</f>
        <v>230</v>
      </c>
      <c r="I82" s="29">
        <f>IFERROR(Cashflow!L15,0)</f>
        <v>285</v>
      </c>
      <c r="J82" s="29">
        <f>IFERROR(Cashflow!M15,0)</f>
        <v>231</v>
      </c>
      <c r="K82" s="29">
        <f>IFERROR(Cashflow!N15,0)</f>
        <v>974</v>
      </c>
    </row>
    <row r="83" spans="2:11" x14ac:dyDescent="0.3">
      <c r="B83" t="s">
        <v>133</v>
      </c>
      <c r="C83" s="29">
        <f>IFERROR(Cashflow!F16,0)</f>
        <v>-6</v>
      </c>
      <c r="D83" s="29">
        <f>IFERROR(Cashflow!G16,0)</f>
        <v>-329</v>
      </c>
      <c r="E83" s="29">
        <f>IFERROR(Cashflow!H16,0)</f>
        <v>-130</v>
      </c>
      <c r="F83" s="29">
        <f>IFERROR(Cashflow!I16,0)</f>
        <v>-1439</v>
      </c>
      <c r="G83" s="29">
        <f>IFERROR(Cashflow!J16,0)</f>
        <v>-7530</v>
      </c>
      <c r="H83" s="29">
        <f>IFERROR(Cashflow!K16,0)</f>
        <v>-3008</v>
      </c>
      <c r="I83" s="29">
        <f>IFERROR(Cashflow!L16,0)</f>
        <v>-50</v>
      </c>
      <c r="J83" s="29">
        <f>IFERROR(Cashflow!M16,0)</f>
        <v>-74</v>
      </c>
      <c r="K83" s="29">
        <f>IFERROR(Cashflow!N16,0)</f>
        <v>-12677</v>
      </c>
    </row>
    <row r="84" spans="2:11" x14ac:dyDescent="0.3">
      <c r="B84" t="s">
        <v>134</v>
      </c>
      <c r="C84" s="29">
        <f>IFERROR(Cashflow!F17,0)</f>
        <v>1965</v>
      </c>
      <c r="D84" s="29">
        <f>IFERROR(Cashflow!G17,0)</f>
        <v>2381</v>
      </c>
      <c r="E84" s="29">
        <f>IFERROR(Cashflow!H17,0)</f>
        <v>5644</v>
      </c>
      <c r="F84" s="29">
        <f>IFERROR(Cashflow!I17,0)</f>
        <v>21</v>
      </c>
      <c r="G84" s="29">
        <f>IFERROR(Cashflow!J17,0)</f>
        <v>226</v>
      </c>
      <c r="H84" s="29">
        <f>IFERROR(Cashflow!K17,0)</f>
        <v>104</v>
      </c>
      <c r="I84" s="29">
        <f>IFERROR(Cashflow!L17,0)</f>
        <v>6895</v>
      </c>
      <c r="J84" s="29">
        <f>IFERROR(Cashflow!M17,0)</f>
        <v>10821</v>
      </c>
      <c r="K84" s="29">
        <f>IFERROR(Cashflow!N17,0)</f>
        <v>111</v>
      </c>
    </row>
    <row r="85" spans="2:11" x14ac:dyDescent="0.3">
      <c r="B85" t="s">
        <v>135</v>
      </c>
      <c r="C85" s="29">
        <f>IFERROR(Cashflow!F18,0)</f>
        <v>638</v>
      </c>
      <c r="D85" s="29">
        <f>IFERROR(Cashflow!G18,0)</f>
        <v>690</v>
      </c>
      <c r="E85" s="29">
        <f>IFERROR(Cashflow!H18,0)</f>
        <v>761</v>
      </c>
      <c r="F85" s="29">
        <f>IFERROR(Cashflow!I18,0)</f>
        <v>1104</v>
      </c>
      <c r="G85" s="29">
        <f>IFERROR(Cashflow!J18,0)</f>
        <v>428</v>
      </c>
      <c r="H85" s="29">
        <f>IFERROR(Cashflow!K18,0)</f>
        <v>653</v>
      </c>
      <c r="I85" s="29">
        <f>IFERROR(Cashflow!L18,0)</f>
        <v>973</v>
      </c>
      <c r="J85" s="29">
        <f>IFERROR(Cashflow!M18,0)</f>
        <v>2493</v>
      </c>
      <c r="K85" s="29">
        <f>IFERROR(Cashflow!N18,0)</f>
        <v>2420</v>
      </c>
    </row>
    <row r="86" spans="2:11" x14ac:dyDescent="0.3">
      <c r="B86" t="s">
        <v>136</v>
      </c>
      <c r="C86" s="29">
        <f>IFERROR(Cashflow!F19,0)</f>
        <v>620</v>
      </c>
      <c r="D86" s="29">
        <f>IFERROR(Cashflow!G19,0)</f>
        <v>1797</v>
      </c>
      <c r="E86" s="29">
        <f>IFERROR(Cashflow!H19,0)</f>
        <v>232</v>
      </c>
      <c r="F86" s="29">
        <f>IFERROR(Cashflow!I19,0)</f>
        <v>21</v>
      </c>
      <c r="G86" s="29">
        <f>IFERROR(Cashflow!J19,0)</f>
        <v>18</v>
      </c>
      <c r="H86" s="29">
        <f>IFERROR(Cashflow!K19,0)</f>
        <v>32</v>
      </c>
      <c r="I86" s="29">
        <f>IFERROR(Cashflow!L19,0)</f>
        <v>46</v>
      </c>
      <c r="J86" s="29">
        <f>IFERROR(Cashflow!M19,0)</f>
        <v>47</v>
      </c>
      <c r="K86" s="29">
        <f>IFERROR(Cashflow!N19,0)</f>
        <v>64</v>
      </c>
    </row>
    <row r="87" spans="2:11" x14ac:dyDescent="0.3">
      <c r="B87" t="s">
        <v>137</v>
      </c>
      <c r="C87" s="29">
        <f>IFERROR(Cashflow!F20,0)</f>
        <v>-107</v>
      </c>
      <c r="D87" s="29">
        <f>IFERROR(Cashflow!G20,0)</f>
        <v>-4</v>
      </c>
      <c r="E87" s="29">
        <f>IFERROR(Cashflow!H20,0)</f>
        <v>-9</v>
      </c>
      <c r="F87" s="29">
        <f>IFERROR(Cashflow!I20,0)</f>
        <v>-606</v>
      </c>
      <c r="G87" s="29">
        <f>IFERROR(Cashflow!J20,0)</f>
        <v>-10</v>
      </c>
      <c r="H87" s="29">
        <f>IFERROR(Cashflow!K20,0)</f>
        <v>0</v>
      </c>
      <c r="I87" s="29">
        <f>IFERROR(Cashflow!L20,0)</f>
        <v>0</v>
      </c>
      <c r="J87" s="29">
        <f>IFERROR(Cashflow!M20,0)</f>
        <v>-150</v>
      </c>
      <c r="K87" s="29">
        <f>IFERROR(Cashflow!N20,0)</f>
        <v>0</v>
      </c>
    </row>
    <row r="88" spans="2:11" x14ac:dyDescent="0.3">
      <c r="B88" t="s">
        <v>138</v>
      </c>
      <c r="C88" s="29">
        <f>IFERROR(Cashflow!F21,0)</f>
        <v>0</v>
      </c>
      <c r="D88" s="29">
        <f>IFERROR(Cashflow!G21,0)</f>
        <v>14</v>
      </c>
      <c r="E88" s="29">
        <f>IFERROR(Cashflow!H21,0)</f>
        <v>533</v>
      </c>
      <c r="F88" s="29">
        <f>IFERROR(Cashflow!I21,0)</f>
        <v>0</v>
      </c>
      <c r="G88" s="29">
        <f>IFERROR(Cashflow!J21,0)</f>
        <v>0</v>
      </c>
      <c r="H88" s="29">
        <f>IFERROR(Cashflow!K21,0)</f>
        <v>0</v>
      </c>
      <c r="I88" s="29">
        <f>IFERROR(Cashflow!L21,0)</f>
        <v>19</v>
      </c>
      <c r="J88" s="29">
        <f>IFERROR(Cashflow!M21,0)</f>
        <v>107</v>
      </c>
      <c r="K88" s="29">
        <f>IFERROR(Cashflow!N21,0)</f>
        <v>765</v>
      </c>
    </row>
    <row r="89" spans="2:11" x14ac:dyDescent="0.3">
      <c r="B89" t="s">
        <v>139</v>
      </c>
      <c r="C89" s="29">
        <f>IFERROR(Cashflow!F22,0)</f>
        <v>0</v>
      </c>
      <c r="D89" s="29">
        <f>IFERROR(Cashflow!G22,0)</f>
        <v>0</v>
      </c>
      <c r="E89" s="29">
        <f>IFERROR(Cashflow!H22,0)</f>
        <v>-8</v>
      </c>
      <c r="F89" s="29">
        <f>IFERROR(Cashflow!I22,0)</f>
        <v>-27</v>
      </c>
      <c r="G89" s="29">
        <f>IFERROR(Cashflow!J22,0)</f>
        <v>0</v>
      </c>
      <c r="H89" s="29">
        <f>IFERROR(Cashflow!K22,0)</f>
        <v>-98</v>
      </c>
      <c r="I89" s="29">
        <f>IFERROR(Cashflow!L22,0)</f>
        <v>0</v>
      </c>
      <c r="J89" s="29">
        <f>IFERROR(Cashflow!M22,0)</f>
        <v>0</v>
      </c>
      <c r="K89" s="29">
        <f>IFERROR(Cashflow!N22,0)</f>
        <v>-688</v>
      </c>
    </row>
    <row r="90" spans="2:11" x14ac:dyDescent="0.3">
      <c r="B90" t="s">
        <v>140</v>
      </c>
      <c r="C90" s="29">
        <f>IFERROR(Cashflow!F23,0)</f>
        <v>0</v>
      </c>
      <c r="D90" s="29">
        <f>IFERROR(Cashflow!G23,0)</f>
        <v>0</v>
      </c>
      <c r="E90" s="29">
        <f>IFERROR(Cashflow!H23,0)</f>
        <v>0</v>
      </c>
      <c r="F90" s="29">
        <f>IFERROR(Cashflow!I23,0)</f>
        <v>0</v>
      </c>
      <c r="G90" s="29">
        <f>IFERROR(Cashflow!J23,0)</f>
        <v>0</v>
      </c>
      <c r="H90" s="29">
        <f>IFERROR(Cashflow!K23,0)</f>
        <v>0</v>
      </c>
      <c r="I90" s="29">
        <f>IFERROR(Cashflow!L23,0)</f>
        <v>0</v>
      </c>
      <c r="J90" s="29">
        <f>IFERROR(Cashflow!M23,0)</f>
        <v>-25</v>
      </c>
      <c r="K90" s="29">
        <f>IFERROR(Cashflow!N23,0)</f>
        <v>-20</v>
      </c>
    </row>
    <row r="91" spans="2:11" x14ac:dyDescent="0.3">
      <c r="B91" t="s">
        <v>141</v>
      </c>
      <c r="C91" s="29">
        <f>IFERROR(Cashflow!F24,0)</f>
        <v>-26663</v>
      </c>
      <c r="D91" s="29">
        <f>IFERROR(Cashflow!G24,0)</f>
        <v>5360</v>
      </c>
      <c r="E91" s="29">
        <f>IFERROR(Cashflow!H24,0)</f>
        <v>7335</v>
      </c>
      <c r="F91" s="29">
        <f>IFERROR(Cashflow!I24,0)</f>
        <v>-2659</v>
      </c>
      <c r="G91" s="29">
        <f>IFERROR(Cashflow!J24,0)</f>
        <v>1051</v>
      </c>
      <c r="H91" s="29">
        <f>IFERROR(Cashflow!K24,0)</f>
        <v>12813</v>
      </c>
      <c r="I91" s="29">
        <f>IFERROR(Cashflow!L24,0)</f>
        <v>-4357</v>
      </c>
      <c r="J91" s="29">
        <f>IFERROR(Cashflow!M24,0)</f>
        <v>-4817</v>
      </c>
      <c r="K91" s="29">
        <f>IFERROR(Cashflow!N24,0)</f>
        <v>-2889</v>
      </c>
    </row>
    <row r="92" spans="2:11" s="2" customFormat="1" x14ac:dyDescent="0.3">
      <c r="B92" s="2" t="s">
        <v>157</v>
      </c>
      <c r="C92" s="33">
        <f>IFERROR(SUM(C81:C91),0)</f>
        <v>-39572</v>
      </c>
      <c r="D92" s="33">
        <f t="shared" ref="D92:K92" si="22">IFERROR(SUM(D81:D91),0)</f>
        <v>-25140</v>
      </c>
      <c r="E92" s="33">
        <f t="shared" si="22"/>
        <v>-20879</v>
      </c>
      <c r="F92" s="33">
        <f t="shared" si="22"/>
        <v>-33116</v>
      </c>
      <c r="G92" s="33">
        <f t="shared" si="22"/>
        <v>-25671</v>
      </c>
      <c r="H92" s="33">
        <f t="shared" si="22"/>
        <v>-4442</v>
      </c>
      <c r="I92" s="33">
        <f t="shared" si="22"/>
        <v>-15419</v>
      </c>
      <c r="J92" s="33">
        <f t="shared" si="22"/>
        <v>-22781</v>
      </c>
      <c r="K92" s="33">
        <f t="shared" si="22"/>
        <v>-49982</v>
      </c>
    </row>
    <row r="94" spans="2:11" x14ac:dyDescent="0.3">
      <c r="B94" s="2" t="s">
        <v>158</v>
      </c>
    </row>
    <row r="95" spans="2:11" x14ac:dyDescent="0.3">
      <c r="B95" t="s">
        <v>142</v>
      </c>
      <c r="C95" s="29">
        <f>IFERROR(Cashflow!F26,0)</f>
        <v>5</v>
      </c>
      <c r="D95" s="29">
        <f>IFERROR(Cashflow!G26,0)</f>
        <v>0</v>
      </c>
      <c r="E95" s="29">
        <f>IFERROR(Cashflow!H26,0)</f>
        <v>0</v>
      </c>
      <c r="F95" s="29">
        <f>IFERROR(Cashflow!I26,0)</f>
        <v>3889</v>
      </c>
      <c r="G95" s="29">
        <f>IFERROR(Cashflow!J26,0)</f>
        <v>2603</v>
      </c>
      <c r="H95" s="29">
        <f>IFERROR(Cashflow!K26,0)</f>
        <v>19</v>
      </c>
      <c r="I95" s="29">
        <f>IFERROR(Cashflow!L26,0)</f>
        <v>20</v>
      </c>
      <c r="J95" s="29">
        <f>IFERROR(Cashflow!M26,0)</f>
        <v>82</v>
      </c>
      <c r="K95" s="29">
        <f>IFERROR(Cashflow!N26,0)</f>
        <v>1108</v>
      </c>
    </row>
    <row r="96" spans="2:11" x14ac:dyDescent="0.3">
      <c r="B96" t="s">
        <v>143</v>
      </c>
      <c r="C96" s="29">
        <f>IFERROR(Cashflow!F27,0)</f>
        <v>0</v>
      </c>
      <c r="D96" s="29">
        <f>IFERROR(Cashflow!G27,0)</f>
        <v>0</v>
      </c>
      <c r="E96" s="29">
        <f>IFERROR(Cashflow!H27,0)</f>
        <v>0</v>
      </c>
      <c r="F96" s="29">
        <f>IFERROR(Cashflow!I27,0)</f>
        <v>0</v>
      </c>
      <c r="G96" s="29">
        <f>IFERROR(Cashflow!J27,0)</f>
        <v>0</v>
      </c>
      <c r="H96" s="29">
        <f>IFERROR(Cashflow!K27,0)</f>
        <v>0</v>
      </c>
      <c r="I96" s="29">
        <f>IFERROR(Cashflow!L27,0)</f>
        <v>0</v>
      </c>
      <c r="J96" s="29">
        <f>IFERROR(Cashflow!M27,0)</f>
        <v>0</v>
      </c>
      <c r="K96" s="29">
        <f>IFERROR(Cashflow!N27,0)</f>
        <v>0</v>
      </c>
    </row>
    <row r="97" spans="2:11" x14ac:dyDescent="0.3">
      <c r="B97" t="s">
        <v>144</v>
      </c>
      <c r="C97" s="29">
        <f>IFERROR(Cashflow!F28,0)</f>
        <v>33390</v>
      </c>
      <c r="D97" s="29">
        <f>IFERROR(Cashflow!G28,0)</f>
        <v>37482</v>
      </c>
      <c r="E97" s="29">
        <f>IFERROR(Cashflow!H28,0)</f>
        <v>51128</v>
      </c>
      <c r="F97" s="29">
        <f>IFERROR(Cashflow!I28,0)</f>
        <v>38297</v>
      </c>
      <c r="G97" s="29">
        <f>IFERROR(Cashflow!J28,0)</f>
        <v>46641</v>
      </c>
      <c r="H97" s="29">
        <f>IFERROR(Cashflow!K28,0)</f>
        <v>46578</v>
      </c>
      <c r="I97" s="29">
        <f>IFERROR(Cashflow!L28,0)</f>
        <v>43934</v>
      </c>
      <c r="J97" s="29">
        <f>IFERROR(Cashflow!M28,0)</f>
        <v>18829</v>
      </c>
      <c r="K97" s="29">
        <f>IFERROR(Cashflow!N28,0)</f>
        <v>13384</v>
      </c>
    </row>
    <row r="98" spans="2:11" x14ac:dyDescent="0.3">
      <c r="B98" t="s">
        <v>145</v>
      </c>
      <c r="C98" s="29">
        <f>IFERROR(Cashflow!F29,0)</f>
        <v>-21732</v>
      </c>
      <c r="D98" s="29">
        <f>IFERROR(Cashflow!G29,0)</f>
        <v>-29964</v>
      </c>
      <c r="E98" s="29">
        <f>IFERROR(Cashflow!H29,0)</f>
        <v>-35198</v>
      </c>
      <c r="F98" s="29">
        <f>IFERROR(Cashflow!I29,0)</f>
        <v>-29847</v>
      </c>
      <c r="G98" s="29">
        <f>IFERROR(Cashflow!J29,0)</f>
        <v>-29709</v>
      </c>
      <c r="H98" s="29">
        <f>IFERROR(Cashflow!K29,0)</f>
        <v>-42816</v>
      </c>
      <c r="I98" s="29">
        <f>IFERROR(Cashflow!L29,0)</f>
        <v>-62557</v>
      </c>
      <c r="J98" s="29">
        <f>IFERROR(Cashflow!M29,0)</f>
        <v>-47414</v>
      </c>
      <c r="K98" s="29">
        <f>IFERROR(Cashflow!N29,0)</f>
        <v>-21443</v>
      </c>
    </row>
    <row r="99" spans="2:11" x14ac:dyDescent="0.3">
      <c r="B99" t="s">
        <v>146</v>
      </c>
      <c r="C99" s="29">
        <f>IFERROR(Cashflow!F30,0)</f>
        <v>-5336</v>
      </c>
      <c r="D99" s="29">
        <f>IFERROR(Cashflow!G30,0)</f>
        <v>-5411</v>
      </c>
      <c r="E99" s="29">
        <f>IFERROR(Cashflow!H30,0)</f>
        <v>-7005</v>
      </c>
      <c r="F99" s="29">
        <f>IFERROR(Cashflow!I30,0)</f>
        <v>-7518</v>
      </c>
      <c r="G99" s="29">
        <f>IFERROR(Cashflow!J30,0)</f>
        <v>-8123</v>
      </c>
      <c r="H99" s="29">
        <f>IFERROR(Cashflow!K30,0)</f>
        <v>-9251</v>
      </c>
      <c r="I99" s="29">
        <f>IFERROR(Cashflow!L30,0)</f>
        <v>-9336</v>
      </c>
      <c r="J99" s="29">
        <f>IFERROR(Cashflow!M30,0)</f>
        <v>-9332</v>
      </c>
      <c r="K99" s="29">
        <f>IFERROR(Cashflow!N30,0)</f>
        <v>-5814</v>
      </c>
    </row>
    <row r="100" spans="2:11" x14ac:dyDescent="0.3">
      <c r="B100" t="s">
        <v>147</v>
      </c>
      <c r="C100" s="29">
        <f>IFERROR(Cashflow!F31,0)</f>
        <v>-121</v>
      </c>
      <c r="D100" s="29">
        <f>IFERROR(Cashflow!G31,0)</f>
        <v>-96</v>
      </c>
      <c r="E100" s="29">
        <f>IFERROR(Cashflow!H31,0)</f>
        <v>-95</v>
      </c>
      <c r="F100" s="29">
        <f>IFERROR(Cashflow!I31,0)</f>
        <v>-57</v>
      </c>
      <c r="G100" s="29">
        <f>IFERROR(Cashflow!J31,0)</f>
        <v>-30</v>
      </c>
      <c r="H100" s="29">
        <f>IFERROR(Cashflow!K31,0)</f>
        <v>-100</v>
      </c>
      <c r="I100" s="29">
        <f>IFERROR(Cashflow!L31,0)</f>
        <v>-141</v>
      </c>
      <c r="J100" s="29">
        <f>IFERROR(Cashflow!M31,0)</f>
        <v>-1059</v>
      </c>
      <c r="K100" s="29">
        <f>IFERROR(Cashflow!N31,0)</f>
        <v>-2492</v>
      </c>
    </row>
    <row r="101" spans="2:11" x14ac:dyDescent="0.3">
      <c r="B101" t="s">
        <v>148</v>
      </c>
      <c r="C101" s="29">
        <f>IFERROR(Cashflow!F32,0)</f>
        <v>0</v>
      </c>
      <c r="D101" s="29">
        <f>IFERROR(Cashflow!G32,0)</f>
        <v>0</v>
      </c>
      <c r="E101" s="29">
        <f>IFERROR(Cashflow!H32,0)</f>
        <v>0</v>
      </c>
      <c r="F101" s="29">
        <f>IFERROR(Cashflow!I32,0)</f>
        <v>-1346</v>
      </c>
      <c r="G101" s="29">
        <f>IFERROR(Cashflow!J32,0)</f>
        <v>-1477</v>
      </c>
      <c r="H101" s="29">
        <f>IFERROR(Cashflow!K32,0)</f>
        <v>-1559</v>
      </c>
      <c r="I101" s="29">
        <f>IFERROR(Cashflow!L32,0)</f>
        <v>-1517</v>
      </c>
      <c r="J101" s="29">
        <f>IFERROR(Cashflow!M32,0)</f>
        <v>-1924</v>
      </c>
      <c r="K101" s="29">
        <f>IFERROR(Cashflow!N32,0)</f>
        <v>-2393</v>
      </c>
    </row>
    <row r="102" spans="2:11" x14ac:dyDescent="0.3">
      <c r="B102" t="s">
        <v>149</v>
      </c>
      <c r="C102" s="29">
        <f>IFERROR(Cashflow!F33,0)</f>
        <v>0</v>
      </c>
      <c r="D102" s="29">
        <f>IFERROR(Cashflow!G33,0)</f>
        <v>0</v>
      </c>
      <c r="E102" s="29">
        <f>IFERROR(Cashflow!H33,0)</f>
        <v>0</v>
      </c>
      <c r="F102" s="29">
        <f>IFERROR(Cashflow!I33,0)</f>
        <v>-29</v>
      </c>
      <c r="G102" s="29">
        <f>IFERROR(Cashflow!J33,0)</f>
        <v>0</v>
      </c>
      <c r="H102" s="29">
        <f>IFERROR(Cashflow!K33,0)</f>
        <v>3750</v>
      </c>
      <c r="I102" s="29">
        <f>IFERROR(Cashflow!L33,0)</f>
        <v>3355</v>
      </c>
      <c r="J102" s="29">
        <f>IFERROR(Cashflow!M33,0)</f>
        <v>3812</v>
      </c>
      <c r="K102" s="29">
        <f>IFERROR(Cashflow!N33,0)</f>
        <v>-1136</v>
      </c>
    </row>
    <row r="103" spans="2:11" x14ac:dyDescent="0.3">
      <c r="B103" t="s">
        <v>35</v>
      </c>
      <c r="C103" s="29">
        <f>IFERROR(Cashflow!F34,0)</f>
        <v>-3167</v>
      </c>
      <c r="D103" s="29">
        <f>IFERROR(Cashflow!G34,0)</f>
        <v>730</v>
      </c>
      <c r="E103" s="29">
        <f>IFERROR(Cashflow!H34,0)</f>
        <v>6843</v>
      </c>
      <c r="F103" s="29">
        <f>IFERROR(Cashflow!I34,0)</f>
        <v>-3092</v>
      </c>
      <c r="G103" s="29">
        <f>IFERROR(Cashflow!J34,0)</f>
        <v>13232</v>
      </c>
      <c r="H103" s="29">
        <f>IFERROR(Cashflow!K34,0)</f>
        <v>6459</v>
      </c>
      <c r="I103" s="29">
        <f>IFERROR(Cashflow!L34,0)</f>
        <v>-6272</v>
      </c>
      <c r="J103" s="29">
        <f>IFERROR(Cashflow!M34,0)</f>
        <v>8128</v>
      </c>
      <c r="K103" s="29">
        <f>IFERROR(Cashflow!N34,0)</f>
        <v>-5666</v>
      </c>
    </row>
    <row r="104" spans="2:11" s="2" customFormat="1" x14ac:dyDescent="0.3">
      <c r="B104" s="2" t="s">
        <v>152</v>
      </c>
      <c r="C104" s="33">
        <f>IFERROR(SUM(C95:C103),0)</f>
        <v>3039</v>
      </c>
      <c r="D104" s="33">
        <f t="shared" ref="D104:K104" si="23">IFERROR(SUM(D95:D103),0)</f>
        <v>2741</v>
      </c>
      <c r="E104" s="33">
        <f t="shared" si="23"/>
        <v>15673</v>
      </c>
      <c r="F104" s="33">
        <f t="shared" si="23"/>
        <v>297</v>
      </c>
      <c r="G104" s="33">
        <f t="shared" si="23"/>
        <v>23137</v>
      </c>
      <c r="H104" s="33">
        <f t="shared" si="23"/>
        <v>3080</v>
      </c>
      <c r="I104" s="33">
        <f t="shared" si="23"/>
        <v>-32514</v>
      </c>
      <c r="J104" s="33">
        <f t="shared" si="23"/>
        <v>-28878</v>
      </c>
      <c r="K104" s="33">
        <f t="shared" si="23"/>
        <v>-24452</v>
      </c>
    </row>
    <row r="106" spans="2:11" s="2" customFormat="1" x14ac:dyDescent="0.3">
      <c r="B106" s="2" t="s">
        <v>35</v>
      </c>
      <c r="C106" s="33">
        <f>IFERROR(SUM(C78,C92,C104),0)</f>
        <v>3775</v>
      </c>
      <c r="D106" s="33">
        <f t="shared" ref="D106:K106" si="24">IFERROR(SUM(D78,D92,D104),0)</f>
        <v>9461</v>
      </c>
      <c r="E106" s="33">
        <f t="shared" si="24"/>
        <v>34006</v>
      </c>
      <c r="F106" s="33">
        <f t="shared" si="24"/>
        <v>635</v>
      </c>
      <c r="G106" s="33">
        <f t="shared" si="24"/>
        <v>14889</v>
      </c>
      <c r="H106" s="33">
        <f t="shared" si="24"/>
        <v>10309</v>
      </c>
      <c r="I106" s="33">
        <f t="shared" si="24"/>
        <v>-16235</v>
      </c>
      <c r="J106" s="33">
        <f t="shared" si="24"/>
        <v>-22752</v>
      </c>
      <c r="K106" s="33">
        <f t="shared" si="24"/>
        <v>-70902</v>
      </c>
    </row>
  </sheetData>
  <mergeCells count="1">
    <mergeCell ref="B2:L2"/>
  </mergeCells>
  <pageMargins left="0.7" right="0.7" top="0.75" bottom="0.75" header="0.3" footer="0.3"/>
  <pageSetup orientation="portrait" r:id="rId1"/>
  <ignoredErrors>
    <ignoredError sqref="L9 L6 C15:D15 E15:K15 L21 L24 L3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6AB4-D833-4D4B-B49C-FDB1F0D34FFC}">
  <dimension ref="B3:N34"/>
  <sheetViews>
    <sheetView topLeftCell="B3" workbookViewId="0">
      <selection activeCell="B26" sqref="B26:B34"/>
    </sheetView>
  </sheetViews>
  <sheetFormatPr defaultRowHeight="14.4" x14ac:dyDescent="0.3"/>
  <cols>
    <col min="1" max="1" width="8.88671875" customWidth="1"/>
    <col min="2" max="2" width="25.77734375" style="2" bestFit="1" customWidth="1"/>
    <col min="3" max="3" width="9.6640625" customWidth="1"/>
    <col min="8" max="8" width="8.5546875" customWidth="1"/>
  </cols>
  <sheetData>
    <row r="3" spans="2:14" s="2" customFormat="1" x14ac:dyDescent="0.3">
      <c r="C3" s="42">
        <v>41699</v>
      </c>
      <c r="D3" s="42">
        <v>42064</v>
      </c>
      <c r="E3" s="42">
        <v>42430</v>
      </c>
      <c r="F3" s="42">
        <v>42795</v>
      </c>
      <c r="G3" s="42">
        <v>43160</v>
      </c>
      <c r="H3" s="42">
        <v>43525</v>
      </c>
      <c r="I3" s="42">
        <v>43891</v>
      </c>
      <c r="J3" s="42">
        <v>44256</v>
      </c>
      <c r="K3" s="42">
        <v>44621</v>
      </c>
      <c r="L3" s="42">
        <v>44986</v>
      </c>
      <c r="M3" s="42">
        <v>45352</v>
      </c>
      <c r="N3" s="42">
        <v>45717</v>
      </c>
    </row>
    <row r="4" spans="2:14" x14ac:dyDescent="0.3">
      <c r="B4" s="2" t="s">
        <v>150</v>
      </c>
      <c r="C4" s="41">
        <v>36151</v>
      </c>
      <c r="D4" s="41">
        <v>35531</v>
      </c>
      <c r="E4" s="41">
        <v>37900</v>
      </c>
      <c r="F4" s="41">
        <v>30199</v>
      </c>
      <c r="G4" s="41">
        <v>23857</v>
      </c>
      <c r="H4" s="41">
        <v>18891</v>
      </c>
      <c r="I4" s="41">
        <v>26633</v>
      </c>
      <c r="J4" s="41">
        <v>29001</v>
      </c>
      <c r="K4" s="41">
        <v>14283</v>
      </c>
      <c r="L4" s="41">
        <v>35388</v>
      </c>
      <c r="M4" s="41">
        <v>67915</v>
      </c>
      <c r="N4" s="41">
        <v>63102</v>
      </c>
    </row>
    <row r="5" spans="2:14" x14ac:dyDescent="0.3">
      <c r="B5" s="2" t="s">
        <v>125</v>
      </c>
      <c r="C5" s="41">
        <v>36303</v>
      </c>
      <c r="D5" s="41">
        <v>43397</v>
      </c>
      <c r="E5" s="41">
        <v>38626</v>
      </c>
      <c r="F5" s="41">
        <v>28840</v>
      </c>
      <c r="G5" s="41">
        <v>33312</v>
      </c>
      <c r="H5" s="41">
        <v>28771</v>
      </c>
      <c r="I5" s="41">
        <v>23352</v>
      </c>
      <c r="J5" s="41">
        <v>31198</v>
      </c>
      <c r="K5" s="41">
        <v>26943</v>
      </c>
      <c r="L5" s="41">
        <v>41694</v>
      </c>
      <c r="M5" s="41">
        <v>65106</v>
      </c>
      <c r="N5" s="41">
        <v>58937</v>
      </c>
    </row>
    <row r="6" spans="2:14" x14ac:dyDescent="0.3">
      <c r="B6" s="2" t="s">
        <v>78</v>
      </c>
      <c r="C6">
        <v>445</v>
      </c>
      <c r="D6" s="41">
        <v>-3179</v>
      </c>
      <c r="E6" s="41">
        <v>-2223</v>
      </c>
      <c r="F6" s="41">
        <v>-4152</v>
      </c>
      <c r="G6" s="41">
        <v>-10688</v>
      </c>
      <c r="H6" s="41">
        <v>-9109</v>
      </c>
      <c r="I6" s="41">
        <v>9950</v>
      </c>
      <c r="J6" s="41">
        <v>-5505</v>
      </c>
      <c r="K6">
        <v>185</v>
      </c>
      <c r="L6" s="41">
        <v>-2213</v>
      </c>
      <c r="M6" s="41">
        <v>-1876</v>
      </c>
      <c r="N6" s="41">
        <v>3573</v>
      </c>
    </row>
    <row r="7" spans="2:14" x14ac:dyDescent="0.3">
      <c r="B7" s="2" t="s">
        <v>45</v>
      </c>
      <c r="C7" s="41">
        <v>-2853</v>
      </c>
      <c r="D7" s="41">
        <v>-3692</v>
      </c>
      <c r="E7" s="41">
        <v>-5743</v>
      </c>
      <c r="F7" s="41">
        <v>-6621</v>
      </c>
      <c r="G7" s="41">
        <v>-3560</v>
      </c>
      <c r="H7" s="41">
        <v>2069</v>
      </c>
      <c r="I7" s="41">
        <v>2326</v>
      </c>
      <c r="J7" s="41">
        <v>3814</v>
      </c>
      <c r="K7">
        <v>472</v>
      </c>
      <c r="L7" s="41">
        <v>-5665</v>
      </c>
      <c r="M7" s="41">
        <v>-7265</v>
      </c>
      <c r="N7" s="41">
        <v>2127</v>
      </c>
    </row>
    <row r="8" spans="2:14" x14ac:dyDescent="0.3">
      <c r="B8" s="2" t="s">
        <v>126</v>
      </c>
      <c r="C8" s="41">
        <v>4694</v>
      </c>
      <c r="D8" s="41">
        <v>3598</v>
      </c>
      <c r="E8" s="41">
        <v>3947</v>
      </c>
      <c r="F8" s="41">
        <v>9301</v>
      </c>
      <c r="G8" s="41">
        <v>7320</v>
      </c>
      <c r="H8" s="41">
        <v>-4692</v>
      </c>
      <c r="I8" s="41">
        <v>-8085</v>
      </c>
      <c r="J8" s="41">
        <v>5748</v>
      </c>
      <c r="K8" s="41">
        <v>-7012</v>
      </c>
      <c r="L8" s="41">
        <v>6945</v>
      </c>
      <c r="M8" s="41">
        <v>13706</v>
      </c>
      <c r="N8" s="41">
        <v>1303</v>
      </c>
    </row>
    <row r="9" spans="2:14" x14ac:dyDescent="0.3">
      <c r="B9" s="2" t="s">
        <v>127</v>
      </c>
      <c r="C9">
        <v>0</v>
      </c>
      <c r="D9">
        <v>0</v>
      </c>
      <c r="E9">
        <v>-520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3">
      <c r="B10" s="2" t="s">
        <v>128</v>
      </c>
      <c r="C10" s="41">
        <v>1870</v>
      </c>
      <c r="D10">
        <v>-398</v>
      </c>
      <c r="E10" s="41">
        <v>5852</v>
      </c>
      <c r="F10" s="41">
        <v>4727</v>
      </c>
      <c r="G10">
        <v>494</v>
      </c>
      <c r="H10" s="41">
        <v>4512</v>
      </c>
      <c r="I10">
        <v>875</v>
      </c>
      <c r="J10" s="41">
        <v>-4150</v>
      </c>
      <c r="K10" s="41">
        <v>-4396</v>
      </c>
      <c r="L10" s="41">
        <v>-2194</v>
      </c>
      <c r="M10" s="41">
        <v>2760</v>
      </c>
      <c r="N10" s="41">
        <v>1153</v>
      </c>
    </row>
    <row r="11" spans="2:14" x14ac:dyDescent="0.3">
      <c r="B11" s="2" t="s">
        <v>129</v>
      </c>
      <c r="C11" s="41">
        <v>4157</v>
      </c>
      <c r="D11" s="41">
        <v>-3672</v>
      </c>
      <c r="E11" s="41">
        <v>1313</v>
      </c>
      <c r="F11" s="41">
        <v>3254</v>
      </c>
      <c r="G11" s="41">
        <v>-6434</v>
      </c>
      <c r="H11" s="41">
        <v>-7221</v>
      </c>
      <c r="I11" s="41">
        <v>5065</v>
      </c>
      <c r="J11">
        <v>-93</v>
      </c>
      <c r="K11" s="41">
        <v>-10750</v>
      </c>
      <c r="L11" s="41">
        <v>-3127</v>
      </c>
      <c r="M11" s="41">
        <v>7325</v>
      </c>
      <c r="N11" s="41">
        <v>8156</v>
      </c>
    </row>
    <row r="12" spans="2:14" x14ac:dyDescent="0.3">
      <c r="B12" s="2" t="s">
        <v>130</v>
      </c>
      <c r="C12" s="41">
        <v>-4308</v>
      </c>
      <c r="D12" s="41">
        <v>-4194</v>
      </c>
      <c r="E12" s="41">
        <v>-2040</v>
      </c>
      <c r="F12" s="41">
        <v>-1895</v>
      </c>
      <c r="G12" s="41">
        <v>-3021</v>
      </c>
      <c r="H12" s="41">
        <v>-2659</v>
      </c>
      <c r="I12" s="41">
        <v>-1785</v>
      </c>
      <c r="J12" s="41">
        <v>-2105</v>
      </c>
      <c r="K12" s="41">
        <v>-1910</v>
      </c>
      <c r="L12" s="41">
        <v>-3179</v>
      </c>
      <c r="M12" s="41">
        <v>-4516</v>
      </c>
      <c r="N12" s="41">
        <v>-3991</v>
      </c>
    </row>
    <row r="13" spans="2:14" x14ac:dyDescent="0.3">
      <c r="B13" s="2" t="s">
        <v>151</v>
      </c>
      <c r="C13" s="41">
        <v>-27991</v>
      </c>
      <c r="D13" s="41">
        <v>-36232</v>
      </c>
      <c r="E13" s="41">
        <v>-36694</v>
      </c>
      <c r="F13" s="41">
        <v>-39571</v>
      </c>
      <c r="G13" s="41">
        <v>-25139</v>
      </c>
      <c r="H13" s="41">
        <v>-20878</v>
      </c>
      <c r="I13" s="41">
        <v>-33115</v>
      </c>
      <c r="J13" s="41">
        <v>-25672</v>
      </c>
      <c r="K13" s="41">
        <v>-4444</v>
      </c>
      <c r="L13" s="41">
        <v>-15417</v>
      </c>
      <c r="M13" s="41">
        <v>-22781</v>
      </c>
      <c r="N13" s="41">
        <v>-49982</v>
      </c>
    </row>
    <row r="14" spans="2:14" x14ac:dyDescent="0.3">
      <c r="B14" s="2" t="s">
        <v>131</v>
      </c>
      <c r="C14" s="41">
        <v>-26975</v>
      </c>
      <c r="D14" s="41">
        <v>-31962</v>
      </c>
      <c r="E14" s="41">
        <v>-31503</v>
      </c>
      <c r="F14" s="41">
        <v>-16072</v>
      </c>
      <c r="G14" s="41">
        <v>-35079</v>
      </c>
      <c r="H14" s="41">
        <v>-35304</v>
      </c>
      <c r="I14" s="41">
        <v>-29702</v>
      </c>
      <c r="J14" s="41">
        <v>-20205</v>
      </c>
      <c r="K14" s="41">
        <v>-15168</v>
      </c>
      <c r="L14" s="41">
        <v>-19230</v>
      </c>
      <c r="M14" s="41">
        <v>-31414</v>
      </c>
      <c r="N14" s="41">
        <v>-38042</v>
      </c>
    </row>
    <row r="15" spans="2:14" x14ac:dyDescent="0.3">
      <c r="B15" s="2" t="s">
        <v>132</v>
      </c>
      <c r="C15">
        <v>50</v>
      </c>
      <c r="D15">
        <v>74</v>
      </c>
      <c r="E15">
        <v>59</v>
      </c>
      <c r="F15">
        <v>53</v>
      </c>
      <c r="G15">
        <v>30</v>
      </c>
      <c r="H15">
        <v>67</v>
      </c>
      <c r="I15">
        <v>171</v>
      </c>
      <c r="J15">
        <v>351</v>
      </c>
      <c r="K15">
        <v>230</v>
      </c>
      <c r="L15">
        <v>285</v>
      </c>
      <c r="M15">
        <v>231</v>
      </c>
      <c r="N15">
        <v>974</v>
      </c>
    </row>
    <row r="16" spans="2:14" x14ac:dyDescent="0.3">
      <c r="B16" s="2" t="s">
        <v>133</v>
      </c>
      <c r="C16">
        <v>-429</v>
      </c>
      <c r="D16" s="41">
        <v>-5461</v>
      </c>
      <c r="E16" s="41">
        <v>-4728</v>
      </c>
      <c r="F16">
        <v>-6</v>
      </c>
      <c r="G16">
        <v>-329</v>
      </c>
      <c r="H16">
        <v>-130</v>
      </c>
      <c r="I16" s="41">
        <v>-1439</v>
      </c>
      <c r="J16" s="41">
        <v>-7530</v>
      </c>
      <c r="K16" s="41">
        <v>-3008</v>
      </c>
      <c r="L16">
        <v>-50</v>
      </c>
      <c r="M16">
        <v>-74</v>
      </c>
      <c r="N16" s="41">
        <v>-12677</v>
      </c>
    </row>
    <row r="17" spans="2:14" x14ac:dyDescent="0.3">
      <c r="B17" s="2" t="s">
        <v>134</v>
      </c>
      <c r="C17">
        <v>4</v>
      </c>
      <c r="D17">
        <v>42</v>
      </c>
      <c r="E17">
        <v>89</v>
      </c>
      <c r="F17" s="41">
        <v>1965</v>
      </c>
      <c r="G17" s="41">
        <v>2381</v>
      </c>
      <c r="H17" s="41">
        <v>5644</v>
      </c>
      <c r="I17">
        <v>21</v>
      </c>
      <c r="J17">
        <v>226</v>
      </c>
      <c r="K17">
        <v>104</v>
      </c>
      <c r="L17" s="41">
        <v>6895</v>
      </c>
      <c r="M17" s="41">
        <v>10821</v>
      </c>
      <c r="N17">
        <v>111</v>
      </c>
    </row>
    <row r="18" spans="2:14" x14ac:dyDescent="0.3">
      <c r="B18" s="2" t="s">
        <v>135</v>
      </c>
      <c r="C18">
        <v>653</v>
      </c>
      <c r="D18">
        <v>698</v>
      </c>
      <c r="E18">
        <v>731</v>
      </c>
      <c r="F18">
        <v>638</v>
      </c>
      <c r="G18">
        <v>690</v>
      </c>
      <c r="H18">
        <v>761</v>
      </c>
      <c r="I18" s="41">
        <v>1104</v>
      </c>
      <c r="J18">
        <v>428</v>
      </c>
      <c r="K18">
        <v>653</v>
      </c>
      <c r="L18">
        <v>973</v>
      </c>
      <c r="M18" s="41">
        <v>2493</v>
      </c>
      <c r="N18" s="41">
        <v>2420</v>
      </c>
    </row>
    <row r="19" spans="2:14" x14ac:dyDescent="0.3">
      <c r="B19" s="2" t="s">
        <v>136</v>
      </c>
      <c r="C19">
        <v>40</v>
      </c>
      <c r="D19">
        <v>80</v>
      </c>
      <c r="E19">
        <v>58</v>
      </c>
      <c r="F19">
        <v>620</v>
      </c>
      <c r="G19" s="41">
        <v>1797</v>
      </c>
      <c r="H19">
        <v>232</v>
      </c>
      <c r="I19">
        <v>21</v>
      </c>
      <c r="J19">
        <v>18</v>
      </c>
      <c r="K19">
        <v>32</v>
      </c>
      <c r="L19">
        <v>46</v>
      </c>
      <c r="M19">
        <v>47</v>
      </c>
      <c r="N19">
        <v>64</v>
      </c>
    </row>
    <row r="20" spans="2:14" x14ac:dyDescent="0.3">
      <c r="B20" s="2" t="s">
        <v>137</v>
      </c>
      <c r="C20">
        <v>0</v>
      </c>
      <c r="D20">
        <v>-160</v>
      </c>
      <c r="E20">
        <v>0</v>
      </c>
      <c r="F20">
        <v>-107</v>
      </c>
      <c r="G20">
        <v>-4</v>
      </c>
      <c r="H20">
        <v>-9</v>
      </c>
      <c r="I20">
        <v>-606</v>
      </c>
      <c r="J20">
        <v>-10</v>
      </c>
      <c r="K20">
        <v>0</v>
      </c>
      <c r="L20">
        <v>0</v>
      </c>
      <c r="M20">
        <v>-150</v>
      </c>
      <c r="N20">
        <v>0</v>
      </c>
    </row>
    <row r="21" spans="2:14" x14ac:dyDescent="0.3">
      <c r="B21" s="2" t="s">
        <v>138</v>
      </c>
      <c r="C21">
        <v>0</v>
      </c>
      <c r="D21">
        <v>0</v>
      </c>
      <c r="E21">
        <v>0</v>
      </c>
      <c r="F21">
        <v>0</v>
      </c>
      <c r="G21">
        <v>14</v>
      </c>
      <c r="H21">
        <v>533</v>
      </c>
      <c r="I21">
        <v>0</v>
      </c>
      <c r="J21">
        <v>0</v>
      </c>
      <c r="K21">
        <v>0</v>
      </c>
      <c r="L21">
        <v>19</v>
      </c>
      <c r="M21">
        <v>107</v>
      </c>
      <c r="N21">
        <v>765</v>
      </c>
    </row>
    <row r="22" spans="2:14" x14ac:dyDescent="0.3">
      <c r="B22" s="2" t="s">
        <v>139</v>
      </c>
      <c r="C22">
        <v>-185</v>
      </c>
      <c r="D22">
        <v>0</v>
      </c>
      <c r="E22">
        <v>-111</v>
      </c>
      <c r="F22">
        <v>0</v>
      </c>
      <c r="G22">
        <v>0</v>
      </c>
      <c r="H22">
        <v>-8</v>
      </c>
      <c r="I22">
        <v>-27</v>
      </c>
      <c r="J22">
        <v>0</v>
      </c>
      <c r="K22">
        <v>-98</v>
      </c>
      <c r="L22">
        <v>0</v>
      </c>
      <c r="M22">
        <v>0</v>
      </c>
      <c r="N22">
        <v>-688</v>
      </c>
    </row>
    <row r="23" spans="2:14" x14ac:dyDescent="0.3">
      <c r="B23" s="2" t="s">
        <v>140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-25</v>
      </c>
      <c r="N23">
        <v>-20</v>
      </c>
    </row>
    <row r="24" spans="2:14" x14ac:dyDescent="0.3">
      <c r="B24" s="2" t="s">
        <v>141</v>
      </c>
      <c r="C24" s="41">
        <v>-1149</v>
      </c>
      <c r="D24">
        <v>456</v>
      </c>
      <c r="E24" s="41">
        <v>-1289</v>
      </c>
      <c r="F24" s="41">
        <v>-26663</v>
      </c>
      <c r="G24" s="41">
        <v>5360</v>
      </c>
      <c r="H24" s="41">
        <v>7335</v>
      </c>
      <c r="I24" s="41">
        <v>-2659</v>
      </c>
      <c r="J24" s="41">
        <v>1051</v>
      </c>
      <c r="K24" s="41">
        <v>12813</v>
      </c>
      <c r="L24" s="41">
        <v>-4357</v>
      </c>
      <c r="M24" s="41">
        <v>-4817</v>
      </c>
      <c r="N24" s="41">
        <v>-2889</v>
      </c>
    </row>
    <row r="25" spans="2:14" x14ac:dyDescent="0.3">
      <c r="B25" s="2" t="s">
        <v>152</v>
      </c>
      <c r="C25" s="41">
        <v>-3883</v>
      </c>
      <c r="D25" s="41">
        <v>5201</v>
      </c>
      <c r="E25" s="41">
        <v>-3795</v>
      </c>
      <c r="F25" s="41">
        <v>6205</v>
      </c>
      <c r="G25" s="41">
        <v>2012</v>
      </c>
      <c r="H25" s="41">
        <v>8830</v>
      </c>
      <c r="I25" s="41">
        <v>3390</v>
      </c>
      <c r="J25" s="41">
        <v>9904</v>
      </c>
      <c r="K25" s="41">
        <v>-3380</v>
      </c>
      <c r="L25" s="41">
        <v>-26243</v>
      </c>
      <c r="M25" s="41">
        <v>-37006</v>
      </c>
      <c r="N25" s="41">
        <v>-18786</v>
      </c>
    </row>
    <row r="26" spans="2:14" x14ac:dyDescent="0.3">
      <c r="B26" s="2" t="s">
        <v>142</v>
      </c>
      <c r="C26">
        <v>0</v>
      </c>
      <c r="D26">
        <v>0</v>
      </c>
      <c r="E26" s="41">
        <v>7433</v>
      </c>
      <c r="F26">
        <v>5</v>
      </c>
      <c r="G26">
        <v>0</v>
      </c>
      <c r="H26">
        <v>0</v>
      </c>
      <c r="I26" s="41">
        <v>3889</v>
      </c>
      <c r="J26" s="41">
        <v>2603</v>
      </c>
      <c r="K26">
        <v>19</v>
      </c>
      <c r="L26">
        <v>20</v>
      </c>
      <c r="M26">
        <v>82</v>
      </c>
      <c r="N26" s="41">
        <v>1108</v>
      </c>
    </row>
    <row r="27" spans="2:14" x14ac:dyDescent="0.3">
      <c r="B27" s="2" t="s">
        <v>143</v>
      </c>
      <c r="C27">
        <v>-658</v>
      </c>
      <c r="D27">
        <v>-744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s="2" t="s">
        <v>144</v>
      </c>
      <c r="C28" s="41">
        <v>33258</v>
      </c>
      <c r="D28" s="41">
        <v>36363</v>
      </c>
      <c r="E28" s="41">
        <v>19519</v>
      </c>
      <c r="F28" s="41">
        <v>33390</v>
      </c>
      <c r="G28" s="41">
        <v>37482</v>
      </c>
      <c r="H28" s="41">
        <v>51128</v>
      </c>
      <c r="I28" s="41">
        <v>38297</v>
      </c>
      <c r="J28" s="41">
        <v>46641</v>
      </c>
      <c r="K28" s="41">
        <v>46578</v>
      </c>
      <c r="L28" s="41">
        <v>43934</v>
      </c>
      <c r="M28" s="41">
        <v>18829</v>
      </c>
      <c r="N28" s="41">
        <v>13384</v>
      </c>
    </row>
    <row r="29" spans="2:14" x14ac:dyDescent="0.3">
      <c r="B29" s="2" t="s">
        <v>145</v>
      </c>
      <c r="C29" s="41">
        <v>-29141</v>
      </c>
      <c r="D29" s="41">
        <v>-23332</v>
      </c>
      <c r="E29" s="41">
        <v>-24924</v>
      </c>
      <c r="F29" s="41">
        <v>-21732</v>
      </c>
      <c r="G29" s="41">
        <v>-29964</v>
      </c>
      <c r="H29" s="41">
        <v>-35198</v>
      </c>
      <c r="I29" s="41">
        <v>-29847</v>
      </c>
      <c r="J29" s="41">
        <v>-29709</v>
      </c>
      <c r="K29" s="41">
        <v>-42816</v>
      </c>
      <c r="L29" s="41">
        <v>-62557</v>
      </c>
      <c r="M29" s="41">
        <v>-47414</v>
      </c>
      <c r="N29" s="41">
        <v>-21443</v>
      </c>
    </row>
    <row r="30" spans="2:14" x14ac:dyDescent="0.3">
      <c r="B30" s="2" t="s">
        <v>146</v>
      </c>
      <c r="C30" s="41">
        <v>-6171</v>
      </c>
      <c r="D30" s="41">
        <v>-6307</v>
      </c>
      <c r="E30" s="41">
        <v>-5716</v>
      </c>
      <c r="F30" s="41">
        <v>-5336</v>
      </c>
      <c r="G30" s="41">
        <v>-5411</v>
      </c>
      <c r="H30" s="41">
        <v>-7005</v>
      </c>
      <c r="I30" s="41">
        <v>-7518</v>
      </c>
      <c r="J30" s="41">
        <v>-8123</v>
      </c>
      <c r="K30" s="41">
        <v>-9251</v>
      </c>
      <c r="L30" s="41">
        <v>-9336</v>
      </c>
      <c r="M30" s="41">
        <v>-9332</v>
      </c>
      <c r="N30" s="41">
        <v>-5814</v>
      </c>
    </row>
    <row r="31" spans="2:14" x14ac:dyDescent="0.3">
      <c r="B31" s="2" t="s">
        <v>147</v>
      </c>
      <c r="C31">
        <v>-722</v>
      </c>
      <c r="D31">
        <v>-720</v>
      </c>
      <c r="E31">
        <v>-108</v>
      </c>
      <c r="F31">
        <v>-121</v>
      </c>
      <c r="G31">
        <v>-96</v>
      </c>
      <c r="H31">
        <v>-95</v>
      </c>
      <c r="I31">
        <v>-57</v>
      </c>
      <c r="J31">
        <v>-30</v>
      </c>
      <c r="K31">
        <v>-100</v>
      </c>
      <c r="L31">
        <v>-141</v>
      </c>
      <c r="M31" s="41">
        <v>-1059</v>
      </c>
      <c r="N31" s="41">
        <v>-2492</v>
      </c>
    </row>
    <row r="32" spans="2:14" x14ac:dyDescent="0.3">
      <c r="B32" s="2" t="s">
        <v>148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41">
        <v>-1346</v>
      </c>
      <c r="J32" s="41">
        <v>-1477</v>
      </c>
      <c r="K32" s="41">
        <v>-1559</v>
      </c>
      <c r="L32" s="41">
        <v>-1517</v>
      </c>
      <c r="M32" s="41">
        <v>-1924</v>
      </c>
      <c r="N32" s="41">
        <v>-2393</v>
      </c>
    </row>
    <row r="33" spans="2:14" x14ac:dyDescent="0.3">
      <c r="B33" s="2" t="s">
        <v>149</v>
      </c>
      <c r="C33">
        <v>-450</v>
      </c>
      <c r="D33">
        <v>-57</v>
      </c>
      <c r="E33">
        <v>0</v>
      </c>
      <c r="F33">
        <v>0</v>
      </c>
      <c r="G33">
        <v>0</v>
      </c>
      <c r="H33">
        <v>0</v>
      </c>
      <c r="I33">
        <v>-29</v>
      </c>
      <c r="J33">
        <v>0</v>
      </c>
      <c r="K33" s="41">
        <v>3750</v>
      </c>
      <c r="L33" s="41">
        <v>3355</v>
      </c>
      <c r="M33" s="41">
        <v>3812</v>
      </c>
      <c r="N33" s="41">
        <v>-1136</v>
      </c>
    </row>
    <row r="34" spans="2:14" x14ac:dyDescent="0.3">
      <c r="B34" s="2" t="s">
        <v>35</v>
      </c>
      <c r="C34" s="41">
        <v>4277</v>
      </c>
      <c r="D34" s="41">
        <v>4500</v>
      </c>
      <c r="E34" s="41">
        <v>-2589</v>
      </c>
      <c r="F34" s="41">
        <v>-3167</v>
      </c>
      <c r="G34">
        <v>730</v>
      </c>
      <c r="H34" s="41">
        <v>6843</v>
      </c>
      <c r="I34" s="41">
        <v>-3092</v>
      </c>
      <c r="J34" s="41">
        <v>13232</v>
      </c>
      <c r="K34" s="41">
        <v>6459</v>
      </c>
      <c r="L34" s="41">
        <v>-6272</v>
      </c>
      <c r="M34" s="41">
        <v>8128</v>
      </c>
      <c r="N34" s="41">
        <v>-5666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Profit &amp; Loss</vt:lpstr>
      <vt:lpstr>Quarters</vt:lpstr>
      <vt:lpstr>Balance Sheet</vt:lpstr>
      <vt:lpstr>Cash Flow</vt:lpstr>
      <vt:lpstr>Customization</vt:lpstr>
      <vt:lpstr>Data&gt;</vt:lpstr>
      <vt:lpstr>Financials</vt:lpstr>
      <vt:lpstr>HistoricaIFS</vt:lpstr>
      <vt:lpstr>Cashflow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sai charan</cp:lastModifiedBy>
  <cp:lastPrinted>2012-12-06T18:14:13Z</cp:lastPrinted>
  <dcterms:created xsi:type="dcterms:W3CDTF">2012-08-17T09:55:37Z</dcterms:created>
  <dcterms:modified xsi:type="dcterms:W3CDTF">2025-09-16T11:28:30Z</dcterms:modified>
</cp:coreProperties>
</file>