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07"/>
  <workbookPr codeName="ThisWorkbook"/>
  <mc:AlternateContent xmlns:mc="http://schemas.openxmlformats.org/markup-compatibility/2006">
    <mc:Choice Requires="x15">
      <x15ac:absPath xmlns:x15ac="http://schemas.microsoft.com/office/spreadsheetml/2010/11/ac" url="https://d.docs.live.net/491e2628f664332b/Documents_Charl/Computer_Technical/Programming_GitHub/AustralianSchoolMaths/WebsiteCreator/spreadsheets/"/>
    </mc:Choice>
  </mc:AlternateContent>
  <xr:revisionPtr revIDLastSave="4807" documentId="11_F25DC773A252ABDACC10483119D84B8A5ADE58E6" xr6:coauthVersionLast="47" xr6:coauthVersionMax="47" xr10:uidLastSave="{79E98EB8-7A40-4E98-80B2-B8C47B029178}"/>
  <bookViews>
    <workbookView xWindow="-110" yWindow="-110" windowWidth="38620" windowHeight="21220" activeTab="5" xr2:uid="{00000000-000D-0000-FFFF-FFFF00000000}"/>
  </bookViews>
  <sheets>
    <sheet name="TableOfContents" sheetId="15" r:id="rId1"/>
    <sheet name="Definitions" sheetId="6" r:id="rId2"/>
    <sheet name="Uniform" sheetId="4" r:id="rId3"/>
    <sheet name="Quadratic" sheetId="10" r:id="rId4"/>
    <sheet name="NormDist" sheetId="12" r:id="rId5"/>
    <sheet name="StandardNormDist" sheetId="13" r:id="rId6"/>
    <sheet name="Workings_StdNorm" sheetId="14" state="hidden" r:id="rId7"/>
    <sheet name="Workings_Quadratic" sheetId="11" state="hidden" r:id="rId8"/>
    <sheet name="Workings_Uniform" sheetId="8" state="hidden" r:id="rId9"/>
  </sheets>
  <definedNames>
    <definedName name="fn_ReturnOneThird">_xlfn.LAMBDA(_xlpm.x, 1 / 3 * LEN(_xlpm.x) / LEN(_xlpm.x))</definedName>
    <definedName name="maths._integrate_with_multi_trapazoids" hidden="1">_xlfn.LAMBDA(_xlpm.fn,_xlpm.a,_xlpm.b,_xlpm.n, _xlfn.LET(_xlpm.trapezoid_width, (_xlpm.b - _xlpm.a) / _xlpm.n, _xlpm.x_values_ex_a_and_b, _xlpm.a + _xlfn.SEQUENCE(_xlpm.n - 1) * _xlpm.trapezoid_width, _xlpm.return_value, (_xlpm.b - _xlpm.a) / (2 * _xlpm.n) * (_xlpm.fn(_xlpm.a) + _xlpm.fn(_xlpm.b) + 2 * SUM(_xlpm.fn(_xlpm.x_values_ex_a_and_b))), _xlpm.return_value))</definedName>
    <definedName name="maths._integrate_with_one_trapazoid" hidden="1">_xlfn.LAMBDA(_xlpm.fn,_xlpm.a,_xlpm.b, _xlfn.LET(_xlpm.trapezoid_width, (_xlpm.b - _xlpm.a), _xlpm.return_value, (_xlpm.b - _xlpm.a) / 2 * (_xlpm.fn(_xlpm.a) + _xlpm.fn(_xlpm.b)), _xlpm.return_value))</definedName>
    <definedName name="maths.integrate_trapezoid_rule">_xlfn.LAMBDA(_xlpm.fn,_xlpm.a,_xlpm.b,_xlop.n, _xlfn.LET(_xlpm.default_num_trapezoids, 100, _xlpm.n, IF(_xlfn.ISOMITTED(_xlpm.n), _xlpm.default_num_trapezoids, _xlpm.n), _xlpm.return_value, IF(_xlpm.n = 1, maths._integrate_with_one_trapazoid(_xlpm.fn, _xlpm.a, _xlpm.b), maths._integrate_with_multi_trapazoids(_xlpm.fn, _xlpm.a, _xlpm.b, _xlpm.n)), _xlpm.return_value))</definedName>
    <definedName name="normal_mean">NormDist!$C$7</definedName>
    <definedName name="normal_std_dev">NormDist!$C$8</definedName>
    <definedName name="quadratic_end_value">Quadratic!$C$16</definedName>
    <definedName name="quadratic_graph_max_display">Workings_Quadratic!$N$9</definedName>
    <definedName name="quadratic_graph_min_display">Workings_Quadratic!$N$8</definedName>
    <definedName name="quadratic_selector_values">_xlfn.ANCHORARRAY(Workings_Quadratic!$B$6)</definedName>
    <definedName name="quadratic_start_value">Quadratic!$C$15</definedName>
    <definedName name="standard_normal_end_value">StandardNormDist!$C$13</definedName>
    <definedName name="standard_normal_mean">StandardNormDist!$C$6</definedName>
    <definedName name="standard_normal_selector_values">_xlfn.ANCHORARRAY(Workings_StdNorm!$B$6)</definedName>
    <definedName name="standard_normal_start_value">StandardNormDist!$C$12</definedName>
    <definedName name="standard_normal_std_dev">StandardNormDist!$C$7</definedName>
    <definedName name="uniform_end_value">Uniform!$C$16</definedName>
    <definedName name="uniform_graph_max_display">Workings_Uniform!$N$9</definedName>
    <definedName name="uniform_graph_min_display">Workings_Uniform!$N$8</definedName>
    <definedName name="uniform_selector_values">_xlfn.ANCHORARRAY(Workings_Uniform!$B$5)</definedName>
    <definedName name="uniform_start_value">Uniform!$C$15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13" l="1"/>
  <c r="I49" i="13"/>
  <c r="I48" i="13"/>
  <c r="I47" i="13"/>
  <c r="H12" i="14"/>
  <c r="F12" i="14"/>
  <c r="S21" i="13"/>
  <c r="M69" i="14"/>
  <c r="O69" i="14" s="1"/>
  <c r="M68" i="14"/>
  <c r="O68" i="14" s="1"/>
  <c r="M67" i="14"/>
  <c r="O67" i="14" s="1"/>
  <c r="M66" i="14"/>
  <c r="O66" i="14" s="1"/>
  <c r="M65" i="14"/>
  <c r="O65" i="14" s="1"/>
  <c r="M64" i="14"/>
  <c r="O64" i="14" s="1"/>
  <c r="M63" i="14"/>
  <c r="O63" i="14" s="1"/>
  <c r="M62" i="14"/>
  <c r="O62" i="14" s="1"/>
  <c r="M61" i="14"/>
  <c r="O61" i="14" s="1"/>
  <c r="M60" i="14"/>
  <c r="O60" i="14" s="1"/>
  <c r="M59" i="14"/>
  <c r="O59" i="14" s="1"/>
  <c r="M58" i="14"/>
  <c r="O58" i="14" s="1"/>
  <c r="M57" i="14"/>
  <c r="O57" i="14" s="1"/>
  <c r="M56" i="14"/>
  <c r="O56" i="14" s="1"/>
  <c r="M55" i="14"/>
  <c r="O55" i="14" s="1"/>
  <c r="M54" i="14"/>
  <c r="O54" i="14" s="1"/>
  <c r="M53" i="14"/>
  <c r="O53" i="14" s="1"/>
  <c r="M52" i="14"/>
  <c r="O52" i="14" s="1"/>
  <c r="M51" i="14"/>
  <c r="O51" i="14" s="1"/>
  <c r="M50" i="14"/>
  <c r="O50" i="14" s="1"/>
  <c r="M49" i="14"/>
  <c r="O49" i="14" s="1"/>
  <c r="M48" i="14"/>
  <c r="O48" i="14" s="1"/>
  <c r="M47" i="14"/>
  <c r="O47" i="14" s="1"/>
  <c r="M46" i="14"/>
  <c r="O46" i="14" s="1"/>
  <c r="M45" i="14"/>
  <c r="O45" i="14" s="1"/>
  <c r="M44" i="14"/>
  <c r="O44" i="14" s="1"/>
  <c r="M43" i="14"/>
  <c r="O43" i="14" s="1"/>
  <c r="M42" i="14"/>
  <c r="O42" i="14" s="1"/>
  <c r="M41" i="14"/>
  <c r="O41" i="14" s="1"/>
  <c r="M40" i="14"/>
  <c r="O40" i="14" s="1"/>
  <c r="M39" i="14"/>
  <c r="M38" i="14"/>
  <c r="O38" i="14" s="1"/>
  <c r="M37" i="14"/>
  <c r="O37" i="14" s="1"/>
  <c r="M36" i="14"/>
  <c r="O36" i="14" s="1"/>
  <c r="M35" i="14"/>
  <c r="O35" i="14" s="1"/>
  <c r="M34" i="14"/>
  <c r="O34" i="14" s="1"/>
  <c r="M33" i="14"/>
  <c r="O33" i="14" s="1"/>
  <c r="M32" i="14"/>
  <c r="O32" i="14" s="1"/>
  <c r="M31" i="14"/>
  <c r="O31" i="14" s="1"/>
  <c r="M30" i="14"/>
  <c r="O30" i="14" s="1"/>
  <c r="M29" i="14"/>
  <c r="O29" i="14" s="1"/>
  <c r="M28" i="14"/>
  <c r="O28" i="14" s="1"/>
  <c r="M27" i="14"/>
  <c r="M26" i="14"/>
  <c r="O26" i="14" s="1"/>
  <c r="M25" i="14"/>
  <c r="O25" i="14" s="1"/>
  <c r="M24" i="14"/>
  <c r="O24" i="14" s="1"/>
  <c r="M23" i="14"/>
  <c r="M22" i="14"/>
  <c r="O22" i="14" s="1"/>
  <c r="M21" i="14"/>
  <c r="O21" i="14" s="1"/>
  <c r="M71" i="14"/>
  <c r="N71" i="14" s="1"/>
  <c r="M70" i="14"/>
  <c r="O70" i="14" s="1"/>
  <c r="M20" i="14"/>
  <c r="M19" i="14"/>
  <c r="N19" i="14" s="1"/>
  <c r="M72" i="14"/>
  <c r="N72" i="14" s="1"/>
  <c r="M18" i="14"/>
  <c r="N18" i="14" s="1"/>
  <c r="L20" i="14" a="1"/>
  <c r="B6" i="14" a="1"/>
  <c r="B6" i="14" s="1"/>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L18" i="12" a="1"/>
  <c r="L18" i="12" s="1"/>
  <c r="M18" i="12" s="1"/>
  <c r="L19" i="12" a="1"/>
  <c r="L19" i="12" s="1"/>
  <c r="M19" i="12" s="1"/>
  <c r="L20" i="12" a="1"/>
  <c r="L20" i="12" s="1"/>
  <c r="M20" i="12" s="1"/>
  <c r="L21" i="12" a="1"/>
  <c r="L21" i="12" s="1"/>
  <c r="M21" i="12" s="1"/>
  <c r="L22" i="12" a="1"/>
  <c r="L22" i="12" s="1"/>
  <c r="M22" i="12" s="1"/>
  <c r="L23" i="12" a="1"/>
  <c r="L23" i="12" s="1"/>
  <c r="M23" i="12" s="1"/>
  <c r="L24" i="12" a="1"/>
  <c r="L24" i="12" s="1"/>
  <c r="M24" i="12" s="1"/>
  <c r="L25" i="12" a="1"/>
  <c r="L25" i="12" s="1"/>
  <c r="M25" i="12" s="1"/>
  <c r="L26" i="12" a="1"/>
  <c r="L26" i="12" s="1"/>
  <c r="M26" i="12" s="1"/>
  <c r="L27" i="12" a="1"/>
  <c r="L27" i="12" s="1"/>
  <c r="M27" i="12" s="1"/>
  <c r="L28" i="12" a="1"/>
  <c r="L28" i="12" s="1"/>
  <c r="M28" i="12" s="1"/>
  <c r="L29" i="12" a="1"/>
  <c r="L29" i="12" s="1"/>
  <c r="M29" i="12" s="1"/>
  <c r="L30" i="12" a="1"/>
  <c r="L30" i="12" s="1"/>
  <c r="M30" i="12" s="1"/>
  <c r="L31" i="12" a="1"/>
  <c r="L31" i="12" s="1"/>
  <c r="M31" i="12" s="1"/>
  <c r="L32" i="12" a="1"/>
  <c r="L32" i="12" s="1"/>
  <c r="M32" i="12" s="1"/>
  <c r="L33" i="12" a="1"/>
  <c r="L33" i="12" s="1"/>
  <c r="M33" i="12" s="1"/>
  <c r="L34" i="12" a="1"/>
  <c r="L34" i="12" s="1"/>
  <c r="M34" i="12" s="1"/>
  <c r="L35" i="12" a="1"/>
  <c r="L35" i="12" s="1"/>
  <c r="M35" i="12" s="1"/>
  <c r="L36" i="12" a="1"/>
  <c r="L36" i="12" s="1"/>
  <c r="M36" i="12" s="1"/>
  <c r="L37" i="12" a="1"/>
  <c r="L37" i="12" s="1"/>
  <c r="M37" i="12" s="1"/>
  <c r="L38" i="12" a="1"/>
  <c r="L38" i="12" s="1"/>
  <c r="M38" i="12" s="1"/>
  <c r="L39" i="12" a="1"/>
  <c r="L39" i="12" s="1"/>
  <c r="M39" i="12" s="1"/>
  <c r="L40" i="12" a="1"/>
  <c r="L40" i="12" s="1"/>
  <c r="M40" i="12" s="1"/>
  <c r="L41" i="12" a="1"/>
  <c r="L41" i="12" s="1"/>
  <c r="M41" i="12" s="1"/>
  <c r="L42" i="12" a="1"/>
  <c r="L42" i="12" s="1"/>
  <c r="M42" i="12" s="1"/>
  <c r="L43" i="12" a="1"/>
  <c r="L43" i="12" s="1"/>
  <c r="M43" i="12" s="1"/>
  <c r="L44" i="12" a="1"/>
  <c r="L44" i="12" s="1"/>
  <c r="M44" i="12" s="1"/>
  <c r="L45" i="12" a="1"/>
  <c r="L45" i="12" s="1"/>
  <c r="M45" i="12" s="1"/>
  <c r="L46" i="12" a="1"/>
  <c r="L46" i="12" s="1"/>
  <c r="M46" i="12" s="1"/>
  <c r="L47" i="12" a="1"/>
  <c r="L47" i="12" s="1"/>
  <c r="M47" i="12" s="1"/>
  <c r="L48" i="12" a="1"/>
  <c r="L48" i="12" s="1"/>
  <c r="M48" i="12" s="1"/>
  <c r="L49" i="12" a="1"/>
  <c r="L49" i="12" s="1"/>
  <c r="M49" i="12" s="1"/>
  <c r="L50" i="12" a="1"/>
  <c r="L50" i="12" s="1"/>
  <c r="M50" i="12" s="1"/>
  <c r="L51" i="12" a="1"/>
  <c r="L51" i="12" s="1"/>
  <c r="M51" i="12" s="1"/>
  <c r="L52" i="12" a="1"/>
  <c r="L52" i="12" s="1"/>
  <c r="M52" i="12" s="1"/>
  <c r="L53" i="12" a="1"/>
  <c r="L53" i="12" s="1"/>
  <c r="M53" i="12" s="1"/>
  <c r="L54" i="12" a="1"/>
  <c r="L54" i="12" s="1"/>
  <c r="M54" i="12" s="1"/>
  <c r="L55" i="12" a="1"/>
  <c r="L55" i="12" s="1"/>
  <c r="M55" i="12" s="1"/>
  <c r="L56" i="12" a="1"/>
  <c r="L56" i="12" s="1"/>
  <c r="M56" i="12" s="1"/>
  <c r="L57" i="12" a="1"/>
  <c r="L57" i="12" s="1"/>
  <c r="M57" i="12" s="1"/>
  <c r="L58" i="12" a="1"/>
  <c r="L58" i="12" s="1"/>
  <c r="M58" i="12" s="1"/>
  <c r="L59" i="12" a="1"/>
  <c r="L59" i="12" s="1"/>
  <c r="M59" i="12" s="1"/>
  <c r="L60" i="12" a="1"/>
  <c r="L60" i="12" s="1"/>
  <c r="M60" i="12" s="1"/>
  <c r="L61" i="12" a="1"/>
  <c r="L61" i="12" s="1"/>
  <c r="M61" i="12" s="1"/>
  <c r="L62" i="12" a="1"/>
  <c r="L62" i="12" s="1"/>
  <c r="M62" i="12" s="1"/>
  <c r="L63" i="12" a="1"/>
  <c r="L63" i="12" s="1"/>
  <c r="M63" i="12" s="1"/>
  <c r="L64" i="12" a="1"/>
  <c r="L64" i="12" s="1"/>
  <c r="M64" i="12" s="1"/>
  <c r="L65" i="12" a="1"/>
  <c r="L65" i="12" s="1"/>
  <c r="M65" i="12" s="1"/>
  <c r="L66" i="12" a="1"/>
  <c r="L66" i="12" s="1"/>
  <c r="M66" i="12" s="1"/>
  <c r="L67" i="12" a="1"/>
  <c r="L67" i="12" s="1"/>
  <c r="M67" i="12" s="1"/>
  <c r="L68" i="12" a="1"/>
  <c r="L68" i="12" s="1"/>
  <c r="M68" i="12" s="1"/>
  <c r="L69" i="12" a="1"/>
  <c r="L69" i="12" s="1"/>
  <c r="M69" i="12" s="1"/>
  <c r="L70" i="12" a="1"/>
  <c r="L70" i="12" s="1"/>
  <c r="M70" i="12" s="1"/>
  <c r="G1" i="10"/>
  <c r="G57" i="10"/>
  <c r="G56" i="10"/>
  <c r="G55" i="10"/>
  <c r="H12" i="11"/>
  <c r="F12" i="11"/>
  <c r="R24" i="4"/>
  <c r="Q24" i="4"/>
  <c r="R24" i="10"/>
  <c r="M71" i="11"/>
  <c r="N71" i="11" s="1"/>
  <c r="M70" i="11"/>
  <c r="N70" i="11" s="1"/>
  <c r="O70" i="11" s="1"/>
  <c r="M69" i="11"/>
  <c r="M68" i="11"/>
  <c r="M67" i="11"/>
  <c r="M66" i="11"/>
  <c r="M65" i="11"/>
  <c r="M64" i="11"/>
  <c r="M63" i="11"/>
  <c r="M62" i="11"/>
  <c r="M61" i="11"/>
  <c r="M60" i="11"/>
  <c r="M59" i="11"/>
  <c r="M58" i="11"/>
  <c r="M57" i="11"/>
  <c r="M56" i="11"/>
  <c r="M55" i="11"/>
  <c r="M54" i="11"/>
  <c r="M53" i="11"/>
  <c r="M52" i="11"/>
  <c r="M51" i="11"/>
  <c r="M50" i="11"/>
  <c r="M49" i="11"/>
  <c r="M48" i="11"/>
  <c r="M47" i="11"/>
  <c r="M46" i="11"/>
  <c r="M45" i="11"/>
  <c r="M44" i="11"/>
  <c r="M43" i="11"/>
  <c r="M42" i="11"/>
  <c r="M41" i="11"/>
  <c r="M40" i="11"/>
  <c r="M39" i="11"/>
  <c r="M38" i="11"/>
  <c r="M37" i="11"/>
  <c r="M36" i="11"/>
  <c r="M35" i="11"/>
  <c r="M34" i="11"/>
  <c r="M33" i="11"/>
  <c r="M32" i="11"/>
  <c r="M31" i="11"/>
  <c r="N31" i="11" s="1"/>
  <c r="O31" i="11" s="1"/>
  <c r="M30" i="11"/>
  <c r="M29" i="11"/>
  <c r="M28" i="11"/>
  <c r="M27" i="11"/>
  <c r="N27" i="11" s="1"/>
  <c r="O27" i="11" s="1"/>
  <c r="M26" i="11"/>
  <c r="M25" i="11"/>
  <c r="M24" i="11"/>
  <c r="M23" i="11"/>
  <c r="N23" i="11" s="1"/>
  <c r="O23" i="11" s="1"/>
  <c r="M22" i="11"/>
  <c r="M21" i="11"/>
  <c r="M20" i="11"/>
  <c r="N20" i="11" s="1"/>
  <c r="O20" i="11" s="1"/>
  <c r="M19" i="11"/>
  <c r="N19" i="11" s="1"/>
  <c r="L20" i="11" a="1"/>
  <c r="O24" i="8"/>
  <c r="Q24" i="10"/>
  <c r="O24" i="10"/>
  <c r="R26" i="10"/>
  <c r="G1" i="4"/>
  <c r="G52" i="4"/>
  <c r="G53" i="4"/>
  <c r="G54" i="4"/>
  <c r="Q88" i="13" l="1"/>
  <c r="Q84" i="13"/>
  <c r="Q80" i="13"/>
  <c r="Q76" i="13"/>
  <c r="Q72" i="13"/>
  <c r="Q68" i="13"/>
  <c r="Q64" i="13"/>
  <c r="Q60" i="13"/>
  <c r="Q56" i="13"/>
  <c r="Q52" i="13"/>
  <c r="Q48" i="13"/>
  <c r="Q44" i="13"/>
  <c r="Q40" i="13"/>
  <c r="Q36" i="13"/>
  <c r="Q32" i="13"/>
  <c r="Q28" i="13"/>
  <c r="Q24" i="13"/>
  <c r="R87" i="13"/>
  <c r="R83" i="13"/>
  <c r="R79" i="13"/>
  <c r="R75" i="13"/>
  <c r="R71" i="13"/>
  <c r="R67" i="13"/>
  <c r="R63" i="13"/>
  <c r="R59" i="13"/>
  <c r="R55" i="13"/>
  <c r="R51" i="13"/>
  <c r="R47" i="13"/>
  <c r="R43" i="13"/>
  <c r="R39" i="13"/>
  <c r="R35" i="13"/>
  <c r="R31" i="13"/>
  <c r="R27" i="13"/>
  <c r="R23" i="13"/>
  <c r="R89" i="13"/>
  <c r="R85" i="13"/>
  <c r="R81" i="13"/>
  <c r="R77" i="13"/>
  <c r="R73" i="13"/>
  <c r="R69" i="13"/>
  <c r="R65" i="13"/>
  <c r="R61" i="13"/>
  <c r="R57" i="13"/>
  <c r="R53" i="13"/>
  <c r="R49" i="13"/>
  <c r="R45" i="13"/>
  <c r="R41" i="13"/>
  <c r="R37" i="13"/>
  <c r="R33" i="13"/>
  <c r="R29" i="13"/>
  <c r="R25" i="13"/>
  <c r="R26" i="13"/>
  <c r="Q85" i="13"/>
  <c r="Q77" i="13"/>
  <c r="Q69" i="13"/>
  <c r="Q61" i="13"/>
  <c r="Q53" i="13"/>
  <c r="Q45" i="13"/>
  <c r="Q37" i="13"/>
  <c r="Q29" i="13"/>
  <c r="Q21" i="13"/>
  <c r="Q26" i="13"/>
  <c r="R88" i="13"/>
  <c r="R84" i="13"/>
  <c r="R80" i="13"/>
  <c r="R76" i="13"/>
  <c r="R72" i="13"/>
  <c r="R68" i="13"/>
  <c r="R64" i="13"/>
  <c r="R60" i="13"/>
  <c r="R56" i="13"/>
  <c r="R52" i="13"/>
  <c r="R48" i="13"/>
  <c r="R44" i="13"/>
  <c r="R40" i="13"/>
  <c r="R36" i="13"/>
  <c r="R32" i="13"/>
  <c r="R28" i="13"/>
  <c r="R24" i="13"/>
  <c r="Q89" i="13"/>
  <c r="Q81" i="13"/>
  <c r="Q73" i="13"/>
  <c r="Q65" i="13"/>
  <c r="Q57" i="13"/>
  <c r="Q49" i="13"/>
  <c r="Q41" i="13"/>
  <c r="Q33" i="13"/>
  <c r="Q25" i="13"/>
  <c r="Q86" i="13"/>
  <c r="Q82" i="13"/>
  <c r="Q78" i="13"/>
  <c r="Q74" i="13"/>
  <c r="Q70" i="13"/>
  <c r="Q66" i="13"/>
  <c r="Q62" i="13"/>
  <c r="Q58" i="13"/>
  <c r="Q54" i="13"/>
  <c r="Q50" i="13"/>
  <c r="Q46" i="13"/>
  <c r="Q42" i="13"/>
  <c r="Q38" i="13"/>
  <c r="Q34" i="13"/>
  <c r="Q30" i="13"/>
  <c r="Q22" i="13"/>
  <c r="R86" i="13"/>
  <c r="R82" i="13"/>
  <c r="R78" i="13"/>
  <c r="R74" i="13"/>
  <c r="R70" i="13"/>
  <c r="R66" i="13"/>
  <c r="R62" i="13"/>
  <c r="R58" i="13"/>
  <c r="R54" i="13"/>
  <c r="R50" i="13"/>
  <c r="R46" i="13"/>
  <c r="R42" i="13"/>
  <c r="R38" i="13"/>
  <c r="R34" i="13"/>
  <c r="R30" i="13"/>
  <c r="R22" i="13"/>
  <c r="Q87" i="13"/>
  <c r="Q83" i="13"/>
  <c r="Q79" i="13"/>
  <c r="Q75" i="13"/>
  <c r="Q71" i="13"/>
  <c r="Q67" i="13"/>
  <c r="Q63" i="13"/>
  <c r="Q59" i="13"/>
  <c r="Q55" i="13"/>
  <c r="Q51" i="13"/>
  <c r="Q47" i="13"/>
  <c r="Q43" i="13"/>
  <c r="Q39" i="13"/>
  <c r="Q35" i="13"/>
  <c r="Q31" i="13"/>
  <c r="Q27" i="13"/>
  <c r="Q23" i="13"/>
  <c r="N68" i="14"/>
  <c r="N31" i="14"/>
  <c r="N70" i="14"/>
  <c r="N20" i="14"/>
  <c r="O20" i="14"/>
  <c r="N27" i="14"/>
  <c r="O27" i="14"/>
  <c r="N35" i="14"/>
  <c r="N23" i="14"/>
  <c r="O23" i="14"/>
  <c r="N39" i="14"/>
  <c r="O39" i="14"/>
  <c r="N43" i="14"/>
  <c r="N47" i="14"/>
  <c r="N51" i="14"/>
  <c r="N55" i="14"/>
  <c r="N59" i="14"/>
  <c r="N63" i="14"/>
  <c r="N67" i="14"/>
  <c r="N22" i="14"/>
  <c r="N34" i="14"/>
  <c r="N38" i="14"/>
  <c r="N42" i="14"/>
  <c r="N46" i="14"/>
  <c r="N50" i="14"/>
  <c r="N58" i="14"/>
  <c r="N62" i="14"/>
  <c r="N66" i="14"/>
  <c r="L20" i="14"/>
  <c r="N21" i="14"/>
  <c r="N25" i="14"/>
  <c r="N29" i="14"/>
  <c r="N33" i="14"/>
  <c r="N37" i="14"/>
  <c r="N41" i="14"/>
  <c r="N45" i="14"/>
  <c r="N49" i="14"/>
  <c r="N53" i="14"/>
  <c r="N57" i="14"/>
  <c r="N61" i="14"/>
  <c r="N65" i="14"/>
  <c r="N69" i="14"/>
  <c r="N26" i="14"/>
  <c r="N30" i="14"/>
  <c r="N54" i="14"/>
  <c r="N24" i="14"/>
  <c r="N28" i="14"/>
  <c r="N32" i="14"/>
  <c r="N36" i="14"/>
  <c r="N40" i="14"/>
  <c r="N44" i="14"/>
  <c r="N48" i="14"/>
  <c r="N52" i="14"/>
  <c r="N56" i="14"/>
  <c r="N60" i="14"/>
  <c r="N64" i="14"/>
  <c r="N64" i="12"/>
  <c r="O64" i="12" s="1"/>
  <c r="N48" i="12"/>
  <c r="O48" i="12" s="1"/>
  <c r="N32" i="12"/>
  <c r="O32" i="12" s="1"/>
  <c r="N60" i="12"/>
  <c r="O60" i="12" s="1"/>
  <c r="N44" i="12"/>
  <c r="O44" i="12" s="1"/>
  <c r="N28" i="12"/>
  <c r="O28" i="12" s="1"/>
  <c r="N56" i="12"/>
  <c r="O56" i="12" s="1"/>
  <c r="N40" i="12"/>
  <c r="O40" i="12" s="1"/>
  <c r="N24" i="12"/>
  <c r="O24" i="12" s="1"/>
  <c r="N68" i="12"/>
  <c r="O68" i="12" s="1"/>
  <c r="N52" i="12"/>
  <c r="O52" i="12" s="1"/>
  <c r="N36" i="12"/>
  <c r="O36" i="12" s="1"/>
  <c r="N20" i="12"/>
  <c r="O20" i="12" s="1"/>
  <c r="N67" i="12"/>
  <c r="O67" i="12" s="1"/>
  <c r="N55" i="12"/>
  <c r="O55" i="12" s="1"/>
  <c r="N47" i="12"/>
  <c r="O47" i="12" s="1"/>
  <c r="N39" i="12"/>
  <c r="O39" i="12" s="1"/>
  <c r="N31" i="12"/>
  <c r="O31" i="12" s="1"/>
  <c r="N23" i="12"/>
  <c r="O23" i="12" s="1"/>
  <c r="N70" i="12"/>
  <c r="O70" i="12" s="1"/>
  <c r="N66" i="12"/>
  <c r="O66" i="12" s="1"/>
  <c r="N62" i="12"/>
  <c r="O62" i="12" s="1"/>
  <c r="N58" i="12"/>
  <c r="O58" i="12" s="1"/>
  <c r="N54" i="12"/>
  <c r="O54" i="12" s="1"/>
  <c r="N50" i="12"/>
  <c r="O50" i="12" s="1"/>
  <c r="N46" i="12"/>
  <c r="O46" i="12" s="1"/>
  <c r="N42" i="12"/>
  <c r="O42" i="12" s="1"/>
  <c r="N38" i="12"/>
  <c r="O38" i="12" s="1"/>
  <c r="N34" i="12"/>
  <c r="O34" i="12" s="1"/>
  <c r="N30" i="12"/>
  <c r="O30" i="12" s="1"/>
  <c r="N26" i="12"/>
  <c r="O26" i="12" s="1"/>
  <c r="N22" i="12"/>
  <c r="O22" i="12" s="1"/>
  <c r="N18" i="12"/>
  <c r="O18" i="12" s="1"/>
  <c r="N63" i="12"/>
  <c r="O63" i="12" s="1"/>
  <c r="N59" i="12"/>
  <c r="O59" i="12" s="1"/>
  <c r="N51" i="12"/>
  <c r="O51" i="12" s="1"/>
  <c r="N43" i="12"/>
  <c r="O43" i="12" s="1"/>
  <c r="N35" i="12"/>
  <c r="O35" i="12" s="1"/>
  <c r="N27" i="12"/>
  <c r="O27" i="12" s="1"/>
  <c r="N19" i="12"/>
  <c r="O19" i="12" s="1"/>
  <c r="N69" i="12"/>
  <c r="O69" i="12" s="1"/>
  <c r="N65" i="12"/>
  <c r="O65" i="12" s="1"/>
  <c r="N61" i="12"/>
  <c r="O61" i="12" s="1"/>
  <c r="N57" i="12"/>
  <c r="O57" i="12" s="1"/>
  <c r="N53" i="12"/>
  <c r="O53" i="12" s="1"/>
  <c r="N49" i="12"/>
  <c r="O49" i="12" s="1"/>
  <c r="N45" i="12"/>
  <c r="O45" i="12" s="1"/>
  <c r="N41" i="12"/>
  <c r="O41" i="12" s="1"/>
  <c r="N37" i="12"/>
  <c r="O37" i="12" s="1"/>
  <c r="N33" i="12"/>
  <c r="O33" i="12" s="1"/>
  <c r="N29" i="12"/>
  <c r="O29" i="12" s="1"/>
  <c r="N25" i="12"/>
  <c r="O25" i="12" s="1"/>
  <c r="N21" i="12"/>
  <c r="O21" i="12" s="1"/>
  <c r="S24" i="10"/>
  <c r="R25" i="10"/>
  <c r="N68" i="11"/>
  <c r="O68" i="11" s="1"/>
  <c r="N35" i="11"/>
  <c r="O35" i="11" s="1"/>
  <c r="N59" i="11"/>
  <c r="O59" i="11" s="1"/>
  <c r="N67" i="11"/>
  <c r="O67" i="11" s="1"/>
  <c r="N22" i="11"/>
  <c r="O22" i="11" s="1"/>
  <c r="N26" i="11"/>
  <c r="O26" i="11" s="1"/>
  <c r="N30" i="11"/>
  <c r="O30" i="11" s="1"/>
  <c r="N34" i="11"/>
  <c r="O34" i="11" s="1"/>
  <c r="N38" i="11"/>
  <c r="O38" i="11" s="1"/>
  <c r="N42" i="11"/>
  <c r="O42" i="11" s="1"/>
  <c r="N46" i="11"/>
  <c r="O46" i="11" s="1"/>
  <c r="N50" i="11"/>
  <c r="O50" i="11" s="1"/>
  <c r="N54" i="11"/>
  <c r="O54" i="11" s="1"/>
  <c r="N58" i="11"/>
  <c r="O58" i="11" s="1"/>
  <c r="N62" i="11"/>
  <c r="O62" i="11" s="1"/>
  <c r="N66" i="11"/>
  <c r="O66" i="11" s="1"/>
  <c r="L20" i="11"/>
  <c r="N25" i="11"/>
  <c r="O25" i="11" s="1"/>
  <c r="N33" i="11"/>
  <c r="O33" i="11" s="1"/>
  <c r="N37" i="11"/>
  <c r="O37" i="11" s="1"/>
  <c r="N41" i="11"/>
  <c r="O41" i="11" s="1"/>
  <c r="N45" i="11"/>
  <c r="O45" i="11" s="1"/>
  <c r="N49" i="11"/>
  <c r="O49" i="11" s="1"/>
  <c r="N53" i="11"/>
  <c r="O53" i="11" s="1"/>
  <c r="N57" i="11"/>
  <c r="O57" i="11" s="1"/>
  <c r="N61" i="11"/>
  <c r="O61" i="11" s="1"/>
  <c r="N65" i="11"/>
  <c r="O65" i="11" s="1"/>
  <c r="N69" i="11"/>
  <c r="O69" i="11" s="1"/>
  <c r="N39" i="11"/>
  <c r="O39" i="11" s="1"/>
  <c r="N43" i="11"/>
  <c r="O43" i="11" s="1"/>
  <c r="N47" i="11"/>
  <c r="O47" i="11" s="1"/>
  <c r="N51" i="11"/>
  <c r="O51" i="11" s="1"/>
  <c r="N55" i="11"/>
  <c r="O55" i="11" s="1"/>
  <c r="N63" i="11"/>
  <c r="O63" i="11" s="1"/>
  <c r="N21" i="11"/>
  <c r="O21" i="11" s="1"/>
  <c r="N29" i="11"/>
  <c r="O29" i="11" s="1"/>
  <c r="N24" i="11"/>
  <c r="O24" i="11" s="1"/>
  <c r="N28" i="11"/>
  <c r="O28" i="11" s="1"/>
  <c r="N32" i="11"/>
  <c r="O32" i="11" s="1"/>
  <c r="N36" i="11"/>
  <c r="O36" i="11" s="1"/>
  <c r="N40" i="11"/>
  <c r="O40" i="11" s="1"/>
  <c r="N44" i="11"/>
  <c r="O44" i="11" s="1"/>
  <c r="N48" i="11"/>
  <c r="O48" i="11" s="1"/>
  <c r="N52" i="11"/>
  <c r="O52" i="11" s="1"/>
  <c r="N56" i="11"/>
  <c r="O56" i="11" s="1"/>
  <c r="N60" i="11"/>
  <c r="O60" i="11" s="1"/>
  <c r="N64" i="11"/>
  <c r="O64" i="11" s="1"/>
  <c r="O25" i="10"/>
  <c r="P25" i="10" s="1"/>
  <c r="O26" i="10"/>
  <c r="L20" i="8" a="1"/>
  <c r="O70" i="8"/>
  <c r="O69" i="8"/>
  <c r="O68" i="8"/>
  <c r="O67" i="8"/>
  <c r="O66" i="8"/>
  <c r="O65" i="8"/>
  <c r="O64" i="8"/>
  <c r="O63" i="8"/>
  <c r="O62" i="8"/>
  <c r="O61" i="8"/>
  <c r="O60" i="8"/>
  <c r="O59" i="8"/>
  <c r="O58" i="8"/>
  <c r="O57" i="8"/>
  <c r="O56" i="8"/>
  <c r="O55" i="8"/>
  <c r="O54" i="8"/>
  <c r="O53" i="8"/>
  <c r="O52" i="8"/>
  <c r="O51" i="8"/>
  <c r="O50" i="8"/>
  <c r="O49" i="8"/>
  <c r="O48" i="8"/>
  <c r="O47" i="8"/>
  <c r="O46" i="8"/>
  <c r="O45" i="8"/>
  <c r="O44" i="8"/>
  <c r="O43" i="8"/>
  <c r="O42" i="8"/>
  <c r="O41" i="8"/>
  <c r="O40" i="8"/>
  <c r="O39" i="8"/>
  <c r="O38" i="8"/>
  <c r="O37" i="8"/>
  <c r="O36" i="8"/>
  <c r="O35" i="8"/>
  <c r="O34" i="8"/>
  <c r="O33" i="8"/>
  <c r="O32" i="8"/>
  <c r="O31" i="8"/>
  <c r="O30" i="8"/>
  <c r="O29" i="8"/>
  <c r="O28" i="8"/>
  <c r="O27" i="8"/>
  <c r="O26" i="8"/>
  <c r="O25" i="8"/>
  <c r="O23" i="8"/>
  <c r="O22" i="8"/>
  <c r="O21" i="8"/>
  <c r="O20" i="8"/>
  <c r="O24" i="4"/>
  <c r="N25" i="4"/>
  <c r="N26" i="4" l="1"/>
  <c r="R25" i="4"/>
  <c r="S25" i="13"/>
  <c r="S29" i="13"/>
  <c r="S33" i="13"/>
  <c r="S37" i="13"/>
  <c r="S41" i="13"/>
  <c r="S45" i="13"/>
  <c r="S49" i="13"/>
  <c r="S53" i="13"/>
  <c r="S57" i="13"/>
  <c r="S61" i="13"/>
  <c r="S65" i="13"/>
  <c r="S69" i="13"/>
  <c r="S73" i="13"/>
  <c r="S77" i="13"/>
  <c r="S81" i="13"/>
  <c r="S85" i="13"/>
  <c r="S89" i="13"/>
  <c r="S24" i="13"/>
  <c r="S36" i="13"/>
  <c r="S44" i="13"/>
  <c r="S56" i="13"/>
  <c r="S60" i="13"/>
  <c r="S72" i="13"/>
  <c r="S76" i="13"/>
  <c r="S84" i="13"/>
  <c r="S22" i="13"/>
  <c r="S26" i="13"/>
  <c r="S30" i="13"/>
  <c r="S34" i="13"/>
  <c r="S38" i="13"/>
  <c r="S42" i="13"/>
  <c r="S46" i="13"/>
  <c r="S50" i="13"/>
  <c r="S54" i="13"/>
  <c r="S58" i="13"/>
  <c r="S62" i="13"/>
  <c r="S66" i="13"/>
  <c r="S70" i="13"/>
  <c r="S74" i="13"/>
  <c r="S78" i="13"/>
  <c r="S82" i="13"/>
  <c r="S86" i="13"/>
  <c r="S32" i="13"/>
  <c r="S23" i="13"/>
  <c r="S27" i="13"/>
  <c r="S31" i="13"/>
  <c r="S35" i="13"/>
  <c r="J47" i="13" s="1"/>
  <c r="S39" i="13"/>
  <c r="S43" i="13"/>
  <c r="S47" i="13"/>
  <c r="S51" i="13"/>
  <c r="S55" i="13"/>
  <c r="S59" i="13"/>
  <c r="S63" i="13"/>
  <c r="S67" i="13"/>
  <c r="S71" i="13"/>
  <c r="S75" i="13"/>
  <c r="S79" i="13"/>
  <c r="S83" i="13"/>
  <c r="S87" i="13"/>
  <c r="S28" i="13"/>
  <c r="S40" i="13"/>
  <c r="S48" i="13"/>
  <c r="S52" i="13"/>
  <c r="S64" i="13"/>
  <c r="S68" i="13"/>
  <c r="S80" i="13"/>
  <c r="S88" i="13"/>
  <c r="R27" i="10"/>
  <c r="P26" i="10"/>
  <c r="L20" i="8"/>
  <c r="M28" i="8"/>
  <c r="M27" i="8"/>
  <c r="Q26" i="10"/>
  <c r="S26" i="10" s="1"/>
  <c r="Q25" i="10"/>
  <c r="S25" i="10" s="1"/>
  <c r="R28" i="10"/>
  <c r="O27" i="10"/>
  <c r="P27" i="10" s="1"/>
  <c r="O26" i="4"/>
  <c r="O25" i="4"/>
  <c r="N27" i="4" l="1"/>
  <c r="R26" i="4"/>
  <c r="F13" i="14" a="1"/>
  <c r="F13" i="14" s="1"/>
  <c r="H13" i="14" a="1"/>
  <c r="H13" i="14" s="1"/>
  <c r="J48" i="13"/>
  <c r="J49" i="13" s="1"/>
  <c r="Q27" i="10"/>
  <c r="S27" i="10" s="1"/>
  <c r="O28" i="10"/>
  <c r="P28" i="10" s="1"/>
  <c r="R29" i="10"/>
  <c r="O27" i="4" l="1"/>
  <c r="P27" i="4" s="1"/>
  <c r="R27" i="4"/>
  <c r="N28" i="4"/>
  <c r="S24" i="4"/>
  <c r="Q28" i="10"/>
  <c r="S28" i="10" s="1"/>
  <c r="O29" i="10"/>
  <c r="P29" i="10" s="1"/>
  <c r="P25" i="4"/>
  <c r="P26" i="4"/>
  <c r="R28" i="4" l="1"/>
  <c r="N29" i="4"/>
  <c r="O28" i="4"/>
  <c r="P28" i="4" s="1"/>
  <c r="Q28" i="4" s="1"/>
  <c r="Q25" i="4"/>
  <c r="Q27" i="4"/>
  <c r="Q26" i="4"/>
  <c r="S26" i="4" s="1"/>
  <c r="R30" i="10"/>
  <c r="Q29" i="10"/>
  <c r="S29" i="10" s="1"/>
  <c r="R31" i="10"/>
  <c r="O30" i="10"/>
  <c r="P30" i="10" s="1"/>
  <c r="R29" i="4" l="1"/>
  <c r="N30" i="4"/>
  <c r="O29" i="4"/>
  <c r="P29" i="4" s="1"/>
  <c r="Q29" i="4" s="1"/>
  <c r="S29" i="4" s="1"/>
  <c r="S27" i="4"/>
  <c r="S25" i="4"/>
  <c r="S28" i="4"/>
  <c r="Q30" i="10"/>
  <c r="S30" i="10" s="1"/>
  <c r="R32" i="10"/>
  <c r="O31" i="10"/>
  <c r="P31" i="10" s="1"/>
  <c r="R30" i="4" l="1"/>
  <c r="O30" i="4"/>
  <c r="P30" i="4" s="1"/>
  <c r="Q30" i="4" s="1"/>
  <c r="N31" i="4"/>
  <c r="Q31" i="10"/>
  <c r="S31" i="10" s="1"/>
  <c r="R33" i="10"/>
  <c r="O32" i="10"/>
  <c r="P32" i="10" s="1"/>
  <c r="Q32" i="10" s="1"/>
  <c r="S32" i="10" s="1"/>
  <c r="S30" i="4" l="1"/>
  <c r="R31" i="4"/>
  <c r="O31" i="4"/>
  <c r="P31" i="4" s="1"/>
  <c r="Q31" i="4" s="1"/>
  <c r="S31" i="4" s="1"/>
  <c r="N32" i="4"/>
  <c r="R34" i="10"/>
  <c r="O33" i="10"/>
  <c r="P33" i="10" s="1"/>
  <c r="Q33" i="10" s="1"/>
  <c r="S33" i="10" s="1"/>
  <c r="R32" i="4" l="1"/>
  <c r="N33" i="4"/>
  <c r="O32" i="4"/>
  <c r="P32" i="4" s="1"/>
  <c r="R35" i="10"/>
  <c r="O34" i="10"/>
  <c r="P34" i="10" s="1"/>
  <c r="Q34" i="10" s="1"/>
  <c r="S34" i="10" s="1"/>
  <c r="R33" i="4" l="1"/>
  <c r="O33" i="4"/>
  <c r="P33" i="4" s="1"/>
  <c r="N34" i="4"/>
  <c r="Q32" i="4"/>
  <c r="S32" i="4" s="1"/>
  <c r="R36" i="10"/>
  <c r="O35" i="10"/>
  <c r="P35" i="10" s="1"/>
  <c r="Q35" i="10" s="1"/>
  <c r="S35" i="10" s="1"/>
  <c r="Q33" i="4" l="1"/>
  <c r="S33" i="4" s="1"/>
  <c r="R34" i="4"/>
  <c r="O34" i="4"/>
  <c r="P34" i="4" s="1"/>
  <c r="Q34" i="4" s="1"/>
  <c r="S34" i="4" s="1"/>
  <c r="N35" i="4"/>
  <c r="R37" i="10"/>
  <c r="O36" i="10"/>
  <c r="P36" i="10" s="1"/>
  <c r="Q36" i="10" s="1"/>
  <c r="S36" i="10" s="1"/>
  <c r="O35" i="4" l="1"/>
  <c r="P35" i="4" s="1"/>
  <c r="Q35" i="4" s="1"/>
  <c r="R35" i="4"/>
  <c r="N36" i="4"/>
  <c r="R38" i="10"/>
  <c r="O37" i="10"/>
  <c r="P37" i="10" s="1"/>
  <c r="Q37" i="10" s="1"/>
  <c r="S37" i="10" s="1"/>
  <c r="R36" i="4" l="1"/>
  <c r="N37" i="4"/>
  <c r="O36" i="4"/>
  <c r="P36" i="4" s="1"/>
  <c r="Q36" i="4" s="1"/>
  <c r="S36" i="4" s="1"/>
  <c r="S35" i="4"/>
  <c r="R39" i="10"/>
  <c r="O38" i="10"/>
  <c r="P38" i="10" s="1"/>
  <c r="Q38" i="10" s="1"/>
  <c r="S38" i="10" s="1"/>
  <c r="O37" i="4" l="1"/>
  <c r="P37" i="4" s="1"/>
  <c r="Q37" i="4" s="1"/>
  <c r="R37" i="4"/>
  <c r="N38" i="4"/>
  <c r="R40" i="10"/>
  <c r="O39" i="10"/>
  <c r="P39" i="10" s="1"/>
  <c r="Q39" i="10" s="1"/>
  <c r="S39" i="10" s="1"/>
  <c r="S37" i="4" l="1"/>
  <c r="O38" i="4"/>
  <c r="P38" i="4" s="1"/>
  <c r="Q38" i="4" s="1"/>
  <c r="R38" i="4"/>
  <c r="N39" i="4"/>
  <c r="R41" i="10"/>
  <c r="O40" i="10"/>
  <c r="P40" i="10" s="1"/>
  <c r="Q40" i="10" s="1"/>
  <c r="S40" i="10" s="1"/>
  <c r="S38" i="4" l="1"/>
  <c r="O39" i="4"/>
  <c r="P39" i="4" s="1"/>
  <c r="Q39" i="4" s="1"/>
  <c r="R39" i="4"/>
  <c r="N40" i="4"/>
  <c r="R42" i="10"/>
  <c r="O41" i="10"/>
  <c r="P41" i="10" s="1"/>
  <c r="Q41" i="10" s="1"/>
  <c r="S41" i="10" s="1"/>
  <c r="S39" i="4" l="1"/>
  <c r="O40" i="4"/>
  <c r="P40" i="4" s="1"/>
  <c r="Q40" i="4" s="1"/>
  <c r="S40" i="4" s="1"/>
  <c r="R40" i="4"/>
  <c r="N41" i="4"/>
  <c r="R43" i="10"/>
  <c r="O42" i="10"/>
  <c r="P42" i="10" s="1"/>
  <c r="Q42" i="10" s="1"/>
  <c r="S42" i="10" s="1"/>
  <c r="O41" i="4" l="1"/>
  <c r="P41" i="4" s="1"/>
  <c r="Q41" i="4" s="1"/>
  <c r="R41" i="4"/>
  <c r="N42" i="4"/>
  <c r="R44" i="10"/>
  <c r="O43" i="10"/>
  <c r="P43" i="10" s="1"/>
  <c r="Q43" i="10" s="1"/>
  <c r="S43" i="10" s="1"/>
  <c r="O42" i="4" l="1"/>
  <c r="P42" i="4" s="1"/>
  <c r="Q42" i="4" s="1"/>
  <c r="R42" i="4"/>
  <c r="N43" i="4"/>
  <c r="S41" i="4"/>
  <c r="R45" i="10"/>
  <c r="O44" i="10"/>
  <c r="P44" i="10" s="1"/>
  <c r="Q44" i="10" s="1"/>
  <c r="S44" i="10" s="1"/>
  <c r="S42" i="4" l="1"/>
  <c r="O43" i="4"/>
  <c r="P43" i="4" s="1"/>
  <c r="Q43" i="4" s="1"/>
  <c r="R43" i="4"/>
  <c r="N44" i="4"/>
  <c r="R46" i="10"/>
  <c r="O45" i="10"/>
  <c r="P45" i="10" s="1"/>
  <c r="Q45" i="10" s="1"/>
  <c r="S45" i="10" s="1"/>
  <c r="S43" i="4" l="1"/>
  <c r="O44" i="4"/>
  <c r="P44" i="4" s="1"/>
  <c r="Q44" i="4" s="1"/>
  <c r="R44" i="4"/>
  <c r="N45" i="4"/>
  <c r="R47" i="10"/>
  <c r="O46" i="10"/>
  <c r="P46" i="10" s="1"/>
  <c r="Q46" i="10" s="1"/>
  <c r="S46" i="10" s="1"/>
  <c r="S44" i="4" l="1"/>
  <c r="O45" i="4"/>
  <c r="P45" i="4" s="1"/>
  <c r="Q45" i="4" s="1"/>
  <c r="R45" i="4"/>
  <c r="N46" i="4"/>
  <c r="R48" i="10"/>
  <c r="O47" i="10"/>
  <c r="P47" i="10" s="1"/>
  <c r="Q47" i="10" s="1"/>
  <c r="S47" i="10" s="1"/>
  <c r="S45" i="4" l="1"/>
  <c r="O46" i="4"/>
  <c r="P46" i="4" s="1"/>
  <c r="Q46" i="4" s="1"/>
  <c r="R46" i="4"/>
  <c r="N47" i="4"/>
  <c r="R49" i="10"/>
  <c r="O48" i="10"/>
  <c r="P48" i="10" s="1"/>
  <c r="Q48" i="10" s="1"/>
  <c r="S48" i="10" s="1"/>
  <c r="O47" i="4" l="1"/>
  <c r="P47" i="4" s="1"/>
  <c r="Q47" i="4" s="1"/>
  <c r="R47" i="4"/>
  <c r="N48" i="4"/>
  <c r="S46" i="4"/>
  <c r="R50" i="10"/>
  <c r="O49" i="10"/>
  <c r="P49" i="10" s="1"/>
  <c r="Q49" i="10" s="1"/>
  <c r="S49" i="10" s="1"/>
  <c r="S47" i="4" l="1"/>
  <c r="O48" i="4"/>
  <c r="P48" i="4" s="1"/>
  <c r="Q48" i="4" s="1"/>
  <c r="R48" i="4"/>
  <c r="N49" i="4"/>
  <c r="O50" i="10"/>
  <c r="P50" i="10" s="1"/>
  <c r="Q50" i="10" s="1"/>
  <c r="S50" i="10" s="1"/>
  <c r="R51" i="10"/>
  <c r="S48" i="4" l="1"/>
  <c r="O49" i="4"/>
  <c r="P49" i="4" s="1"/>
  <c r="Q49" i="4" s="1"/>
  <c r="R49" i="4"/>
  <c r="N50" i="4"/>
  <c r="O51" i="10"/>
  <c r="P51" i="10" s="1"/>
  <c r="Q51" i="10" s="1"/>
  <c r="S51" i="10" s="1"/>
  <c r="S49" i="4" l="1"/>
  <c r="O50" i="4"/>
  <c r="P50" i="4" s="1"/>
  <c r="Q50" i="4" s="1"/>
  <c r="R50" i="4"/>
  <c r="N51" i="4"/>
  <c r="R52" i="10"/>
  <c r="O52" i="10"/>
  <c r="P52" i="10" s="1"/>
  <c r="Q52" i="10" s="1"/>
  <c r="S52" i="10" s="1"/>
  <c r="R51" i="4" l="1"/>
  <c r="N52" i="4"/>
  <c r="O51" i="4"/>
  <c r="P51" i="4" s="1"/>
  <c r="Q51" i="4" s="1"/>
  <c r="S50" i="4"/>
  <c r="R53" i="10"/>
  <c r="H55" i="10"/>
  <c r="O53" i="10"/>
  <c r="P53" i="10" s="1"/>
  <c r="Q53" i="10" s="1"/>
  <c r="S53" i="10" s="1"/>
  <c r="S51" i="4" l="1"/>
  <c r="O52" i="4"/>
  <c r="P52" i="4" s="1"/>
  <c r="Q52" i="4" s="1"/>
  <c r="R52" i="4"/>
  <c r="N53" i="4"/>
  <c r="O54" i="10"/>
  <c r="R54" i="10"/>
  <c r="H13" i="11" s="1" a="1"/>
  <c r="H13" i="11" s="1"/>
  <c r="M72" i="11"/>
  <c r="N72" i="11" s="1"/>
  <c r="M18" i="11"/>
  <c r="N18" i="11" s="1"/>
  <c r="B6" i="11" a="1"/>
  <c r="B6" i="11" s="1"/>
  <c r="P54" i="10"/>
  <c r="S52" i="4" l="1"/>
  <c r="R53" i="4"/>
  <c r="N54" i="4"/>
  <c r="O53" i="4"/>
  <c r="P53" i="4" s="1"/>
  <c r="Q53" i="4" s="1"/>
  <c r="H53" i="4"/>
  <c r="F13" i="11" a="1"/>
  <c r="F13" i="11" s="1"/>
  <c r="H56" i="10"/>
  <c r="H57" i="10" s="1"/>
  <c r="Q54" i="10"/>
  <c r="S54" i="10" s="1"/>
  <c r="P55" i="10"/>
  <c r="S53" i="4" l="1"/>
  <c r="H52" i="4"/>
  <c r="H54" i="4" s="1"/>
  <c r="R54" i="4"/>
  <c r="F12" i="8" s="1" a="1"/>
  <c r="F12" i="8" s="1"/>
  <c r="M72" i="8"/>
  <c r="N72" i="8" s="1"/>
  <c r="M18" i="8"/>
  <c r="N18" i="8" s="1"/>
  <c r="O54" i="4"/>
  <c r="P54" i="4" s="1"/>
  <c r="Q54" i="4" s="1"/>
  <c r="B5" i="8" a="1"/>
  <c r="B5" i="8" s="1"/>
  <c r="H11" i="8"/>
  <c r="F11" i="8"/>
  <c r="M48" i="8"/>
  <c r="N48" i="8" s="1"/>
  <c r="M44" i="8"/>
  <c r="N44" i="8" s="1"/>
  <c r="M37" i="8"/>
  <c r="N37" i="8" s="1"/>
  <c r="M21" i="8"/>
  <c r="N21" i="8" s="1"/>
  <c r="N27" i="8"/>
  <c r="M30" i="8"/>
  <c r="N30" i="8" s="1"/>
  <c r="M36" i="8"/>
  <c r="N36" i="8" s="1"/>
  <c r="M20" i="8"/>
  <c r="N20" i="8" s="1"/>
  <c r="M45" i="8"/>
  <c r="N45" i="8" s="1"/>
  <c r="M25" i="8"/>
  <c r="N25" i="8" s="1"/>
  <c r="M40" i="8"/>
  <c r="N40" i="8" s="1"/>
  <c r="M51" i="8"/>
  <c r="N51" i="8" s="1"/>
  <c r="M47" i="8"/>
  <c r="N47" i="8" s="1"/>
  <c r="M43" i="8"/>
  <c r="N43" i="8" s="1"/>
  <c r="M33" i="8"/>
  <c r="N33" i="8" s="1"/>
  <c r="M39" i="8"/>
  <c r="N39" i="8" s="1"/>
  <c r="M23" i="8"/>
  <c r="N23" i="8" s="1"/>
  <c r="M26" i="8"/>
  <c r="N26" i="8" s="1"/>
  <c r="M32" i="8"/>
  <c r="N32" i="8" s="1"/>
  <c r="M19" i="8"/>
  <c r="N19" i="8" s="1"/>
  <c r="M50" i="8"/>
  <c r="N50" i="8" s="1"/>
  <c r="M46" i="8"/>
  <c r="N46" i="8" s="1"/>
  <c r="M42" i="8"/>
  <c r="N42" i="8" s="1"/>
  <c r="M29" i="8"/>
  <c r="N29" i="8" s="1"/>
  <c r="M35" i="8"/>
  <c r="N35" i="8" s="1"/>
  <c r="M38" i="8"/>
  <c r="N38" i="8" s="1"/>
  <c r="M22" i="8"/>
  <c r="N22" i="8" s="1"/>
  <c r="N28" i="8"/>
  <c r="M49" i="8"/>
  <c r="N49" i="8" s="1"/>
  <c r="M41" i="8"/>
  <c r="N41" i="8" s="1"/>
  <c r="M31" i="8"/>
  <c r="N31" i="8" s="1"/>
  <c r="M34" i="8"/>
  <c r="N34" i="8" s="1"/>
  <c r="M24" i="8"/>
  <c r="N24" i="8" s="1"/>
  <c r="M70" i="8"/>
  <c r="N70" i="8" s="1"/>
  <c r="M71" i="8"/>
  <c r="N71" i="8" s="1"/>
  <c r="P55" i="4"/>
  <c r="S54" i="4" l="1"/>
  <c r="H12" i="8" a="1"/>
  <c r="H12" i="8" s="1"/>
  <c r="M52" i="8"/>
  <c r="N52" i="8" s="1"/>
  <c r="M53" i="8" l="1"/>
  <c r="N53" i="8" s="1"/>
  <c r="M54" i="8" l="1"/>
  <c r="N54" i="8" s="1"/>
  <c r="M55" i="8" l="1"/>
  <c r="N55" i="8" s="1"/>
  <c r="M56" i="8" l="1"/>
  <c r="N56" i="8" s="1"/>
  <c r="M57" i="8" l="1"/>
  <c r="N57" i="8" s="1"/>
  <c r="M58" i="8" l="1"/>
  <c r="N58" i="8" s="1"/>
  <c r="M59" i="8" l="1"/>
  <c r="N59" i="8" s="1"/>
  <c r="M60" i="8" l="1"/>
  <c r="N60" i="8" s="1"/>
  <c r="M61" i="8" l="1"/>
  <c r="N61" i="8" s="1"/>
  <c r="M62" i="8" l="1"/>
  <c r="N62" i="8" s="1"/>
  <c r="M63" i="8" l="1"/>
  <c r="N63" i="8" s="1"/>
  <c r="M64" i="8" l="1"/>
  <c r="N64" i="8" s="1"/>
  <c r="M65" i="8" l="1"/>
  <c r="N65" i="8" s="1"/>
  <c r="M66" i="8" l="1"/>
  <c r="N66" i="8" s="1"/>
  <c r="M67" i="8" l="1"/>
  <c r="N67" i="8" s="1"/>
  <c r="M68" i="8" l="1"/>
  <c r="N68" i="8" s="1"/>
  <c r="M69" i="8" l="1"/>
  <c r="N69"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charl</author>
  </authors>
  <commentList>
    <comment ref="N17" authorId="0" shapeId="0" xr:uid="{90ED47D2-B8A7-4CFA-9574-6EB64D9E004A}">
      <text>
        <r>
          <rPr>
            <sz val="11"/>
            <color indexed="81"/>
            <rFont val="Tahoma"/>
            <family val="2"/>
          </rPr>
          <t>The x-values need to be apportioned to a scaled as days and the x-axis of the graph designated as a date axis.  This is the only way the x-axis of an area chart is treated numerically, otherwise the x-values are treated as text.</t>
        </r>
      </text>
    </comment>
    <comment ref="M18" authorId="0" shapeId="0" xr:uid="{F79ABCBF-8BE1-491F-82FF-337274E8DC38}">
      <text>
        <r>
          <rPr>
            <sz val="11"/>
            <color indexed="81"/>
            <rFont val="Tahoma"/>
            <family val="2"/>
          </rPr>
          <t>This column is on the scale of the primary access.  The first and last elements are the first and last data points of the line graph (under which sharding is to be added).  The next 2 (and the next last 2) are the area where the shading starts and stops.  Note that there are 2 values needed so 2 corresponding y-values can be set, one at zero and one at shaiding height, to get the straight line at the start end and end of the shading.
The remaining data points represent x-values where the shading needs to take place, apportioned based on the first column</t>
        </r>
      </text>
    </comment>
    <comment ref="L20" authorId="0" shapeId="0" xr:uid="{C3A2BA6A-48E6-41E5-822B-23DDF75B4ACA}">
      <text>
        <r>
          <rPr>
            <sz val="11"/>
            <color indexed="81"/>
            <rFont val="Tahoma"/>
            <family val="2"/>
          </rPr>
          <t>This helper column is used for apportionment of the points on the area graph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charl</author>
  </authors>
  <commentList>
    <comment ref="N17" authorId="0" shapeId="0" xr:uid="{B566F00A-FD8F-4CBB-BAE3-C81D04DE7311}">
      <text>
        <r>
          <rPr>
            <sz val="11"/>
            <color indexed="81"/>
            <rFont val="Tahoma"/>
            <family val="2"/>
          </rPr>
          <t>The x-values need to be apportioned to a scaled as days and the x-axis of the graph designated as a date axis.  This is the only way the x-axis of an area chart is treated numerically, otherwise the x-values are treated as text.</t>
        </r>
      </text>
    </comment>
    <comment ref="M18" authorId="0" shapeId="0" xr:uid="{E033399A-E83D-4EF6-A47F-723BC8CB83E3}">
      <text>
        <r>
          <rPr>
            <sz val="11"/>
            <color indexed="81"/>
            <rFont val="Tahoma"/>
            <family val="2"/>
          </rPr>
          <t>This column is on the scale of the primary access.  The first and last elements are the first and last data points of the line graph (under which sharding is to be added).  The next 2 (and the next last 2) are the area where the shading starts and stops.  Note that there are 2 values needed so 2 corresponding y-values can be set, one at zero and one at shaiding height, to get the straight line at the start end and end of the shading.
The remaining data points represent x-values where the shading needs to take place, apportioned based on the first column</t>
        </r>
      </text>
    </comment>
    <comment ref="L20" authorId="0" shapeId="0" xr:uid="{31960A7B-DD49-4F0A-9CE7-750C506135CA}">
      <text>
        <r>
          <rPr>
            <sz val="11"/>
            <color indexed="81"/>
            <rFont val="Tahoma"/>
            <family val="2"/>
          </rPr>
          <t>This helper column is used for apportionment of the points on the area graph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charl</author>
  </authors>
  <commentList>
    <comment ref="N17" authorId="0" shapeId="0" xr:uid="{483AB677-47FD-4CF5-98A3-4B1ED19A5A37}">
      <text>
        <r>
          <rPr>
            <sz val="11"/>
            <color indexed="81"/>
            <rFont val="Tahoma"/>
            <family val="2"/>
          </rPr>
          <t>The x-values need to be apportioned to a scaled as days and the x-axis of the graph designated as a date axis.  This is the only way the x-axis of an area chart is treated numerically, otherwise the x-values are treated as text.</t>
        </r>
      </text>
    </comment>
    <comment ref="M18" authorId="0" shapeId="0" xr:uid="{4456881A-3DD7-4E57-A4AB-9D5EF2B8C9D3}">
      <text>
        <r>
          <rPr>
            <sz val="11"/>
            <color indexed="81"/>
            <rFont val="Tahoma"/>
            <family val="2"/>
          </rPr>
          <t>This column is on the scale of the primary access.  The first and last elements are the first and last data points of the line graph (under which sharding is to be added).  The next 2 (and the next last 2) are the area where the shading starts and stops.  Note that there are 2 values needed so 2 corresponding y-values can be set, one at zero and one at shaiding height, to get the straight line at the start end and end of the shading.
The remaining data points represent x-values where the shading needs to take place, apportioned based on the first column</t>
        </r>
      </text>
    </comment>
    <comment ref="L20" authorId="0" shapeId="0" xr:uid="{BB8B4A73-A24A-4BFC-A6A1-69FC46191079}">
      <text>
        <r>
          <rPr>
            <sz val="11"/>
            <color indexed="81"/>
            <rFont val="Tahoma"/>
            <family val="2"/>
          </rPr>
          <t>This helper column is used for apportionment of the points on the area graph</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<sst xmlns="http://schemas.openxmlformats.org/spreadsheetml/2006/main" count="101" uniqueCount="38">
  <si>
    <t xml:space="preserve"> </t>
  </si>
  <si>
    <t>x</t>
  </si>
  <si>
    <t>Uniform probability density function</t>
  </si>
  <si>
    <t>PDF =  f(x)</t>
  </si>
  <si>
    <t>CDF = F(x)</t>
  </si>
  <si>
    <t>scale factor</t>
  </si>
  <si>
    <t>Area</t>
  </si>
  <si>
    <t>https://peltiertech.com/fill-under-plotted-line-standard-normal-curve/</t>
  </si>
  <si>
    <t>Graph shading graph workings</t>
  </si>
  <si>
    <t>Data points to higlight on CDF graph</t>
  </si>
  <si>
    <t>(The CDF function value at selected start end end values)</t>
  </si>
  <si>
    <t>Notes on below formula:</t>
  </si>
  <si>
    <t xml:space="preserve"> - non start or end values need to be na, zero or text does not wrok on graph as it </t>
  </si>
  <si>
    <t xml:space="preserve">   results in zero value items being displayed.</t>
  </si>
  <si>
    <t>Values for start and end value dropdown list</t>
  </si>
  <si>
    <t>Underlying data</t>
  </si>
  <si>
    <t>start value</t>
  </si>
  <si>
    <t>end value</t>
  </si>
  <si>
    <t>min graph display</t>
  </si>
  <si>
    <t>max graph display</t>
  </si>
  <si>
    <t>x-values</t>
  </si>
  <si>
    <t>Definitions</t>
  </si>
  <si>
    <t>I have tried other what seems like more</t>
  </si>
  <si>
    <t>"robust" solutions but none of them quite work!</t>
  </si>
  <si>
    <t>Quadratic probability density function</t>
  </si>
  <si>
    <t>Difference should be close to zero</t>
  </si>
  <si>
    <t>Integral (CDF) by trapezoid rule</t>
  </si>
  <si>
    <t>Area of trapazoid</t>
  </si>
  <si>
    <t>Select normal distribution properties</t>
  </si>
  <si>
    <t>Select probability range</t>
  </si>
  <si>
    <t xml:space="preserve">  </t>
  </si>
  <si>
    <t>Normal distribution: variable mean and standard deviation</t>
  </si>
  <si>
    <t>Manual check</t>
  </si>
  <si>
    <t>Should be zero</t>
  </si>
  <si>
    <t>Standard normal distribution</t>
  </si>
  <si>
    <t>Standard normal distribution properties</t>
  </si>
  <si>
    <t>Table of contents</t>
  </si>
  <si>
    <t>Return to table of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</si>
</sst>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0.0000_);\(#,##0.0000\);\-??"/>
    <numFmt numFmtId="165" formatCode="#,##0_);\(#,##0\);\-??"/>
    <numFmt numFmtId="166" formatCode="_-* #,##0.0000_-;\-* #,##0.0000_-;_-* &quot;-&quot;??_-;_-@_-"/>
    <numFmt numFmtId="167" formatCode="_-* #,##0.0_-;\-* #,##0.0_-;_-* &quot;-&quot;??_-;_-@_-"/>
    <numFmt numFmtId="168" formatCode="_-* #,##0_-;\-* #,##0_-;_-* &quot;-&quot;??_-;_-@_-"/>
    <numFmt numFmtId="169" formatCode="_-* #,##0.000_-;\-* #,##0.000_-;_-* &quot;-&quot;??_-;_-@_-"/>
    <numFmt numFmtId="170" formatCode="0.0000"/>
    <numFmt numFmtId="171" formatCode="0.0"/>
    <numFmt numFmtId="172" formatCode="_-* #,##0.00000_-;\-* #,##0.0000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u/>
      <sz val="11"/>
      <color theme="10"/>
      <name val="Calibri"/>
      <family val="2"/>
      <scheme val="minor"/>
    </font>
    <font>
      <b/>
      <sz val="14"/>
      <color theme="1"/>
      <name val="Calibri"/>
      <family val="2"/>
      <scheme val="minor"/>
    </font>
    <font>
      <sz val="11"/>
      <color theme="4" tint="-0.499984740745262"/>
      <name val="Calibri"/>
      <family val="2"/>
      <scheme val="minor"/>
    </font>
    <font>
      <b/>
      <sz val="20"/>
      <color theme="4" tint="-0.499984740745262"/>
      <name val="Calibri"/>
      <family val="2"/>
      <scheme val="minor"/>
    </font>
    <font>
      <b/>
      <sz val="11"/>
      <name val="Calibri"/>
      <family val="2"/>
      <scheme val="minor"/>
    </font>
    <font>
      <sz val="11"/>
      <color theme="0" tint="-0.249977111117893"/>
      <name val="Calibri"/>
      <family val="2"/>
      <scheme val="minor"/>
    </font>
    <font>
      <b/>
      <sz val="11"/>
      <color theme="4" tint="-0.499984740745262"/>
      <name val="Calibri"/>
      <family val="2"/>
      <scheme val="minor"/>
    </font>
    <font>
      <sz val="11"/>
      <color theme="0" tint="-0.499984740745262"/>
      <name val="Calibri"/>
      <family val="2"/>
      <scheme val="minor"/>
    </font>
    <font>
      <b/>
      <sz val="11"/>
      <color theme="0" tint="-0.499984740745262"/>
      <name val="Calibri"/>
      <family val="2"/>
      <scheme val="minor"/>
    </font>
    <font>
      <sz val="14"/>
      <color theme="1"/>
      <name val="Calibri"/>
      <family val="2"/>
      <scheme val="minor"/>
    </font>
    <font>
      <b/>
      <sz val="11"/>
      <color rgb="FF993300"/>
      <name val="Calibri"/>
      <family val="2"/>
      <scheme val="minor"/>
    </font>
    <font>
      <sz val="11"/>
      <color indexed="81"/>
      <name val="Tahoma"/>
      <family val="2"/>
    </font>
    <font>
      <sz val="14"/>
      <color rgb="FF000000"/>
      <name val="Calibri"/>
      <family val="2"/>
      <scheme val="minor"/>
    </font>
    <font>
      <sz val="8"/>
      <name val="Calibri"/>
      <family val="2"/>
      <scheme val="minor"/>
    </font>
    <font>
      <u/>
      <sz val="10"/>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79998168889431442"/>
        <bgColor indexed="64"/>
      </patternFill>
    </fill>
  </fills>
  <borders count="6">
    <border>
      <left/>
      <right/>
      <top/>
      <bottom/>
      <diagonal/>
    </border>
    <border>
      <left/>
      <right/>
      <top style="thin">
        <color theme="0" tint="-0.499984740745262"/>
      </top>
      <bottom style="double">
        <color theme="0" tint="-0.499984740745262"/>
      </bottom>
      <diagonal/>
    </border>
    <border>
      <left/>
      <right style="thick">
        <color auto="1"/>
      </right>
      <top/>
      <bottom/>
      <diagonal/>
    </border>
    <border>
      <left style="thin">
        <color indexed="64"/>
      </left>
      <right style="thin">
        <color indexed="64"/>
      </right>
      <top style="thin">
        <color indexed="64"/>
      </top>
      <bottom style="thin">
        <color indexed="64"/>
      </bottom>
      <diagonal/>
    </border>
    <border>
      <left/>
      <right/>
      <top style="medium">
        <color theme="0" tint="-0.499984740745262"/>
      </top>
      <bottom style="double">
        <color theme="0" tint="-0.499984740745262"/>
      </bottom>
      <diagonal/>
    </border>
    <border>
      <left style="thick">
        <color auto="1"/>
      </left>
      <right/>
      <top/>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cellStyleXfs>
  <cellXfs count="54">
    <xf numFmtId="0" fontId="0" fillId="0" borderId="0" xfId="0"/>
    <xf numFmtId="164" fontId="0" fillId="0" borderId="0" xfId="0" applyNumberFormat="1"/>
    <xf numFmtId="0" fontId="3" fillId="0" borderId="0" xfId="0" applyFont="1"/>
    <xf numFmtId="0" fontId="5" fillId="0" borderId="0" xfId="0" applyFont="1"/>
    <xf numFmtId="0" fontId="0" fillId="0" borderId="0" xfId="0" applyAlignment="1">
      <alignment horizontal="left"/>
    </xf>
    <xf numFmtId="0" fontId="2" fillId="0" borderId="0" xfId="0" applyFont="1"/>
    <xf numFmtId="0" fontId="2" fillId="0" borderId="0" xfId="0" applyFont="1" applyAlignment="1">
      <alignment horizontal="center" vertical="top" wrapText="1"/>
    </xf>
    <xf numFmtId="164" fontId="0" fillId="0" borderId="0" xfId="0" applyNumberFormat="1" applyAlignment="1">
      <alignment horizontal="center"/>
    </xf>
    <xf numFmtId="164" fontId="6" fillId="0" borderId="0" xfId="0" applyNumberFormat="1" applyFont="1" applyAlignment="1">
      <alignment horizontal="center"/>
    </xf>
    <xf numFmtId="0" fontId="2" fillId="0" borderId="0" xfId="0" applyFont="1" applyAlignment="1">
      <alignment horizontal="left" indent="3"/>
    </xf>
    <xf numFmtId="0" fontId="9" fillId="0" borderId="0" xfId="0" applyFont="1"/>
    <xf numFmtId="0" fontId="8" fillId="0" borderId="0" xfId="0" applyFont="1"/>
    <xf numFmtId="166" fontId="0" fillId="0" borderId="0" xfId="3" applyNumberFormat="1" applyFont="1"/>
    <xf numFmtId="10" fontId="10" fillId="0" borderId="0" xfId="1" applyNumberFormat="1" applyFont="1"/>
    <xf numFmtId="0" fontId="0" fillId="0" borderId="2" xfId="0" applyBorder="1"/>
    <xf numFmtId="167" fontId="0" fillId="0" borderId="0" xfId="3" applyNumberFormat="1" applyFont="1"/>
    <xf numFmtId="0" fontId="4" fillId="0" borderId="0" xfId="2" applyBorder="1"/>
    <xf numFmtId="165" fontId="0" fillId="0" borderId="0" xfId="0" applyNumberFormat="1"/>
    <xf numFmtId="0" fontId="0" fillId="2" borderId="0" xfId="0" applyFill="1"/>
    <xf numFmtId="0" fontId="0" fillId="4" borderId="0" xfId="0" applyFill="1"/>
    <xf numFmtId="0" fontId="0" fillId="3" borderId="0" xfId="0" applyFill="1"/>
    <xf numFmtId="164" fontId="11" fillId="0" borderId="0" xfId="0" applyNumberFormat="1" applyFont="1" applyAlignment="1">
      <alignment horizontal="center"/>
    </xf>
    <xf numFmtId="0" fontId="12" fillId="0" borderId="0" xfId="0" applyFont="1" applyAlignment="1">
      <alignment horizontal="center" vertical="top" wrapText="1"/>
    </xf>
    <xf numFmtId="0" fontId="12" fillId="0" borderId="0" xfId="0" applyFont="1" applyAlignment="1">
      <alignment horizontal="center"/>
    </xf>
    <xf numFmtId="0" fontId="12" fillId="0" borderId="1" xfId="0" applyFont="1" applyBorder="1" applyAlignment="1">
      <alignment horizontal="center"/>
    </xf>
    <xf numFmtId="0" fontId="13" fillId="0" borderId="0" xfId="0" applyFont="1" applyAlignment="1">
      <alignment horizontal="centerContinuous"/>
    </xf>
    <xf numFmtId="0" fontId="0" fillId="0" borderId="0" xfId="0" applyAlignment="1">
      <alignment horizontal="centerContinuous"/>
    </xf>
    <xf numFmtId="0" fontId="7" fillId="0" borderId="0" xfId="0" applyFont="1" applyAlignment="1">
      <alignment horizontal="left"/>
    </xf>
    <xf numFmtId="165" fontId="0" fillId="0" borderId="2" xfId="0" applyNumberFormat="1" applyBorder="1"/>
    <xf numFmtId="10" fontId="14" fillId="0" borderId="0" xfId="1" applyNumberFormat="1" applyFont="1"/>
    <xf numFmtId="0" fontId="0" fillId="0" borderId="0" xfId="0" applyAlignment="1">
      <alignment horizontal="left" indent="1"/>
    </xf>
    <xf numFmtId="0" fontId="14" fillId="0" borderId="0" xfId="0" applyFont="1"/>
    <xf numFmtId="0" fontId="0" fillId="5" borderId="3" xfId="0" applyFill="1" applyBorder="1"/>
    <xf numFmtId="43" fontId="0" fillId="0" borderId="0" xfId="3" applyFont="1"/>
    <xf numFmtId="168" fontId="0" fillId="0" borderId="0" xfId="3" applyNumberFormat="1" applyFont="1"/>
    <xf numFmtId="167" fontId="11" fillId="0" borderId="0" xfId="3" applyNumberFormat="1" applyFont="1"/>
    <xf numFmtId="167" fontId="11" fillId="0" borderId="0" xfId="0" applyNumberFormat="1" applyFont="1"/>
    <xf numFmtId="169" fontId="11" fillId="0" borderId="0" xfId="3" applyNumberFormat="1" applyFont="1"/>
    <xf numFmtId="0" fontId="11" fillId="0" borderId="0" xfId="0" applyFont="1"/>
    <xf numFmtId="0" fontId="0" fillId="0" borderId="5" xfId="0" applyBorder="1"/>
    <xf numFmtId="168" fontId="0" fillId="4" borderId="0" xfId="3" applyNumberFormat="1" applyFont="1" applyFill="1"/>
    <xf numFmtId="169" fontId="12" fillId="0" borderId="4" xfId="0" applyNumberFormat="1" applyFont="1" applyBorder="1"/>
    <xf numFmtId="169" fontId="11" fillId="0" borderId="0" xfId="0" applyNumberFormat="1" applyFont="1"/>
    <xf numFmtId="164" fontId="11" fillId="0" borderId="0" xfId="0" applyNumberFormat="1" applyFont="1"/>
    <xf numFmtId="0" fontId="16" fillId="0" borderId="0" xfId="0" applyFont="1" applyAlignment="1">
      <alignment horizontal="center" vertical="center" readingOrder="1"/>
    </xf>
    <xf numFmtId="170" fontId="11" fillId="0" borderId="0" xfId="3" applyNumberFormat="1" applyFont="1"/>
    <xf numFmtId="170" fontId="11" fillId="0" borderId="0" xfId="0" applyNumberFormat="1" applyFont="1"/>
    <xf numFmtId="0" fontId="0" fillId="5" borderId="3" xfId="0" applyFill="1" applyBorder="1" applyAlignment="1">
      <alignment horizontal="center" vertical="center"/>
    </xf>
    <xf numFmtId="171" fontId="0" fillId="0" borderId="0" xfId="0" applyNumberFormat="1"/>
    <xf numFmtId="171" fontId="0" fillId="5" borderId="3" xfId="0" applyNumberFormat="1" applyFill="1" applyBorder="1"/>
    <xf numFmtId="172" fontId="0" fillId="0" borderId="0" xfId="3" applyNumberFormat="1" applyFont="1"/>
    <xf numFmtId="0" fontId="14" fillId="0" borderId="0" xfId="0" applyFont="1" applyAlignment="1">
      <alignment vertical="top"/>
    </xf>
    <xf numFmtId="0" fontId="4" fillId="0" borderId="0" xfId="2"/>
    <xf numFmtId="0" fontId="18" fillId="0" borderId="0" xfId="2" applyFont="1"/>
  </cellXfs>
  <cellStyles count="4">
    <cellStyle name="Comma" xfId="3" builtinId="3"/>
    <cellStyle name="Hyperlink" xfId="2" builtinId="8"/>
    <cellStyle name="Normal" xfId="0" builtinId="0"/>
    <cellStyle name="Percent" xfId="1" builtinId="5"/>
  </cellStyles>
  <dxfs count="54">
    <dxf>
      <font>
        <b/>
        <i val="0"/>
        <color rgb="FFFF0000"/>
      </font>
      <fill>
        <patternFill>
          <bgColor rgb="FFFFFF00"/>
        </patternFill>
      </fill>
    </dxf>
    <dxf>
      <font>
        <b/>
        <i val="0"/>
        <color rgb="FFFF0000"/>
      </font>
      <fill>
        <patternFill>
          <bgColor rgb="FFFFFF00"/>
        </patternFill>
      </fill>
    </dxf>
    <dxf>
      <font>
        <b/>
        <i val="0"/>
        <color rgb="FF993300"/>
      </font>
      <fill>
        <patternFill patternType="none">
          <bgColor auto="1"/>
        </patternFill>
      </fill>
    </dxf>
    <dxf>
      <font>
        <b/>
        <i val="0"/>
        <color rgb="FF993300"/>
      </font>
      <fill>
        <patternFill patternType="none">
          <bgColor auto="1"/>
        </patternFill>
      </fill>
    </dxf>
    <dxf>
      <font>
        <b/>
        <i val="0"/>
        <color rgb="FFFF0000"/>
      </font>
      <fill>
        <patternFill>
          <bgColor rgb="FFFFFF00"/>
        </patternFill>
      </fill>
    </dxf>
    <dxf>
      <font>
        <b/>
        <i val="0"/>
        <color auto="1"/>
      </font>
      <fill>
        <patternFill patternType="solid">
          <bgColor rgb="FFD9D9D9"/>
        </patternFill>
      </fill>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b/>
        <strike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i val="0"/>
        <strike val="0"/>
        <outline val="0"/>
        <shadow val="0"/>
        <u val="none"/>
        <vertAlign val="baseline"/>
        <sz val="11"/>
        <color theme="0" tint="-0.499984740745262"/>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9" formatCode="_-* #,##0.000_-;\-* #,##0.000_-;_-* &quot;-&quot;??_-;_-@_-"/>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7" formatCode="_-* #,##0.0_-;\-* #,##0.0_-;_-* &quot;-&quot;??_-;_-@_-"/>
    </dxf>
    <dxf>
      <font>
        <b val="0"/>
        <i val="0"/>
        <strike val="0"/>
        <condense val="0"/>
        <extend val="0"/>
        <outline val="0"/>
        <shadow val="0"/>
        <u val="none"/>
        <vertAlign val="baseline"/>
        <sz val="11"/>
        <color theme="0" tint="-0.499984740745262"/>
        <name val="Calibri"/>
        <family val="2"/>
        <scheme val="minor"/>
      </font>
      <numFmt numFmtId="169" formatCode="_-* #,##0.000_-;\-* #,##0.000_-;_-* &quot;-&quot;??_-;_-@_-"/>
    </dxf>
    <dxf>
      <font>
        <strike val="0"/>
        <outline val="0"/>
        <shadow val="0"/>
        <u val="none"/>
        <vertAlign val="baseline"/>
        <sz val="11"/>
        <color theme="0" tint="-0.499984740745262"/>
        <name val="Calibri"/>
        <family val="2"/>
        <scheme val="minor"/>
      </font>
      <numFmt numFmtId="169" formatCode="_-* #,##0.000_-;\-* #,##0.000_-;_-* &quot;-&quot;??_-;_-@_-"/>
    </dxf>
    <dxf>
      <font>
        <b/>
        <i val="0"/>
        <strike val="0"/>
        <condense val="0"/>
        <extend val="0"/>
        <outline val="0"/>
        <shadow val="0"/>
        <u val="none"/>
        <vertAlign val="baseline"/>
        <sz val="11"/>
        <color theme="0" tint="-0.499984740745262"/>
        <name val="Calibri"/>
        <family val="2"/>
        <scheme val="minor"/>
      </font>
      <numFmt numFmtId="169" formatCode="_-* #,##0.000_-;\-* #,##0.000_-;_-* &quot;-&quot;??_-;_-@_-"/>
      <border diagonalUp="0" diagonalDown="0" outline="0">
        <left/>
        <right/>
        <top style="medium">
          <color theme="0" tint="-0.499984740745262"/>
        </top>
        <bottom style="double">
          <color theme="0" tint="-0.499984740745262"/>
        </bottom>
      </border>
    </dxf>
    <dxf>
      <font>
        <strike val="0"/>
        <outline val="0"/>
        <shadow val="0"/>
        <u val="none"/>
        <vertAlign val="baseline"/>
        <sz val="11"/>
        <color theme="0" tint="-0.499984740745262"/>
        <name val="Calibri"/>
        <family val="2"/>
        <scheme val="minor"/>
      </font>
      <numFmt numFmtId="169" formatCode="_-* #,##0.000_-;\-* #,##0.000_-;_-* &quot;-&quot;??_-;_-@_-"/>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7" formatCode="_-* #,##0.0_-;\-* #,##0.0_-;_-* &quot;-&quot;??_-;_-@_-"/>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7" formatCode="_-* #,##0.0_-;\-* #,##0.0_-;_-* &quot;-&quot;??_-;_-@_-"/>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b/>
        <i val="0"/>
        <strike val="0"/>
        <condense val="0"/>
        <extend val="0"/>
        <outline val="0"/>
        <shadow val="0"/>
        <u val="none"/>
        <vertAlign val="baseline"/>
        <sz val="11"/>
        <color theme="0" tint="-0.499984740745262"/>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general"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border diagonalUp="0" diagonalDown="0" outline="0">
        <left/>
        <right/>
        <top style="thin">
          <color theme="0" tint="-0.499984740745262"/>
        </top>
        <bottom style="double">
          <color theme="0" tint="-0.499984740745262"/>
        </bottom>
      </border>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alignment horizontal="general" vertical="bottom" textRotation="0" wrapText="0" indent="0" justifyLastLine="0" shrinkToFit="0" readingOrder="0"/>
    </dxf>
    <dxf>
      <font>
        <b/>
        <strike val="0"/>
        <outline val="0"/>
        <shadow val="0"/>
        <u val="none"/>
        <vertAlign val="baseline"/>
        <sz val="11"/>
        <color theme="0" tint="-0.499984740745262"/>
        <name val="Calibri"/>
        <family val="2"/>
        <scheme val="minor"/>
      </font>
      <alignment horizontal="center" vertical="top" textRotation="0" wrapText="1" indent="0" justifyLastLine="0" shrinkToFit="0" readingOrder="0"/>
    </dxf>
    <dxf>
      <fill>
        <patternFill>
          <bgColor rgb="FFFFFFFF"/>
        </patternFill>
      </fill>
    </dxf>
    <dxf>
      <fill>
        <patternFill>
          <bgColor rgb="FFD9D9D9"/>
        </patternFill>
      </fill>
    </dxf>
    <dxf>
      <font>
        <b/>
        <i val="0"/>
        <color rgb="FFFFFFFF"/>
      </font>
      <fill>
        <patternFill>
          <bgColor rgb="FF4472C4"/>
        </patternFill>
      </fill>
      <border>
        <top style="medium">
          <color auto="1"/>
        </top>
        <bottom style="medium">
          <color auto="1"/>
        </bottom>
      </border>
    </dxf>
    <dxf>
      <border>
        <bottom style="medium">
          <color auto="1"/>
        </bottom>
      </border>
    </dxf>
  </dxfs>
  <tableStyles count="1" defaultTableStyle="TableStyleMedium2" defaultPivotStyle="PivotStyleLight16">
    <tableStyle name="SpreadsheetBiStyle" pivot="0" table="0" count="4" xr9:uid="{F1B4970C-8711-4545-8732-60B44A50DA8D}">
      <tableStyleElement type="wholeTable" dxfId="53"/>
      <tableStyleElement type="headerRow" dxfId="52"/>
      <tableStyleElement type="firstRowStripe" dxfId="51"/>
      <tableStyleElement type="secondRowStripe" dxfId="50"/>
    </tableStyle>
  </tableStyles>
  <colors>
    <mruColors>
      <color rgb="FF993300"/>
      <color rgb="FFD9D9D9"/>
      <color rgb="FF4472C4"/>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t>Probability</a:t>
            </a:r>
            <a:r>
              <a:rPr lang="en-AU" baseline="0"/>
              <a:t> density function (fx)</a:t>
            </a:r>
            <a:endParaRPr lang="en-AU"/>
          </a:p>
        </c:rich>
      </c:tx>
      <c:layout>
        <c:manualLayout>
          <c:xMode val="edge"/>
          <c:yMode val="edge"/>
          <c:x val="0.30430163398692811"/>
          <c:y val="6.22549019607843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6.1974019607843135E-2"/>
          <c:y val="5.7447058823529421E-2"/>
          <c:w val="0.83955838795965843"/>
          <c:h val="0.86263406398368281"/>
        </c:manualLayout>
      </c:layout>
      <c:areaChart>
        <c:grouping val="standard"/>
        <c:varyColors val="0"/>
        <c:ser>
          <c:idx val="1"/>
          <c:order val="1"/>
          <c:tx>
            <c:v>Area</c:v>
          </c:tx>
          <c:spPr>
            <a:solidFill>
              <a:srgbClr val="D9D9D9"/>
            </a:solidFill>
            <a:ln>
              <a:noFill/>
            </a:ln>
            <a:effectLst/>
          </c:spPr>
          <c:cat>
            <c:numRef>
              <c:f>Workings_Uniform!$N$18:$N$72</c:f>
              <c:numCache>
                <c:formatCode>#,##0_);\(#,##0\);\-??</c:formatCode>
                <c:ptCount val="55"/>
                <c:pt idx="0">
                  <c:v>2000</c:v>
                </c:pt>
                <c:pt idx="1">
                  <c:v>5200.0000000000027</c:v>
                </c:pt>
                <c:pt idx="2">
                  <c:v>5200.0000000000027</c:v>
                </c:pt>
                <c:pt idx="3">
                  <c:v>5248.0000000000027</c:v>
                </c:pt>
                <c:pt idx="4">
                  <c:v>5296.0000000000027</c:v>
                </c:pt>
                <c:pt idx="5">
                  <c:v>5344.0000000000036</c:v>
                </c:pt>
                <c:pt idx="6">
                  <c:v>5392.0000000000036</c:v>
                </c:pt>
                <c:pt idx="7">
                  <c:v>5440.0000000000027</c:v>
                </c:pt>
                <c:pt idx="8">
                  <c:v>5488.0000000000027</c:v>
                </c:pt>
                <c:pt idx="9">
                  <c:v>5536.0000000000027</c:v>
                </c:pt>
                <c:pt idx="10">
                  <c:v>5584.0000000000036</c:v>
                </c:pt>
                <c:pt idx="11">
                  <c:v>5632.0000000000036</c:v>
                </c:pt>
                <c:pt idx="12">
                  <c:v>5680.0000000000027</c:v>
                </c:pt>
                <c:pt idx="13">
                  <c:v>5728.0000000000027</c:v>
                </c:pt>
                <c:pt idx="14">
                  <c:v>5776.0000000000036</c:v>
                </c:pt>
                <c:pt idx="15">
                  <c:v>5824.0000000000036</c:v>
                </c:pt>
                <c:pt idx="16">
                  <c:v>5872.0000000000036</c:v>
                </c:pt>
                <c:pt idx="17">
                  <c:v>5920.0000000000027</c:v>
                </c:pt>
                <c:pt idx="18">
                  <c:v>5968.0000000000036</c:v>
                </c:pt>
                <c:pt idx="19">
                  <c:v>6016.0000000000036</c:v>
                </c:pt>
                <c:pt idx="20">
                  <c:v>6064.0000000000036</c:v>
                </c:pt>
                <c:pt idx="21">
                  <c:v>6112.0000000000045</c:v>
                </c:pt>
                <c:pt idx="22">
                  <c:v>6160.0000000000036</c:v>
                </c:pt>
                <c:pt idx="23">
                  <c:v>6208.0000000000036</c:v>
                </c:pt>
                <c:pt idx="24">
                  <c:v>6256.0000000000036</c:v>
                </c:pt>
                <c:pt idx="25">
                  <c:v>6304.0000000000036</c:v>
                </c:pt>
                <c:pt idx="26">
                  <c:v>6352.0000000000045</c:v>
                </c:pt>
                <c:pt idx="27">
                  <c:v>6400.0000000000036</c:v>
                </c:pt>
                <c:pt idx="28">
                  <c:v>6448.0000000000036</c:v>
                </c:pt>
                <c:pt idx="29">
                  <c:v>6496.0000000000036</c:v>
                </c:pt>
                <c:pt idx="30">
                  <c:v>6544.0000000000045</c:v>
                </c:pt>
                <c:pt idx="31">
                  <c:v>6592.0000000000045</c:v>
                </c:pt>
                <c:pt idx="32">
                  <c:v>6640.0000000000036</c:v>
                </c:pt>
                <c:pt idx="33">
                  <c:v>6688.0000000000036</c:v>
                </c:pt>
                <c:pt idx="34">
                  <c:v>6736.0000000000055</c:v>
                </c:pt>
                <c:pt idx="35">
                  <c:v>6784.0000000000055</c:v>
                </c:pt>
                <c:pt idx="36">
                  <c:v>6832.0000000000045</c:v>
                </c:pt>
                <c:pt idx="37">
                  <c:v>6880.0000000000045</c:v>
                </c:pt>
                <c:pt idx="38">
                  <c:v>6928.0000000000055</c:v>
                </c:pt>
                <c:pt idx="39">
                  <c:v>6976.0000000000055</c:v>
                </c:pt>
                <c:pt idx="40">
                  <c:v>7024.0000000000055</c:v>
                </c:pt>
                <c:pt idx="41">
                  <c:v>7072.0000000000045</c:v>
                </c:pt>
                <c:pt idx="42">
                  <c:v>7120.0000000000055</c:v>
                </c:pt>
                <c:pt idx="43">
                  <c:v>7168.0000000000055</c:v>
                </c:pt>
                <c:pt idx="44">
                  <c:v>7216.0000000000055</c:v>
                </c:pt>
                <c:pt idx="45">
                  <c:v>7264.0000000000064</c:v>
                </c:pt>
                <c:pt idx="46">
                  <c:v>7312.0000000000055</c:v>
                </c:pt>
                <c:pt idx="47">
                  <c:v>7360.0000000000064</c:v>
                </c:pt>
                <c:pt idx="48">
                  <c:v>7408.0000000000064</c:v>
                </c:pt>
                <c:pt idx="49">
                  <c:v>7456.0000000000073</c:v>
                </c:pt>
                <c:pt idx="50">
                  <c:v>7504.0000000000064</c:v>
                </c:pt>
                <c:pt idx="51">
                  <c:v>7552.0000000000064</c:v>
                </c:pt>
                <c:pt idx="52">
                  <c:v>7600.0000000000045</c:v>
                </c:pt>
                <c:pt idx="53">
                  <c:v>7600.0000000000045</c:v>
                </c:pt>
                <c:pt idx="54">
                  <c:v>8000.0000000000045</c:v>
                </c:pt>
              </c:numCache>
            </c:numRef>
          </c:cat>
          <c:val>
            <c:numRef>
              <c:f>Workings_Uniform!$O$18:$O$72</c:f>
              <c:numCache>
                <c:formatCode>General</c:formatCode>
                <c:ptCount val="55"/>
                <c:pt idx="0">
                  <c:v>0</c:v>
                </c:pt>
                <c:pt idx="1">
                  <c:v>0</c:v>
                </c:pt>
                <c:pt idx="2">
                  <c:v>0.33333333333333331</c:v>
                </c:pt>
                <c:pt idx="3">
                  <c:v>0.33333333333333331</c:v>
                </c:pt>
                <c:pt idx="4">
                  <c:v>0.33333333333333331</c:v>
                </c:pt>
                <c:pt idx="5">
                  <c:v>0.33333333333333331</c:v>
                </c:pt>
                <c:pt idx="6">
                  <c:v>0.33333333333333331</c:v>
                </c:pt>
                <c:pt idx="7">
                  <c:v>0.33333333333333331</c:v>
                </c:pt>
                <c:pt idx="8">
                  <c:v>0.33333333333333331</c:v>
                </c:pt>
                <c:pt idx="9">
                  <c:v>0.33333333333333331</c:v>
                </c:pt>
                <c:pt idx="10">
                  <c:v>0.33333333333333331</c:v>
                </c:pt>
                <c:pt idx="11">
                  <c:v>0.33333333333333331</c:v>
                </c:pt>
                <c:pt idx="12">
                  <c:v>0.33333333333333331</c:v>
                </c:pt>
                <c:pt idx="13">
                  <c:v>0.33333333333333331</c:v>
                </c:pt>
                <c:pt idx="14">
                  <c:v>0.33333333333333331</c:v>
                </c:pt>
                <c:pt idx="15">
                  <c:v>0.33333333333333331</c:v>
                </c:pt>
                <c:pt idx="16">
                  <c:v>0.33333333333333331</c:v>
                </c:pt>
                <c:pt idx="17">
                  <c:v>0.33333333333333331</c:v>
                </c:pt>
                <c:pt idx="18">
                  <c:v>0.33333333333333331</c:v>
                </c:pt>
                <c:pt idx="19">
                  <c:v>0.33333333333333331</c:v>
                </c:pt>
                <c:pt idx="20">
                  <c:v>0.33333333333333331</c:v>
                </c:pt>
                <c:pt idx="21">
                  <c:v>0.33333333333333331</c:v>
                </c:pt>
                <c:pt idx="22">
                  <c:v>0.33333333333333331</c:v>
                </c:pt>
                <c:pt idx="23">
                  <c:v>0.33333333333333331</c:v>
                </c:pt>
                <c:pt idx="24">
                  <c:v>0.33333333333333331</c:v>
                </c:pt>
                <c:pt idx="25">
                  <c:v>0.33333333333333331</c:v>
                </c:pt>
                <c:pt idx="26">
                  <c:v>0.33333333333333331</c:v>
                </c:pt>
                <c:pt idx="27">
                  <c:v>0.33333333333333331</c:v>
                </c:pt>
                <c:pt idx="28">
                  <c:v>0.33333333333333331</c:v>
                </c:pt>
                <c:pt idx="29">
                  <c:v>0.33333333333333331</c:v>
                </c:pt>
                <c:pt idx="30">
                  <c:v>0.33333333333333331</c:v>
                </c:pt>
                <c:pt idx="31">
                  <c:v>0.33333333333333331</c:v>
                </c:pt>
                <c:pt idx="32">
                  <c:v>0.33333333333333331</c:v>
                </c:pt>
                <c:pt idx="33">
                  <c:v>0.33333333333333331</c:v>
                </c:pt>
                <c:pt idx="34">
                  <c:v>0.33333333333333331</c:v>
                </c:pt>
                <c:pt idx="35">
                  <c:v>0.33333333333333331</c:v>
                </c:pt>
                <c:pt idx="36">
                  <c:v>0.33333333333333331</c:v>
                </c:pt>
                <c:pt idx="37">
                  <c:v>0.33333333333333331</c:v>
                </c:pt>
                <c:pt idx="38">
                  <c:v>0.33333333333333331</c:v>
                </c:pt>
                <c:pt idx="39">
                  <c:v>0.33333333333333331</c:v>
                </c:pt>
                <c:pt idx="40">
                  <c:v>0.33333333333333331</c:v>
                </c:pt>
                <c:pt idx="41">
                  <c:v>0.33333333333333331</c:v>
                </c:pt>
                <c:pt idx="42">
                  <c:v>0.33333333333333331</c:v>
                </c:pt>
                <c:pt idx="43">
                  <c:v>0.33333333333333331</c:v>
                </c:pt>
                <c:pt idx="44">
                  <c:v>0.33333333333333331</c:v>
                </c:pt>
                <c:pt idx="45">
                  <c:v>0.33333333333333331</c:v>
                </c:pt>
                <c:pt idx="46">
                  <c:v>0.33333333333333331</c:v>
                </c:pt>
                <c:pt idx="47">
                  <c:v>0.33333333333333331</c:v>
                </c:pt>
                <c:pt idx="48">
                  <c:v>0.33333333333333331</c:v>
                </c:pt>
                <c:pt idx="49">
                  <c:v>0.33333333333333331</c:v>
                </c:pt>
                <c:pt idx="50">
                  <c:v>0.33333333333333331</c:v>
                </c:pt>
                <c:pt idx="51">
                  <c:v>0.33333333333333331</c:v>
                </c:pt>
                <c:pt idx="52">
                  <c:v>0.33333333333333331</c:v>
                </c:pt>
                <c:pt idx="53">
                  <c:v>0</c:v>
                </c:pt>
                <c:pt idx="54">
                  <c:v>0</c:v>
                </c:pt>
              </c:numCache>
            </c:numRef>
          </c:val>
          <c:extLst>
            <c:ext xmlns:c16="http://schemas.microsoft.com/office/drawing/2014/chart" uri="{C3380CC4-5D6E-409C-BE32-E72D297353CC}">
              <c16:uniqueId val="{00000003-4F23-4DB2-A7CE-5208FEE7A1D8}"/>
            </c:ext>
          </c:extLst>
        </c:ser>
        <c:dLbls>
          <c:showLegendKey val="0"/>
          <c:showVal val="0"/>
          <c:showCatName val="0"/>
          <c:showSerName val="0"/>
          <c:showPercent val="0"/>
          <c:showBubbleSize val="0"/>
        </c:dLbls>
        <c:axId val="1019471200"/>
        <c:axId val="1019470704"/>
      </c:areaChart>
      <c:scatterChart>
        <c:scatterStyle val="lineMarker"/>
        <c:varyColors val="0"/>
        <c:ser>
          <c:idx val="0"/>
          <c:order val="0"/>
          <c:spPr>
            <a:ln w="15875" cap="rnd">
              <a:solidFill>
                <a:srgbClr val="4472C4"/>
              </a:solidFill>
              <a:round/>
            </a:ln>
            <a:effectLst/>
          </c:spPr>
          <c:marker>
            <c:symbol val="none"/>
          </c:marker>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Uniform!$O$24:$O$54</c:f>
              <c:numCache>
                <c:formatCode>#,##0.0000_);\(#,##0.0000\);\-??</c:formatCode>
                <c:ptCount val="31"/>
                <c:pt idx="0">
                  <c:v>0.33333333333333331</c:v>
                </c:pt>
                <c:pt idx="1">
                  <c:v>0.33333333333333331</c:v>
                </c:pt>
                <c:pt idx="2">
                  <c:v>0.33333333333333331</c:v>
                </c:pt>
                <c:pt idx="3">
                  <c:v>0.33333333333333331</c:v>
                </c:pt>
                <c:pt idx="4">
                  <c:v>0.33333333333333331</c:v>
                </c:pt>
                <c:pt idx="5">
                  <c:v>0.33333333333333331</c:v>
                </c:pt>
                <c:pt idx="6">
                  <c:v>0.33333333333333331</c:v>
                </c:pt>
                <c:pt idx="7">
                  <c:v>0.33333333333333331</c:v>
                </c:pt>
                <c:pt idx="8">
                  <c:v>0.33333333333333331</c:v>
                </c:pt>
                <c:pt idx="9">
                  <c:v>0.33333333333333331</c:v>
                </c:pt>
                <c:pt idx="10">
                  <c:v>0.33333333333333331</c:v>
                </c:pt>
                <c:pt idx="11">
                  <c:v>0.33333333333333331</c:v>
                </c:pt>
                <c:pt idx="12">
                  <c:v>0.33333333333333331</c:v>
                </c:pt>
                <c:pt idx="13">
                  <c:v>0.33333333333333331</c:v>
                </c:pt>
                <c:pt idx="14">
                  <c:v>0.33333333333333331</c:v>
                </c:pt>
                <c:pt idx="15">
                  <c:v>0.33333333333333331</c:v>
                </c:pt>
                <c:pt idx="16">
                  <c:v>0.33333333333333331</c:v>
                </c:pt>
                <c:pt idx="17">
                  <c:v>0.33333333333333331</c:v>
                </c:pt>
                <c:pt idx="18">
                  <c:v>0.33333333333333331</c:v>
                </c:pt>
                <c:pt idx="19">
                  <c:v>0.33333333333333331</c:v>
                </c:pt>
                <c:pt idx="20">
                  <c:v>0.33333333333333331</c:v>
                </c:pt>
                <c:pt idx="21">
                  <c:v>0.33333333333333331</c:v>
                </c:pt>
                <c:pt idx="22">
                  <c:v>0.33333333333333331</c:v>
                </c:pt>
                <c:pt idx="23">
                  <c:v>0.33333333333333331</c:v>
                </c:pt>
                <c:pt idx="24">
                  <c:v>0.33333333333333331</c:v>
                </c:pt>
                <c:pt idx="25">
                  <c:v>0.33333333333333331</c:v>
                </c:pt>
                <c:pt idx="26">
                  <c:v>0.33333333333333331</c:v>
                </c:pt>
                <c:pt idx="27">
                  <c:v>0.33333333333333331</c:v>
                </c:pt>
                <c:pt idx="28">
                  <c:v>0.33333333333333331</c:v>
                </c:pt>
                <c:pt idx="29">
                  <c:v>0.33333333333333331</c:v>
                </c:pt>
                <c:pt idx="30">
                  <c:v>0.33333333333333331</c:v>
                </c:pt>
              </c:numCache>
            </c:numRef>
          </c:yVal>
          <c:smooth val="0"/>
          <c:extLst>
            <c:ext xmlns:c16="http://schemas.microsoft.com/office/drawing/2014/chart" uri="{C3380CC4-5D6E-409C-BE32-E72D297353CC}">
              <c16:uniqueId val="{00000000-0BED-4487-AA2D-794FE2C4AE10}"/>
            </c:ext>
          </c:extLst>
        </c:ser>
        <c:dLbls>
          <c:showLegendKey val="0"/>
          <c:showVal val="0"/>
          <c:showCatName val="0"/>
          <c:showSerName val="0"/>
          <c:showPercent val="0"/>
          <c:showBubbleSize val="0"/>
        </c:dLbls>
        <c:axId val="1275397328"/>
        <c:axId val="1040331344"/>
      </c:scatterChart>
      <c:valAx>
        <c:axId val="1275397328"/>
        <c:scaling>
          <c:orientation val="minMax"/>
          <c:max val="5"/>
        </c:scaling>
        <c:delete val="0"/>
        <c:axPos val="b"/>
        <c:numFmt formatCode="#,##0_);\(#,##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40331344"/>
        <c:crosses val="autoZero"/>
        <c:crossBetween val="midCat"/>
        <c:majorUnit val="1"/>
      </c:valAx>
      <c:valAx>
        <c:axId val="1040331344"/>
        <c:scaling>
          <c:orientation val="minMax"/>
          <c:max val="0.5"/>
          <c:min val="0"/>
        </c:scaling>
        <c:delete val="0"/>
        <c:axPos val="l"/>
        <c:numFmt formatCode="#,##0.00_);\(#,##0.0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75397328"/>
        <c:crosses val="autoZero"/>
        <c:crossBetween val="midCat"/>
        <c:majorUnit val="0.33000000000000007"/>
      </c:valAx>
      <c:valAx>
        <c:axId val="1019470704"/>
        <c:scaling>
          <c:orientation val="minMax"/>
        </c:scaling>
        <c:delete val="1"/>
        <c:axPos val="r"/>
        <c:numFmt formatCode="General" sourceLinked="1"/>
        <c:majorTickMark val="out"/>
        <c:minorTickMark val="none"/>
        <c:tickLblPos val="nextTo"/>
        <c:crossAx val="1019471200"/>
        <c:crosses val="max"/>
        <c:crossBetween val="between"/>
      </c:valAx>
      <c:dateAx>
        <c:axId val="1019471200"/>
        <c:scaling>
          <c:orientation val="minMax"/>
          <c:max val="10000"/>
          <c:min val="1"/>
        </c:scaling>
        <c:delete val="1"/>
        <c:axPos val="t"/>
        <c:numFmt formatCode="#,##0_);\(#,##0\);\-??" sourceLinked="1"/>
        <c:majorTickMark val="out"/>
        <c:minorTickMark val="none"/>
        <c:tickLblPos val="nextTo"/>
        <c:crossAx val="1019470704"/>
        <c:crosses val="max"/>
        <c:auto val="0"/>
        <c:lblOffset val="100"/>
        <c:baseTimeUnit val="days"/>
        <c:majorUnit val="2000"/>
        <c:majorTimeUnit val="days"/>
        <c:minorUnit val="1"/>
      </c:dateAx>
      <c:spPr>
        <a:noFill/>
        <a:ln w="25400">
          <a:noFill/>
        </a:ln>
        <a:effectLst/>
      </c:spPr>
    </c:plotArea>
    <c:plotVisOnly val="0"/>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solidFill>
                  <a:sysClr val="windowText" lastClr="000000"/>
                </a:solidFill>
              </a:rPr>
              <a:t>Cumulative distribution function F(x)</a:t>
            </a:r>
          </a:p>
        </c:rich>
      </c:tx>
      <c:layout>
        <c:manualLayout>
          <c:xMode val="edge"/>
          <c:yMode val="edge"/>
          <c:x val="0.27728716853747704"/>
          <c:y val="1.03758169934640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1567973856209152"/>
          <c:y val="0.10650276037536595"/>
          <c:w val="0.83449020579494015"/>
          <c:h val="0.81334254288689933"/>
        </c:manualLayout>
      </c:layout>
      <c:scatterChart>
        <c:scatterStyle val="lineMarker"/>
        <c:varyColors val="0"/>
        <c:ser>
          <c:idx val="0"/>
          <c:order val="0"/>
          <c:tx>
            <c:v>CDF</c:v>
          </c:tx>
          <c:spPr>
            <a:ln w="19050" cap="rnd">
              <a:solidFill>
                <a:srgbClr val="4472C4"/>
              </a:solidFill>
              <a:round/>
            </a:ln>
            <a:effectLst/>
          </c:spPr>
          <c:marker>
            <c:symbol val="none"/>
          </c:marker>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Uniform!$R$24:$R$54</c:f>
              <c:numCache>
                <c:formatCode>#,##0.0000_);\(#,##0.0000\);\-??</c:formatCode>
                <c:ptCount val="31"/>
                <c:pt idx="0">
                  <c:v>0</c:v>
                </c:pt>
                <c:pt idx="1">
                  <c:v>3.3333333333333381E-2</c:v>
                </c:pt>
                <c:pt idx="2">
                  <c:v>6.6666666666666707E-2</c:v>
                </c:pt>
                <c:pt idx="3">
                  <c:v>0.10000000000000009</c:v>
                </c:pt>
                <c:pt idx="4">
                  <c:v>0.13333333333333347</c:v>
                </c:pt>
                <c:pt idx="5">
                  <c:v>0.1666666666666668</c:v>
                </c:pt>
                <c:pt idx="6">
                  <c:v>0.20000000000000012</c:v>
                </c:pt>
                <c:pt idx="7">
                  <c:v>0.23333333333333356</c:v>
                </c:pt>
                <c:pt idx="8">
                  <c:v>0.26666666666666689</c:v>
                </c:pt>
                <c:pt idx="9">
                  <c:v>0.30000000000000021</c:v>
                </c:pt>
                <c:pt idx="10">
                  <c:v>0.33333333333333365</c:v>
                </c:pt>
                <c:pt idx="11">
                  <c:v>0.36666666666666697</c:v>
                </c:pt>
                <c:pt idx="12">
                  <c:v>0.4000000000000003</c:v>
                </c:pt>
                <c:pt idx="13">
                  <c:v>0.43333333333333374</c:v>
                </c:pt>
                <c:pt idx="14">
                  <c:v>0.46666666666666706</c:v>
                </c:pt>
                <c:pt idx="15">
                  <c:v>0.50000000000000044</c:v>
                </c:pt>
                <c:pt idx="16">
                  <c:v>0.53333333333333388</c:v>
                </c:pt>
                <c:pt idx="17">
                  <c:v>0.5666666666666671</c:v>
                </c:pt>
                <c:pt idx="18">
                  <c:v>0.60000000000000053</c:v>
                </c:pt>
                <c:pt idx="19">
                  <c:v>0.63333333333333397</c:v>
                </c:pt>
                <c:pt idx="20">
                  <c:v>0.66666666666666718</c:v>
                </c:pt>
                <c:pt idx="21">
                  <c:v>0.70000000000000062</c:v>
                </c:pt>
                <c:pt idx="22">
                  <c:v>0.73333333333333406</c:v>
                </c:pt>
                <c:pt idx="23">
                  <c:v>0.76666666666666727</c:v>
                </c:pt>
                <c:pt idx="24">
                  <c:v>0.80000000000000071</c:v>
                </c:pt>
                <c:pt idx="25">
                  <c:v>0.83333333333333415</c:v>
                </c:pt>
                <c:pt idx="26">
                  <c:v>0.86666666666666736</c:v>
                </c:pt>
                <c:pt idx="27">
                  <c:v>0.9000000000000008</c:v>
                </c:pt>
                <c:pt idx="28">
                  <c:v>0.93333333333333424</c:v>
                </c:pt>
                <c:pt idx="29">
                  <c:v>0.96666666666666745</c:v>
                </c:pt>
                <c:pt idx="30">
                  <c:v>1.0000000000000009</c:v>
                </c:pt>
              </c:numCache>
            </c:numRef>
          </c:yVal>
          <c:smooth val="0"/>
          <c:extLst>
            <c:ext xmlns:c16="http://schemas.microsoft.com/office/drawing/2014/chart" uri="{C3380CC4-5D6E-409C-BE32-E72D297353CC}">
              <c16:uniqueId val="{00000000-B42B-4B62-87A5-586208D858C9}"/>
            </c:ext>
          </c:extLst>
        </c:ser>
        <c:ser>
          <c:idx val="1"/>
          <c:order val="1"/>
          <c:tx>
            <c:strRef>
              <c:f>Workings_Uniform!$F$11</c:f>
              <c:strCache>
                <c:ptCount val="1"/>
                <c:pt idx="0">
                  <c:v>F(X&lt;=2.6) = </c:v>
                </c:pt>
              </c:strCache>
            </c:strRef>
          </c:tx>
          <c:spPr>
            <a:ln w="19050" cap="rnd">
              <a:noFill/>
              <a:round/>
            </a:ln>
            <a:effectLst/>
          </c:spPr>
          <c:marker>
            <c:symbol val="circle"/>
            <c:size val="10"/>
            <c:spPr>
              <a:solidFill>
                <a:srgbClr val="993300"/>
              </a:solidFill>
              <a:ln w="9525">
                <a:noFill/>
              </a:ln>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Workings_Uniform!$F$12:$F$47</c:f>
              <c:numCache>
                <c:formatCode>General</c:formatCode>
                <c:ptCount val="36"/>
                <c:pt idx="0" formatCode="_-* #,##0.0000_-;\-* #,##0.0000_-;_-* &quot;-&quot;??_-;_-@_-">
                  <c:v>#N/A</c:v>
                </c:pt>
                <c:pt idx="1">
                  <c:v>#N/A</c:v>
                </c:pt>
                <c:pt idx="2">
                  <c:v>#N/A</c:v>
                </c:pt>
                <c:pt idx="3">
                  <c:v>#N/A</c:v>
                </c:pt>
                <c:pt idx="4">
                  <c:v>#N/A</c:v>
                </c:pt>
                <c:pt idx="5">
                  <c:v>#N/A</c:v>
                </c:pt>
                <c:pt idx="6" formatCode="_-* #,##0.0000_-;\-* #,##0.0000_-;_-* &quot;-&quot;??_-;_-@_-">
                  <c:v>#N/A</c:v>
                </c:pt>
                <c:pt idx="7" formatCode="_-* #,##0.0000_-;\-* #,##0.0000_-;_-* &quot;-&quot;??_-;_-@_-">
                  <c:v>#N/A</c:v>
                </c:pt>
                <c:pt idx="8" formatCode="_-* #,##0.0000_-;\-* #,##0.0000_-;_-* &quot;-&quot;??_-;_-@_-">
                  <c:v>#N/A</c:v>
                </c:pt>
                <c:pt idx="9" formatCode="_-* #,##0.0000_-;\-* #,##0.0000_-;_-* &quot;-&quot;??_-;_-@_-">
                  <c:v>#N/A</c:v>
                </c:pt>
                <c:pt idx="10" formatCode="_-* #,##0.0000_-;\-* #,##0.0000_-;_-* &quot;-&quot;??_-;_-@_-">
                  <c:v>#N/A</c:v>
                </c:pt>
                <c:pt idx="11" formatCode="_-* #,##0.0000_-;\-* #,##0.0000_-;_-* &quot;-&quot;??_-;_-@_-">
                  <c:v>#N/A</c:v>
                </c:pt>
                <c:pt idx="12" formatCode="_-* #,##0.0000_-;\-* #,##0.0000_-;_-* &quot;-&quot;??_-;_-@_-">
                  <c:v>#N/A</c:v>
                </c:pt>
                <c:pt idx="13" formatCode="_-* #,##0.0000_-;\-* #,##0.0000_-;_-* &quot;-&quot;??_-;_-@_-">
                  <c:v>#N/A</c:v>
                </c:pt>
                <c:pt idx="14" formatCode="_-* #,##0.0000_-;\-* #,##0.0000_-;_-* &quot;-&quot;??_-;_-@_-">
                  <c:v>#N/A</c:v>
                </c:pt>
                <c:pt idx="15" formatCode="_-* #,##0.0000_-;\-* #,##0.0000_-;_-* &quot;-&quot;??_-;_-@_-">
                  <c:v>#N/A</c:v>
                </c:pt>
                <c:pt idx="16" formatCode="_-* #,##0.0000_-;\-* #,##0.0000_-;_-* &quot;-&quot;??_-;_-@_-">
                  <c:v>0.53333333333333388</c:v>
                </c:pt>
                <c:pt idx="17" formatCode="_-* #,##0.0000_-;\-* #,##0.0000_-;_-* &quot;-&quot;??_-;_-@_-">
                  <c:v>#N/A</c:v>
                </c:pt>
                <c:pt idx="18" formatCode="_-* #,##0.0000_-;\-* #,##0.0000_-;_-* &quot;-&quot;??_-;_-@_-">
                  <c:v>#N/A</c:v>
                </c:pt>
                <c:pt idx="19" formatCode="_-* #,##0.0000_-;\-* #,##0.0000_-;_-* &quot;-&quot;??_-;_-@_-">
                  <c:v>#N/A</c:v>
                </c:pt>
                <c:pt idx="20" formatCode="_-* #,##0.0000_-;\-* #,##0.0000_-;_-* &quot;-&quot;??_-;_-@_-">
                  <c:v>#N/A</c:v>
                </c:pt>
                <c:pt idx="21" formatCode="_-* #,##0.0000_-;\-* #,##0.0000_-;_-* &quot;-&quot;??_-;_-@_-">
                  <c:v>#N/A</c:v>
                </c:pt>
                <c:pt idx="22" formatCode="_-* #,##0.0000_-;\-* #,##0.0000_-;_-* &quot;-&quot;??_-;_-@_-">
                  <c:v>#N/A</c:v>
                </c:pt>
                <c:pt idx="23" formatCode="_-* #,##0.0000_-;\-* #,##0.0000_-;_-* &quot;-&quot;??_-;_-@_-">
                  <c:v>#N/A</c:v>
                </c:pt>
                <c:pt idx="24" formatCode="_-* #,##0.0000_-;\-* #,##0.0000_-;_-* &quot;-&quot;??_-;_-@_-">
                  <c:v>#N/A</c:v>
                </c:pt>
                <c:pt idx="25" formatCode="_-* #,##0.0000_-;\-* #,##0.0000_-;_-* &quot;-&quot;??_-;_-@_-">
                  <c:v>#N/A</c:v>
                </c:pt>
                <c:pt idx="26" formatCode="_-* #,##0.0000_-;\-* #,##0.0000_-;_-* &quot;-&quot;??_-;_-@_-">
                  <c:v>#N/A</c:v>
                </c:pt>
                <c:pt idx="27" formatCode="_-* #,##0.0000_-;\-* #,##0.0000_-;_-* &quot;-&quot;??_-;_-@_-">
                  <c:v>#N/A</c:v>
                </c:pt>
                <c:pt idx="28" formatCode="_-* #,##0.0000_-;\-* #,##0.0000_-;_-* &quot;-&quot;??_-;_-@_-">
                  <c:v>#N/A</c:v>
                </c:pt>
                <c:pt idx="29" formatCode="_-* #,##0.0000_-;\-* #,##0.0000_-;_-* &quot;-&quot;??_-;_-@_-">
                  <c:v>#N/A</c:v>
                </c:pt>
                <c:pt idx="30" formatCode="_-* #,##0.0000_-;\-* #,##0.0000_-;_-* &quot;-&quot;??_-;_-@_-">
                  <c:v>#N/A</c:v>
                </c:pt>
              </c:numCache>
            </c:numRef>
          </c:yVal>
          <c:smooth val="0"/>
          <c:extLst>
            <c:ext xmlns:c16="http://schemas.microsoft.com/office/drawing/2014/chart" uri="{C3380CC4-5D6E-409C-BE32-E72D297353CC}">
              <c16:uniqueId val="{00000003-441F-4E63-8179-30AFB6D976A6}"/>
            </c:ext>
          </c:extLst>
        </c:ser>
        <c:ser>
          <c:idx val="2"/>
          <c:order val="2"/>
          <c:tx>
            <c:strRef>
              <c:f>Workings_Uniform!$H$11</c:f>
              <c:strCache>
                <c:ptCount val="1"/>
                <c:pt idx="0">
                  <c:v>F(X&lt;=3.8) = </c:v>
                </c:pt>
              </c:strCache>
            </c:strRef>
          </c:tx>
          <c:spPr>
            <a:ln w="19050" cap="rnd">
              <a:noFill/>
              <a:round/>
            </a:ln>
            <a:effectLst/>
          </c:spPr>
          <c:marker>
            <c:symbol val="circle"/>
            <c:size val="10"/>
            <c:spPr>
              <a:solidFill>
                <a:srgbClr val="993300"/>
              </a:solidFill>
              <a:ln w="9525">
                <a:noFill/>
              </a:ln>
              <a:effectLst/>
            </c:spPr>
          </c:marker>
          <c:dLbls>
            <c:numFmt formatCode="0.00%" sourceLinked="0"/>
            <c:spPr>
              <a:solidFill>
                <a:srgbClr xmlns:mc="http://schemas.openxmlformats.org/markup-compatibility/2006" xmlns:a14="http://schemas.microsoft.com/office/drawing/2010/main" val="FFFFFF" mc:Ignorable="a14" a14:legacySpreadsheetColorIndex="9"/>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Workings_Uniform!$H$12:$H$47</c:f>
              <c:numCache>
                <c:formatCode>General</c:formatCode>
                <c:ptCount val="36"/>
                <c:pt idx="0" formatCode="_-* #,##0.0000_-;\-* #,##0.0000_-;_-* &quot;-&quot;??_-;_-@_-">
                  <c:v>#N/A</c:v>
                </c:pt>
                <c:pt idx="1">
                  <c:v>#N/A</c:v>
                </c:pt>
                <c:pt idx="2">
                  <c:v>#N/A</c:v>
                </c:pt>
                <c:pt idx="3">
                  <c:v>#N/A</c:v>
                </c:pt>
                <c:pt idx="4">
                  <c:v>#N/A</c:v>
                </c:pt>
                <c:pt idx="5">
                  <c:v>#N/A</c:v>
                </c:pt>
                <c:pt idx="6" formatCode="_-* #,##0.0000_-;\-* #,##0.0000_-;_-* &quot;-&quot;??_-;_-@_-">
                  <c:v>#N/A</c:v>
                </c:pt>
                <c:pt idx="7" formatCode="_-* #,##0.0000_-;\-* #,##0.0000_-;_-* &quot;-&quot;??_-;_-@_-">
                  <c:v>#N/A</c:v>
                </c:pt>
                <c:pt idx="8" formatCode="_-* #,##0.0000_-;\-* #,##0.0000_-;_-* &quot;-&quot;??_-;_-@_-">
                  <c:v>#N/A</c:v>
                </c:pt>
                <c:pt idx="9" formatCode="_-* #,##0.0000_-;\-* #,##0.0000_-;_-* &quot;-&quot;??_-;_-@_-">
                  <c:v>#N/A</c:v>
                </c:pt>
                <c:pt idx="10" formatCode="_-* #,##0.0000_-;\-* #,##0.0000_-;_-* &quot;-&quot;??_-;_-@_-">
                  <c:v>#N/A</c:v>
                </c:pt>
                <c:pt idx="11" formatCode="_-* #,##0.0000_-;\-* #,##0.0000_-;_-* &quot;-&quot;??_-;_-@_-">
                  <c:v>#N/A</c:v>
                </c:pt>
                <c:pt idx="12" formatCode="_-* #,##0.0000_-;\-* #,##0.0000_-;_-* &quot;-&quot;??_-;_-@_-">
                  <c:v>#N/A</c:v>
                </c:pt>
                <c:pt idx="13" formatCode="_-* #,##0.0000_-;\-* #,##0.0000_-;_-* &quot;-&quot;??_-;_-@_-">
                  <c:v>#N/A</c:v>
                </c:pt>
                <c:pt idx="14" formatCode="_-* #,##0.0000_-;\-* #,##0.0000_-;_-* &quot;-&quot;??_-;_-@_-">
                  <c:v>#N/A</c:v>
                </c:pt>
                <c:pt idx="15" formatCode="_-* #,##0.0000_-;\-* #,##0.0000_-;_-* &quot;-&quot;??_-;_-@_-">
                  <c:v>#N/A</c:v>
                </c:pt>
                <c:pt idx="16" formatCode="_-* #,##0.0000_-;\-* #,##0.0000_-;_-* &quot;-&quot;??_-;_-@_-">
                  <c:v>#N/A</c:v>
                </c:pt>
                <c:pt idx="17" formatCode="_-* #,##0.0000_-;\-* #,##0.0000_-;_-* &quot;-&quot;??_-;_-@_-">
                  <c:v>#N/A</c:v>
                </c:pt>
                <c:pt idx="18" formatCode="_-* #,##0.0000_-;\-* #,##0.0000_-;_-* &quot;-&quot;??_-;_-@_-">
                  <c:v>#N/A</c:v>
                </c:pt>
                <c:pt idx="19" formatCode="_-* #,##0.0000_-;\-* #,##0.0000_-;_-* &quot;-&quot;??_-;_-@_-">
                  <c:v>#N/A</c:v>
                </c:pt>
                <c:pt idx="20" formatCode="_-* #,##0.0000_-;\-* #,##0.0000_-;_-* &quot;-&quot;??_-;_-@_-">
                  <c:v>#N/A</c:v>
                </c:pt>
                <c:pt idx="21" formatCode="_-* #,##0.0000_-;\-* #,##0.0000_-;_-* &quot;-&quot;??_-;_-@_-">
                  <c:v>#N/A</c:v>
                </c:pt>
                <c:pt idx="22" formatCode="_-* #,##0.0000_-;\-* #,##0.0000_-;_-* &quot;-&quot;??_-;_-@_-">
                  <c:v>#N/A</c:v>
                </c:pt>
                <c:pt idx="23" formatCode="_-* #,##0.0000_-;\-* #,##0.0000_-;_-* &quot;-&quot;??_-;_-@_-">
                  <c:v>#N/A</c:v>
                </c:pt>
                <c:pt idx="24" formatCode="_-* #,##0.0000_-;\-* #,##0.0000_-;_-* &quot;-&quot;??_-;_-@_-">
                  <c:v>#N/A</c:v>
                </c:pt>
                <c:pt idx="25" formatCode="_-* #,##0.0000_-;\-* #,##0.0000_-;_-* &quot;-&quot;??_-;_-@_-">
                  <c:v>#N/A</c:v>
                </c:pt>
                <c:pt idx="26" formatCode="_-* #,##0.0000_-;\-* #,##0.0000_-;_-* &quot;-&quot;??_-;_-@_-">
                  <c:v>#N/A</c:v>
                </c:pt>
                <c:pt idx="27" formatCode="_-* #,##0.0000_-;\-* #,##0.0000_-;_-* &quot;-&quot;??_-;_-@_-">
                  <c:v>#N/A</c:v>
                </c:pt>
                <c:pt idx="28" formatCode="_-* #,##0.0000_-;\-* #,##0.0000_-;_-* &quot;-&quot;??_-;_-@_-">
                  <c:v>0.93333333333333424</c:v>
                </c:pt>
                <c:pt idx="29" formatCode="_-* #,##0.0000_-;\-* #,##0.0000_-;_-* &quot;-&quot;??_-;_-@_-">
                  <c:v>#N/A</c:v>
                </c:pt>
                <c:pt idx="30" formatCode="_-* #,##0.0000_-;\-* #,##0.0000_-;_-* &quot;-&quot;??_-;_-@_-">
                  <c:v>#N/A</c:v>
                </c:pt>
              </c:numCache>
            </c:numRef>
          </c:yVal>
          <c:smooth val="0"/>
          <c:extLst>
            <c:ext xmlns:c16="http://schemas.microsoft.com/office/drawing/2014/chart" uri="{C3380CC4-5D6E-409C-BE32-E72D297353CC}">
              <c16:uniqueId val="{00000000-46F7-4A26-B3D6-E7B39F3FB4AB}"/>
            </c:ext>
          </c:extLst>
        </c:ser>
        <c:dLbls>
          <c:showLegendKey val="0"/>
          <c:showVal val="0"/>
          <c:showCatName val="0"/>
          <c:showSerName val="0"/>
          <c:showPercent val="0"/>
          <c:showBubbleSize val="0"/>
        </c:dLbls>
        <c:axId val="808896528"/>
        <c:axId val="807200960"/>
      </c:scatterChart>
      <c:valAx>
        <c:axId val="808896528"/>
        <c:scaling>
          <c:orientation val="minMax"/>
          <c:max val="5"/>
        </c:scaling>
        <c:delete val="0"/>
        <c:axPos val="b"/>
        <c:numFmt formatCode="#,##0_);\(#,##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07200960"/>
        <c:crosses val="autoZero"/>
        <c:crossBetween val="midCat"/>
        <c:majorUnit val="1"/>
      </c:valAx>
      <c:valAx>
        <c:axId val="807200960"/>
        <c:scaling>
          <c:orientation val="minMax"/>
          <c:max val="1.2"/>
          <c:min val="0"/>
        </c:scaling>
        <c:delete val="0"/>
        <c:axPos val="l"/>
        <c:numFmt formatCode="#,##0.0_);\(#,##0.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08896528"/>
        <c:crosses val="autoZero"/>
        <c:crossBetween val="midCat"/>
        <c:majorUnit val="0.51"/>
        <c:minorUnit val="0.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Probability density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52075163398693E-2"/>
          <c:y val="0.10083022875816994"/>
          <c:w val="0.92106363168790784"/>
          <c:h val="0.8534023604628409"/>
        </c:manualLayout>
      </c:layout>
      <c:areaChart>
        <c:grouping val="standard"/>
        <c:varyColors val="0"/>
        <c:ser>
          <c:idx val="1"/>
          <c:order val="1"/>
          <c:tx>
            <c:v>Area</c:v>
          </c:tx>
          <c:spPr>
            <a:solidFill>
              <a:srgbClr val="D9D9D9"/>
            </a:solidFill>
            <a:ln>
              <a:noFill/>
            </a:ln>
            <a:effectLst/>
          </c:spPr>
          <c:cat>
            <c:numRef>
              <c:f>Workings_Quadratic!$N$18:$N$72</c:f>
              <c:numCache>
                <c:formatCode>#,##0_);\(#,##0\);\-??</c:formatCode>
                <c:ptCount val="55"/>
                <c:pt idx="0">
                  <c:v>2000</c:v>
                </c:pt>
                <c:pt idx="1">
                  <c:v>2400.0000000000005</c:v>
                </c:pt>
                <c:pt idx="2">
                  <c:v>2400.0000000000005</c:v>
                </c:pt>
                <c:pt idx="3">
                  <c:v>2476.0000000000005</c:v>
                </c:pt>
                <c:pt idx="4">
                  <c:v>2552.0000000000005</c:v>
                </c:pt>
                <c:pt idx="5">
                  <c:v>2628.0000000000005</c:v>
                </c:pt>
                <c:pt idx="6">
                  <c:v>2704.0000000000005</c:v>
                </c:pt>
                <c:pt idx="7">
                  <c:v>2780.0000000000005</c:v>
                </c:pt>
                <c:pt idx="8">
                  <c:v>2856</c:v>
                </c:pt>
                <c:pt idx="9">
                  <c:v>2932</c:v>
                </c:pt>
                <c:pt idx="10">
                  <c:v>3008.0000000000005</c:v>
                </c:pt>
                <c:pt idx="11">
                  <c:v>3084.0000000000005</c:v>
                </c:pt>
                <c:pt idx="12">
                  <c:v>3160</c:v>
                </c:pt>
                <c:pt idx="13">
                  <c:v>3236</c:v>
                </c:pt>
                <c:pt idx="14">
                  <c:v>3312.0000000000005</c:v>
                </c:pt>
                <c:pt idx="15">
                  <c:v>3388</c:v>
                </c:pt>
                <c:pt idx="16">
                  <c:v>3464.0000000000005</c:v>
                </c:pt>
                <c:pt idx="17">
                  <c:v>3540</c:v>
                </c:pt>
                <c:pt idx="18">
                  <c:v>3616.0000000000005</c:v>
                </c:pt>
                <c:pt idx="19">
                  <c:v>3692.0000000000005</c:v>
                </c:pt>
                <c:pt idx="20">
                  <c:v>3768.0000000000009</c:v>
                </c:pt>
                <c:pt idx="21">
                  <c:v>3844</c:v>
                </c:pt>
                <c:pt idx="22">
                  <c:v>3920.0000000000009</c:v>
                </c:pt>
                <c:pt idx="23">
                  <c:v>3996.0000000000005</c:v>
                </c:pt>
                <c:pt idx="24">
                  <c:v>4072.0000000000014</c:v>
                </c:pt>
                <c:pt idx="25">
                  <c:v>4148.0000000000009</c:v>
                </c:pt>
                <c:pt idx="26">
                  <c:v>4224.0000000000009</c:v>
                </c:pt>
                <c:pt idx="27">
                  <c:v>4300.0000000000009</c:v>
                </c:pt>
                <c:pt idx="28">
                  <c:v>4376.0000000000009</c:v>
                </c:pt>
                <c:pt idx="29">
                  <c:v>4452.0000000000009</c:v>
                </c:pt>
                <c:pt idx="30">
                  <c:v>4528</c:v>
                </c:pt>
                <c:pt idx="31">
                  <c:v>4604.0000000000009</c:v>
                </c:pt>
                <c:pt idx="32">
                  <c:v>4680.0000000000018</c:v>
                </c:pt>
                <c:pt idx="33">
                  <c:v>4756.0000000000009</c:v>
                </c:pt>
                <c:pt idx="34">
                  <c:v>4832.0000000000009</c:v>
                </c:pt>
                <c:pt idx="35">
                  <c:v>4908.0000000000009</c:v>
                </c:pt>
                <c:pt idx="36">
                  <c:v>4984.0000000000018</c:v>
                </c:pt>
                <c:pt idx="37">
                  <c:v>5060.0000000000009</c:v>
                </c:pt>
                <c:pt idx="38">
                  <c:v>5136.0000000000009</c:v>
                </c:pt>
                <c:pt idx="39">
                  <c:v>5212.0000000000009</c:v>
                </c:pt>
                <c:pt idx="40">
                  <c:v>5288.0000000000018</c:v>
                </c:pt>
                <c:pt idx="41">
                  <c:v>5364.0000000000018</c:v>
                </c:pt>
                <c:pt idx="42">
                  <c:v>5440.0000000000018</c:v>
                </c:pt>
                <c:pt idx="43">
                  <c:v>5516.0000000000018</c:v>
                </c:pt>
                <c:pt idx="44">
                  <c:v>5592.0000000000027</c:v>
                </c:pt>
                <c:pt idx="45">
                  <c:v>5668.0000000000018</c:v>
                </c:pt>
                <c:pt idx="46">
                  <c:v>5744.0000000000009</c:v>
                </c:pt>
                <c:pt idx="47">
                  <c:v>5820.0000000000018</c:v>
                </c:pt>
                <c:pt idx="48">
                  <c:v>5896.0000000000027</c:v>
                </c:pt>
                <c:pt idx="49">
                  <c:v>5972.0000000000018</c:v>
                </c:pt>
                <c:pt idx="50">
                  <c:v>6048.0000000000018</c:v>
                </c:pt>
                <c:pt idx="51">
                  <c:v>6124.0000000000027</c:v>
                </c:pt>
                <c:pt idx="52">
                  <c:v>6200</c:v>
                </c:pt>
                <c:pt idx="53">
                  <c:v>6200</c:v>
                </c:pt>
                <c:pt idx="54">
                  <c:v>8000</c:v>
                </c:pt>
              </c:numCache>
            </c:numRef>
          </c:cat>
          <c:val>
            <c:numRef>
              <c:f>Workings_Quadratic!$O$18:$O$72</c:f>
              <c:numCache>
                <c:formatCode>_-* #,##0_-;\-* #,##0_-;_-* "-"??_-;_-@_-</c:formatCode>
                <c:ptCount val="55"/>
                <c:pt idx="0">
                  <c:v>0</c:v>
                </c:pt>
                <c:pt idx="1">
                  <c:v>0</c:v>
                </c:pt>
                <c:pt idx="2">
                  <c:v>274285.71428571438</c:v>
                </c:pt>
                <c:pt idx="3">
                  <c:v>291932.19047619059</c:v>
                </c:pt>
                <c:pt idx="4">
                  <c:v>310128.76190476201</c:v>
                </c:pt>
                <c:pt idx="5">
                  <c:v>328875.4285714287</c:v>
                </c:pt>
                <c:pt idx="6">
                  <c:v>348172.19047619059</c:v>
                </c:pt>
                <c:pt idx="7">
                  <c:v>368019.04761904775</c:v>
                </c:pt>
                <c:pt idx="8">
                  <c:v>388416</c:v>
                </c:pt>
                <c:pt idx="9">
                  <c:v>409363.04761904763</c:v>
                </c:pt>
                <c:pt idx="10">
                  <c:v>430860.19047619059</c:v>
                </c:pt>
                <c:pt idx="11">
                  <c:v>452907.42857142875</c:v>
                </c:pt>
                <c:pt idx="12">
                  <c:v>475504.76190476189</c:v>
                </c:pt>
                <c:pt idx="13">
                  <c:v>498652.19047619047</c:v>
                </c:pt>
                <c:pt idx="14">
                  <c:v>522349.71428571444</c:v>
                </c:pt>
                <c:pt idx="15">
                  <c:v>546597.33333333337</c:v>
                </c:pt>
                <c:pt idx="16">
                  <c:v>571395.04761904781</c:v>
                </c:pt>
                <c:pt idx="17">
                  <c:v>596742.85714285716</c:v>
                </c:pt>
                <c:pt idx="18">
                  <c:v>622640.76190476213</c:v>
                </c:pt>
                <c:pt idx="19">
                  <c:v>649088.76190476213</c:v>
                </c:pt>
                <c:pt idx="20">
                  <c:v>676086.85714285751</c:v>
                </c:pt>
                <c:pt idx="21">
                  <c:v>703635.04761904757</c:v>
                </c:pt>
                <c:pt idx="22">
                  <c:v>731733.33333333372</c:v>
                </c:pt>
                <c:pt idx="23">
                  <c:v>760381.71428571444</c:v>
                </c:pt>
                <c:pt idx="24">
                  <c:v>789580.190476191</c:v>
                </c:pt>
                <c:pt idx="25">
                  <c:v>819328.76190476224</c:v>
                </c:pt>
                <c:pt idx="26">
                  <c:v>849627.42857142887</c:v>
                </c:pt>
                <c:pt idx="27">
                  <c:v>880476.19047619088</c:v>
                </c:pt>
                <c:pt idx="28">
                  <c:v>911875.04761904792</c:v>
                </c:pt>
                <c:pt idx="29">
                  <c:v>943824.00000000035</c:v>
                </c:pt>
                <c:pt idx="30">
                  <c:v>976323.04761904757</c:v>
                </c:pt>
                <c:pt idx="31">
                  <c:v>1009372.1904761909</c:v>
                </c:pt>
                <c:pt idx="32">
                  <c:v>1042971.4285714295</c:v>
                </c:pt>
                <c:pt idx="33">
                  <c:v>1077120.7619047624</c:v>
                </c:pt>
                <c:pt idx="34">
                  <c:v>1111820.1904761908</c:v>
                </c:pt>
                <c:pt idx="35">
                  <c:v>1147069.7142857146</c:v>
                </c:pt>
                <c:pt idx="36">
                  <c:v>1182869.3333333342</c:v>
                </c:pt>
                <c:pt idx="37">
                  <c:v>1219219.047619048</c:v>
                </c:pt>
                <c:pt idx="38">
                  <c:v>1256118.8571428577</c:v>
                </c:pt>
                <c:pt idx="39">
                  <c:v>1293568.7619047624</c:v>
                </c:pt>
                <c:pt idx="40">
                  <c:v>1331568.7619047628</c:v>
                </c:pt>
                <c:pt idx="41">
                  <c:v>1370118.857142858</c:v>
                </c:pt>
                <c:pt idx="42">
                  <c:v>1409219.0476190485</c:v>
                </c:pt>
                <c:pt idx="43">
                  <c:v>1448869.3333333342</c:v>
                </c:pt>
                <c:pt idx="44">
                  <c:v>1489069.7142857157</c:v>
                </c:pt>
                <c:pt idx="45">
                  <c:v>1529820.1904761915</c:v>
                </c:pt>
                <c:pt idx="46">
                  <c:v>1571120.7619047624</c:v>
                </c:pt>
                <c:pt idx="47">
                  <c:v>1612971.4285714296</c:v>
                </c:pt>
                <c:pt idx="48">
                  <c:v>1655372.1904761919</c:v>
                </c:pt>
                <c:pt idx="49">
                  <c:v>1698323.0476190487</c:v>
                </c:pt>
                <c:pt idx="50">
                  <c:v>1741824.0000000012</c:v>
                </c:pt>
                <c:pt idx="51">
                  <c:v>1785875.047619049</c:v>
                </c:pt>
                <c:pt idx="52">
                  <c:v>1830476.1904761905</c:v>
                </c:pt>
                <c:pt idx="53">
                  <c:v>0</c:v>
                </c:pt>
                <c:pt idx="54">
                  <c:v>0</c:v>
                </c:pt>
              </c:numCache>
            </c:numRef>
          </c:val>
          <c:extLst>
            <c:ext xmlns:c16="http://schemas.microsoft.com/office/drawing/2014/chart" uri="{C3380CC4-5D6E-409C-BE32-E72D297353CC}">
              <c16:uniqueId val="{00000000-8F85-4DF4-A433-55605EE9AB19}"/>
            </c:ext>
          </c:extLst>
        </c:ser>
        <c:dLbls>
          <c:showLegendKey val="0"/>
          <c:showVal val="0"/>
          <c:showCatName val="0"/>
          <c:showSerName val="0"/>
          <c:showPercent val="0"/>
          <c:showBubbleSize val="0"/>
        </c:dLbls>
        <c:axId val="516206415"/>
        <c:axId val="516209391"/>
      </c:areaChart>
      <c:scatterChart>
        <c:scatterStyle val="lineMarker"/>
        <c:varyColors val="0"/>
        <c:ser>
          <c:idx val="0"/>
          <c:order val="0"/>
          <c:tx>
            <c:strRef>
              <c:f>Quadratic!$O$23</c:f>
              <c:strCache>
                <c:ptCount val="1"/>
                <c:pt idx="0">
                  <c:v>PDF =  f(x)</c:v>
                </c:pt>
              </c:strCache>
            </c:strRef>
          </c:tx>
          <c:spPr>
            <a:ln w="19050" cap="rnd">
              <a:solidFill>
                <a:srgbClr val="4472C4"/>
              </a:solidFill>
              <a:round/>
            </a:ln>
            <a:effectLst/>
          </c:spPr>
          <c:marker>
            <c:symbol val="none"/>
          </c:marker>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Quadratic!$O$24:$O$54</c:f>
              <c:numCache>
                <c:formatCode>_-* #,##0.0_-;\-* #,##0.0_-;_-* "-"??_-;_-@_-</c:formatCode>
                <c:ptCount val="31"/>
                <c:pt idx="0">
                  <c:v>4.7619047619047616E-2</c:v>
                </c:pt>
                <c:pt idx="1">
                  <c:v>5.7619047619047625E-2</c:v>
                </c:pt>
                <c:pt idx="2">
                  <c:v>6.8571428571428589E-2</c:v>
                </c:pt>
                <c:pt idx="3">
                  <c:v>8.0476190476190479E-2</c:v>
                </c:pt>
                <c:pt idx="4">
                  <c:v>9.3333333333333324E-2</c:v>
                </c:pt>
                <c:pt idx="5">
                  <c:v>0.10714285714285714</c:v>
                </c:pt>
                <c:pt idx="6">
                  <c:v>0.12190476190476193</c:v>
                </c:pt>
                <c:pt idx="7">
                  <c:v>0.13761904761904761</c:v>
                </c:pt>
                <c:pt idx="8">
                  <c:v>0.1542857142857143</c:v>
                </c:pt>
                <c:pt idx="9">
                  <c:v>0.17190476190476189</c:v>
                </c:pt>
                <c:pt idx="10">
                  <c:v>0.19047619047619047</c:v>
                </c:pt>
                <c:pt idx="11">
                  <c:v>0.21000000000000002</c:v>
                </c:pt>
                <c:pt idx="12">
                  <c:v>0.2304761904761905</c:v>
                </c:pt>
                <c:pt idx="13">
                  <c:v>0.25190476190476185</c:v>
                </c:pt>
                <c:pt idx="14">
                  <c:v>0.2742857142857143</c:v>
                </c:pt>
                <c:pt idx="15">
                  <c:v>0.29761904761904762</c:v>
                </c:pt>
                <c:pt idx="16">
                  <c:v>0.32190476190476192</c:v>
                </c:pt>
                <c:pt idx="17">
                  <c:v>0.3471428571428572</c:v>
                </c:pt>
                <c:pt idx="18">
                  <c:v>0.37333333333333329</c:v>
                </c:pt>
                <c:pt idx="19">
                  <c:v>0.40047619047619049</c:v>
                </c:pt>
                <c:pt idx="20">
                  <c:v>0.42857142857142855</c:v>
                </c:pt>
                <c:pt idx="21">
                  <c:v>0.4576190476190477</c:v>
                </c:pt>
                <c:pt idx="22">
                  <c:v>0.48761904761904773</c:v>
                </c:pt>
                <c:pt idx="23">
                  <c:v>0.51857142857142846</c:v>
                </c:pt>
                <c:pt idx="24">
                  <c:v>0.55047619047619045</c:v>
                </c:pt>
                <c:pt idx="25">
                  <c:v>0.58333333333333337</c:v>
                </c:pt>
                <c:pt idx="26">
                  <c:v>0.61714285714285722</c:v>
                </c:pt>
                <c:pt idx="27">
                  <c:v>0.65190476190476199</c:v>
                </c:pt>
                <c:pt idx="28">
                  <c:v>0.68761904761904757</c:v>
                </c:pt>
                <c:pt idx="29">
                  <c:v>0.7242857142857142</c:v>
                </c:pt>
                <c:pt idx="30">
                  <c:v>0.76190476190476186</c:v>
                </c:pt>
              </c:numCache>
            </c:numRef>
          </c:yVal>
          <c:smooth val="0"/>
          <c:extLst>
            <c:ext xmlns:c16="http://schemas.microsoft.com/office/drawing/2014/chart" uri="{C3380CC4-5D6E-409C-BE32-E72D297353CC}">
              <c16:uniqueId val="{00000001-8F85-4DF4-A433-55605EE9AB19}"/>
            </c:ext>
          </c:extLst>
        </c:ser>
        <c:dLbls>
          <c:showLegendKey val="0"/>
          <c:showVal val="0"/>
          <c:showCatName val="0"/>
          <c:showSerName val="0"/>
          <c:showPercent val="0"/>
          <c:showBubbleSize val="0"/>
        </c:dLbls>
        <c:axId val="684981567"/>
        <c:axId val="602032831"/>
      </c:scatterChart>
      <c:valAx>
        <c:axId val="684981567"/>
        <c:scaling>
          <c:orientation val="minMax"/>
          <c:max val="5"/>
        </c:scaling>
        <c:delete val="0"/>
        <c:axPos val="b"/>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32831"/>
        <c:crosses val="autoZero"/>
        <c:crossBetween val="midCat"/>
      </c:valAx>
      <c:valAx>
        <c:axId val="602032831"/>
        <c:scaling>
          <c:orientation val="minMax"/>
          <c:max val="0.9"/>
        </c:scaling>
        <c:delete val="0"/>
        <c:axPos val="l"/>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981567"/>
        <c:crosses val="autoZero"/>
        <c:crossBetween val="midCat"/>
      </c:valAx>
      <c:valAx>
        <c:axId val="516209391"/>
        <c:scaling>
          <c:orientation val="minMax"/>
          <c:max val="3600000"/>
          <c:min val="0"/>
        </c:scaling>
        <c:delete val="0"/>
        <c:axPos val="r"/>
        <c:numFmt formatCode="_-* #,##0_-;\-* #,##0_-;_-* &quot;-&quot;??_-;_-@_-"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06415"/>
        <c:crosses val="max"/>
        <c:crossBetween val="between"/>
      </c:valAx>
      <c:dateAx>
        <c:axId val="516206415"/>
        <c:scaling>
          <c:orientation val="minMax"/>
          <c:max val="10000"/>
          <c:min val="1"/>
        </c:scaling>
        <c:delete val="0"/>
        <c:axPos val="b"/>
        <c:numFmt formatCode="#,##0_);\(#,##0\);\-??"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09391"/>
        <c:crossesAt val="0"/>
        <c:auto val="0"/>
        <c:lblOffset val="100"/>
        <c:baseTimeUnit val="days"/>
        <c:majorUnit val="1000"/>
        <c:majorTimeUnit val="days"/>
        <c:minorUnit val="1"/>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Cumulative distribution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4572385620915036E-2"/>
          <c:y val="6.394133986928105E-2"/>
          <c:w val="0.90240952716731304"/>
          <c:h val="0.86964698872100443"/>
        </c:manualLayout>
      </c:layout>
      <c:scatterChart>
        <c:scatterStyle val="lineMarker"/>
        <c:varyColors val="0"/>
        <c:ser>
          <c:idx val="0"/>
          <c:order val="0"/>
          <c:tx>
            <c:v>Line</c:v>
          </c:tx>
          <c:spPr>
            <a:ln w="19050" cap="rnd">
              <a:solidFill>
                <a:schemeClr val="accent1"/>
              </a:solidFill>
              <a:round/>
            </a:ln>
            <a:effectLst/>
          </c:spPr>
          <c:marker>
            <c:symbol val="none"/>
          </c:marker>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Quadratic!$R$24:$R$54</c:f>
              <c:numCache>
                <c:formatCode>_-* #,##0.000_-;\-* #,##0.000_-;_-* "-"??_-;_-@_-</c:formatCode>
                <c:ptCount val="31"/>
                <c:pt idx="0" formatCode="_-* #,##0.0_-;\-* #,##0.0_-;_-* &quot;-&quot;??_-;_-@_-">
                  <c:v>0</c:v>
                </c:pt>
                <c:pt idx="1">
                  <c:v>5.2539682539682608E-3</c:v>
                </c:pt>
                <c:pt idx="2">
                  <c:v>1.1555555555555565E-2</c:v>
                </c:pt>
                <c:pt idx="3">
                  <c:v>1.900000000000001E-2</c:v>
                </c:pt>
                <c:pt idx="4">
                  <c:v>2.768253968253967E-2</c:v>
                </c:pt>
                <c:pt idx="5">
                  <c:v>3.7698412698412696E-2</c:v>
                </c:pt>
                <c:pt idx="6">
                  <c:v>4.9142857142857155E-2</c:v>
                </c:pt>
                <c:pt idx="7">
                  <c:v>6.2111111111111103E-2</c:v>
                </c:pt>
                <c:pt idx="8">
                  <c:v>7.669841269841271E-2</c:v>
                </c:pt>
                <c:pt idx="9">
                  <c:v>9.2999999999999985E-2</c:v>
                </c:pt>
                <c:pt idx="10">
                  <c:v>0.1111111111111111</c:v>
                </c:pt>
                <c:pt idx="11">
                  <c:v>0.13112698412698415</c:v>
                </c:pt>
                <c:pt idx="12">
                  <c:v>0.15314285714285719</c:v>
                </c:pt>
                <c:pt idx="13">
                  <c:v>0.17725396825396819</c:v>
                </c:pt>
                <c:pt idx="14">
                  <c:v>0.20355555555555555</c:v>
                </c:pt>
                <c:pt idx="15">
                  <c:v>0.23214285714285715</c:v>
                </c:pt>
                <c:pt idx="16">
                  <c:v>0.26311111111111118</c:v>
                </c:pt>
                <c:pt idx="17">
                  <c:v>0.29655555555555563</c:v>
                </c:pt>
                <c:pt idx="18">
                  <c:v>0.33257142857142846</c:v>
                </c:pt>
                <c:pt idx="19">
                  <c:v>0.37125396825396823</c:v>
                </c:pt>
                <c:pt idx="20">
                  <c:v>0.41269841269841268</c:v>
                </c:pt>
                <c:pt idx="21">
                  <c:v>0.45700000000000007</c:v>
                </c:pt>
                <c:pt idx="22">
                  <c:v>0.5042539682539684</c:v>
                </c:pt>
                <c:pt idx="23">
                  <c:v>0.55455555555555547</c:v>
                </c:pt>
                <c:pt idx="24">
                  <c:v>0.60799999999999987</c:v>
                </c:pt>
                <c:pt idx="25">
                  <c:v>0.66468253968253976</c:v>
                </c:pt>
                <c:pt idx="26">
                  <c:v>0.72469841269841284</c:v>
                </c:pt>
                <c:pt idx="27">
                  <c:v>0.78814285714285726</c:v>
                </c:pt>
                <c:pt idx="28">
                  <c:v>0.85511111111111093</c:v>
                </c:pt>
                <c:pt idx="29">
                  <c:v>0.92569841269841269</c:v>
                </c:pt>
                <c:pt idx="30">
                  <c:v>1</c:v>
                </c:pt>
              </c:numCache>
            </c:numRef>
          </c:yVal>
          <c:smooth val="0"/>
          <c:extLst>
            <c:ext xmlns:c16="http://schemas.microsoft.com/office/drawing/2014/chart" uri="{C3380CC4-5D6E-409C-BE32-E72D297353CC}">
              <c16:uniqueId val="{00000000-2C95-4AE6-BBF4-B3D5C14D5A56}"/>
            </c:ext>
          </c:extLst>
        </c:ser>
        <c:ser>
          <c:idx val="1"/>
          <c:order val="1"/>
          <c:tx>
            <c:strRef>
              <c:f>Workings_Quadratic!$F$12</c:f>
              <c:strCache>
                <c:ptCount val="1"/>
                <c:pt idx="0">
                  <c:v>F(X&lt;=1.2) = </c:v>
                </c:pt>
              </c:strCache>
            </c:strRef>
          </c:tx>
          <c:spPr>
            <a:ln w="19050" cap="rnd">
              <a:solidFill>
                <a:schemeClr val="accent2"/>
              </a:solidFill>
              <a:round/>
            </a:ln>
            <a:effectLst/>
          </c:spPr>
          <c:marker>
            <c:symbol val="circle"/>
            <c:size val="10"/>
            <c:spPr>
              <a:solidFill>
                <a:srgbClr val="993300"/>
              </a:solidFill>
              <a:ln w="9525">
                <a:noFill/>
              </a:ln>
              <a:effectLst/>
            </c:spPr>
          </c:marker>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Workings_Quadratic!$F$13:$F$43</c:f>
              <c:numCache>
                <c:formatCode>General</c:formatCode>
                <c:ptCount val="31"/>
                <c:pt idx="0">
                  <c:v>#N/A</c:v>
                </c:pt>
                <c:pt idx="1">
                  <c:v>#N/A</c:v>
                </c:pt>
                <c:pt idx="2">
                  <c:v>1.1555555555555565E-2</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extLst>
            <c:ext xmlns:c16="http://schemas.microsoft.com/office/drawing/2014/chart" uri="{C3380CC4-5D6E-409C-BE32-E72D297353CC}">
              <c16:uniqueId val="{00000003-4FAC-4B6E-926E-34FA542164AD}"/>
            </c:ext>
          </c:extLst>
        </c:ser>
        <c:ser>
          <c:idx val="2"/>
          <c:order val="2"/>
          <c:tx>
            <c:strRef>
              <c:f>Workings_Quadratic!$H$12</c:f>
              <c:strCache>
                <c:ptCount val="1"/>
                <c:pt idx="0">
                  <c:v>F(X&lt;=3.1) = </c:v>
                </c:pt>
              </c:strCache>
            </c:strRef>
          </c:tx>
          <c:spPr>
            <a:ln w="19050" cap="rnd">
              <a:noFill/>
              <a:round/>
            </a:ln>
            <a:effectLst/>
          </c:spPr>
          <c:marker>
            <c:symbol val="circle"/>
            <c:size val="10"/>
            <c:spPr>
              <a:solidFill>
                <a:srgbClr val="993300"/>
              </a:solidFill>
              <a:ln w="9525">
                <a:noFill/>
              </a:ln>
              <a:effectLst/>
            </c:spPr>
          </c:marker>
          <c:dPt>
            <c:idx val="30"/>
            <c:marker>
              <c:symbol val="circle"/>
              <c:size val="10"/>
              <c:spPr>
                <a:solidFill>
                  <a:srgbClr val="993300"/>
                </a:solidFill>
                <a:ln w="9525">
                  <a:noFill/>
                </a:ln>
                <a:effectLst/>
              </c:spPr>
            </c:marker>
            <c:bubble3D val="0"/>
            <c:extLst>
              <c:ext xmlns:c16="http://schemas.microsoft.com/office/drawing/2014/chart" uri="{C3380CC4-5D6E-409C-BE32-E72D297353CC}">
                <c16:uniqueId val="{00000001-3B3D-4971-BDA5-C3E9A723B5C8}"/>
              </c:ext>
            </c:extLst>
          </c:dPt>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Workings_Quadratic!$H$13:$H$43</c:f>
              <c:numCache>
                <c:formatCode>General</c:formatCode>
                <c:ptCount val="3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0.45700000000000007</c:v>
                </c:pt>
                <c:pt idx="22">
                  <c:v>#N/A</c:v>
                </c:pt>
                <c:pt idx="23">
                  <c:v>#N/A</c:v>
                </c:pt>
                <c:pt idx="24">
                  <c:v>#N/A</c:v>
                </c:pt>
                <c:pt idx="25">
                  <c:v>#N/A</c:v>
                </c:pt>
                <c:pt idx="26">
                  <c:v>#N/A</c:v>
                </c:pt>
                <c:pt idx="27">
                  <c:v>#N/A</c:v>
                </c:pt>
                <c:pt idx="28">
                  <c:v>#N/A</c:v>
                </c:pt>
                <c:pt idx="29">
                  <c:v>#N/A</c:v>
                </c:pt>
                <c:pt idx="30">
                  <c:v>#N/A</c:v>
                </c:pt>
              </c:numCache>
            </c:numRef>
          </c:yVal>
          <c:smooth val="0"/>
          <c:extLst>
            <c:ext xmlns:c16="http://schemas.microsoft.com/office/drawing/2014/chart" uri="{C3380CC4-5D6E-409C-BE32-E72D297353CC}">
              <c16:uniqueId val="{00000000-3B3D-4971-BDA5-C3E9A723B5C8}"/>
            </c:ext>
          </c:extLst>
        </c:ser>
        <c:dLbls>
          <c:showLegendKey val="0"/>
          <c:showVal val="0"/>
          <c:showCatName val="0"/>
          <c:showSerName val="0"/>
          <c:showPercent val="0"/>
          <c:showBubbleSize val="0"/>
        </c:dLbls>
        <c:axId val="686107023"/>
        <c:axId val="516207903"/>
      </c:scatterChart>
      <c:valAx>
        <c:axId val="686107023"/>
        <c:scaling>
          <c:orientation val="minMax"/>
        </c:scaling>
        <c:delete val="0"/>
        <c:axPos val="b"/>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07903"/>
        <c:crosses val="autoZero"/>
        <c:crossBetween val="midCat"/>
      </c:valAx>
      <c:valAx>
        <c:axId val="516207903"/>
        <c:scaling>
          <c:orientation val="minMax"/>
        </c:scaling>
        <c:delete val="0"/>
        <c:axPos val="l"/>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107023"/>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Probability density function (fx)</a:t>
            </a:r>
          </a:p>
        </c:rich>
      </c:tx>
      <c:layout>
        <c:manualLayout>
          <c:xMode val="edge"/>
          <c:yMode val="edge"/>
          <c:x val="0.44487706020454787"/>
          <c:y val="2.00278221143032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21732026143788E-2"/>
          <c:y val="9.9936111111111087E-2"/>
          <c:w val="0.94364598276327727"/>
          <c:h val="0.84906966232421688"/>
        </c:manualLayout>
      </c:layout>
      <c:scatterChart>
        <c:scatterStyle val="smoothMarker"/>
        <c:varyColors val="0"/>
        <c:ser>
          <c:idx val="0"/>
          <c:order val="0"/>
          <c:tx>
            <c:strRef>
              <c:f>NormDist!$M$17</c:f>
              <c:strCache>
                <c:ptCount val="1"/>
                <c:pt idx="0">
                  <c:v>PDF =  f(x)</c:v>
                </c:pt>
              </c:strCache>
            </c:strRef>
          </c:tx>
          <c:spPr>
            <a:ln w="19050" cap="rnd">
              <a:solidFill>
                <a:schemeClr val="accent1"/>
              </a:solidFill>
              <a:round/>
            </a:ln>
            <a:effectLst/>
          </c:spPr>
          <c:marker>
            <c:symbol val="none"/>
          </c:marker>
          <c:xVal>
            <c:numRef>
              <c:f>NormDist!$L$18:$L$70</c:f>
              <c:numCache>
                <c:formatCode>0.0000</c:formatCode>
                <c:ptCount val="53"/>
                <c:pt idx="0">
                  <c:v>-10</c:v>
                </c:pt>
                <c:pt idx="1">
                  <c:v>-9.6923076923076916</c:v>
                </c:pt>
                <c:pt idx="2">
                  <c:v>-9.384615384615385</c:v>
                </c:pt>
                <c:pt idx="3">
                  <c:v>-9.0769230769230766</c:v>
                </c:pt>
                <c:pt idx="4">
                  <c:v>-8.7692307692307701</c:v>
                </c:pt>
                <c:pt idx="5">
                  <c:v>-8.4615384615384617</c:v>
                </c:pt>
                <c:pt idx="6">
                  <c:v>-8.1538461538461533</c:v>
                </c:pt>
                <c:pt idx="7">
                  <c:v>-7.8461538461538458</c:v>
                </c:pt>
                <c:pt idx="8">
                  <c:v>-7.5384615384615383</c:v>
                </c:pt>
                <c:pt idx="9">
                  <c:v>-7.2307692307692308</c:v>
                </c:pt>
                <c:pt idx="10">
                  <c:v>-6.9230769230769234</c:v>
                </c:pt>
                <c:pt idx="11">
                  <c:v>-6.615384615384615</c:v>
                </c:pt>
                <c:pt idx="12">
                  <c:v>-6.3076923076923075</c:v>
                </c:pt>
                <c:pt idx="13">
                  <c:v>-6</c:v>
                </c:pt>
                <c:pt idx="14">
                  <c:v>-5.6923076923076916</c:v>
                </c:pt>
                <c:pt idx="15">
                  <c:v>-5.3846153846153841</c:v>
                </c:pt>
                <c:pt idx="16">
                  <c:v>-5.0769230769230766</c:v>
                </c:pt>
                <c:pt idx="17">
                  <c:v>-4.7692307692307692</c:v>
                </c:pt>
                <c:pt idx="18">
                  <c:v>-4.4615384615384617</c:v>
                </c:pt>
                <c:pt idx="19">
                  <c:v>-4.1538461538461533</c:v>
                </c:pt>
                <c:pt idx="20">
                  <c:v>-3.8461538461538458</c:v>
                </c:pt>
                <c:pt idx="21">
                  <c:v>-3.5384615384615383</c:v>
                </c:pt>
                <c:pt idx="22">
                  <c:v>-3.2307692307692299</c:v>
                </c:pt>
                <c:pt idx="23">
                  <c:v>-2.9230769230769225</c:v>
                </c:pt>
                <c:pt idx="24">
                  <c:v>-2.615384615384615</c:v>
                </c:pt>
                <c:pt idx="25">
                  <c:v>-2.3076923076923075</c:v>
                </c:pt>
                <c:pt idx="26">
                  <c:v>-2</c:v>
                </c:pt>
                <c:pt idx="27">
                  <c:v>-1.6923076923076916</c:v>
                </c:pt>
                <c:pt idx="28">
                  <c:v>-1.3846153846153832</c:v>
                </c:pt>
                <c:pt idx="29">
                  <c:v>-1.0769230769230766</c:v>
                </c:pt>
                <c:pt idx="30">
                  <c:v>-0.76923076923076827</c:v>
                </c:pt>
                <c:pt idx="31">
                  <c:v>-0.46153846153846168</c:v>
                </c:pt>
                <c:pt idx="32">
                  <c:v>-0.1538461538461533</c:v>
                </c:pt>
                <c:pt idx="33">
                  <c:v>0.15384615384615508</c:v>
                </c:pt>
                <c:pt idx="34">
                  <c:v>0.46153846153846168</c:v>
                </c:pt>
                <c:pt idx="35">
                  <c:v>0.76923076923077005</c:v>
                </c:pt>
                <c:pt idx="36">
                  <c:v>1.0769230769230766</c:v>
                </c:pt>
                <c:pt idx="37">
                  <c:v>1.384615384615385</c:v>
                </c:pt>
                <c:pt idx="38">
                  <c:v>1.6923076923076934</c:v>
                </c:pt>
                <c:pt idx="39">
                  <c:v>2</c:v>
                </c:pt>
                <c:pt idx="40">
                  <c:v>2.3076923076923084</c:v>
                </c:pt>
                <c:pt idx="41">
                  <c:v>2.6153846153846168</c:v>
                </c:pt>
                <c:pt idx="42">
                  <c:v>2.9230769230769234</c:v>
                </c:pt>
                <c:pt idx="43">
                  <c:v>3.2307692307692317</c:v>
                </c:pt>
                <c:pt idx="44">
                  <c:v>3.5384615384615401</c:v>
                </c:pt>
                <c:pt idx="45">
                  <c:v>3.8461538461538467</c:v>
                </c:pt>
                <c:pt idx="46">
                  <c:v>4.1538461538461551</c:v>
                </c:pt>
                <c:pt idx="47">
                  <c:v>4.4615384615384617</c:v>
                </c:pt>
                <c:pt idx="48">
                  <c:v>4.7692307692307701</c:v>
                </c:pt>
                <c:pt idx="49">
                  <c:v>5.0769230769230784</c:v>
                </c:pt>
                <c:pt idx="50">
                  <c:v>5.384615384615385</c:v>
                </c:pt>
                <c:pt idx="51">
                  <c:v>5.6923076923076934</c:v>
                </c:pt>
                <c:pt idx="52">
                  <c:v>6</c:v>
                </c:pt>
              </c:numCache>
            </c:numRef>
          </c:xVal>
          <c:yVal>
            <c:numRef>
              <c:f>NormDist!$M$18:$M$70</c:f>
              <c:numCache>
                <c:formatCode>0.0000</c:formatCode>
                <c:ptCount val="53"/>
                <c:pt idx="0">
                  <c:v>6.6915112882442684E-5</c:v>
                </c:pt>
                <c:pt idx="1">
                  <c:v>1.2236093248157518E-4</c:v>
                </c:pt>
                <c:pt idx="2">
                  <c:v>2.1851546648576144E-4</c:v>
                </c:pt>
                <c:pt idx="3">
                  <c:v>3.8110305137855965E-4</c:v>
                </c:pt>
                <c:pt idx="4">
                  <c:v>6.4911778900623724E-4</c:v>
                </c:pt>
                <c:pt idx="5">
                  <c:v>1.0797555295394205E-3</c:v>
                </c:pt>
                <c:pt idx="6">
                  <c:v>1.7540751791326886E-3</c:v>
                </c:pt>
                <c:pt idx="7">
                  <c:v>2.782862894878578E-3</c:v>
                </c:pt>
                <c:pt idx="8">
                  <c:v>4.3117766656731544E-3</c:v>
                </c:pt>
                <c:pt idx="9">
                  <c:v>6.5244145302758971E-3</c:v>
                </c:pt>
                <c:pt idx="10">
                  <c:v>9.6415681485170247E-3</c:v>
                </c:pt>
                <c:pt idx="11">
                  <c:v>1.3914725553662449E-2</c:v>
                </c:pt>
                <c:pt idx="12">
                  <c:v>1.961202577429556E-2</c:v>
                </c:pt>
                <c:pt idx="13">
                  <c:v>2.6995483256594031E-2</c:v>
                </c:pt>
                <c:pt idx="14">
                  <c:v>3.6289467707925648E-2</c:v>
                </c:pt>
                <c:pt idx="15">
                  <c:v>4.764210373397422E-2</c:v>
                </c:pt>
                <c:pt idx="16">
                  <c:v>6.1083245401259548E-2</c:v>
                </c:pt>
                <c:pt idx="17">
                  <c:v>7.6484620664824546E-2</c:v>
                </c:pt>
                <c:pt idx="18">
                  <c:v>9.3529146548902625E-2</c:v>
                </c:pt>
                <c:pt idx="19">
                  <c:v>0.11169678334742959</c:v>
                </c:pt>
                <c:pt idx="20">
                  <c:v>0.13027323627911758</c:v>
                </c:pt>
                <c:pt idx="21">
                  <c:v>0.14838519729199867</c:v>
                </c:pt>
                <c:pt idx="22">
                  <c:v>0.16506188311870554</c:v>
                </c:pt>
                <c:pt idx="23">
                  <c:v>0.17931798628189161</c:v>
                </c:pt>
                <c:pt idx="24">
                  <c:v>0.1902487234970256</c:v>
                </c:pt>
                <c:pt idx="25">
                  <c:v>0.19712444813113827</c:v>
                </c:pt>
                <c:pt idx="26">
                  <c:v>0.19947114020071635</c:v>
                </c:pt>
                <c:pt idx="27">
                  <c:v>0.19712444813113827</c:v>
                </c:pt>
                <c:pt idx="28">
                  <c:v>0.19024872349702554</c:v>
                </c:pt>
                <c:pt idx="29">
                  <c:v>0.17931798628189158</c:v>
                </c:pt>
                <c:pt idx="30">
                  <c:v>0.16506188311870545</c:v>
                </c:pt>
                <c:pt idx="31">
                  <c:v>0.14838519729199867</c:v>
                </c:pt>
                <c:pt idx="32">
                  <c:v>0.13027323627911752</c:v>
                </c:pt>
                <c:pt idx="33">
                  <c:v>0.1116967833474295</c:v>
                </c:pt>
                <c:pt idx="34">
                  <c:v>9.3529146548902625E-2</c:v>
                </c:pt>
                <c:pt idx="35">
                  <c:v>7.6484620664824504E-2</c:v>
                </c:pt>
                <c:pt idx="36">
                  <c:v>6.1083245401259548E-2</c:v>
                </c:pt>
                <c:pt idx="37">
                  <c:v>4.7642103733974178E-2</c:v>
                </c:pt>
                <c:pt idx="38">
                  <c:v>3.6289467707925585E-2</c:v>
                </c:pt>
                <c:pt idx="39">
                  <c:v>2.6995483256594031E-2</c:v>
                </c:pt>
                <c:pt idx="40">
                  <c:v>1.9612025774295543E-2</c:v>
                </c:pt>
                <c:pt idx="41">
                  <c:v>1.3914725553662417E-2</c:v>
                </c:pt>
                <c:pt idx="42">
                  <c:v>9.6415681485170247E-3</c:v>
                </c:pt>
                <c:pt idx="43">
                  <c:v>6.5244145302758919E-3</c:v>
                </c:pt>
                <c:pt idx="44">
                  <c:v>4.311776665673144E-3</c:v>
                </c:pt>
                <c:pt idx="45">
                  <c:v>2.7828628948785732E-3</c:v>
                </c:pt>
                <c:pt idx="46">
                  <c:v>1.7540751791326841E-3</c:v>
                </c:pt>
                <c:pt idx="47">
                  <c:v>1.0797555295394205E-3</c:v>
                </c:pt>
                <c:pt idx="48">
                  <c:v>6.4911778900623724E-4</c:v>
                </c:pt>
                <c:pt idx="49">
                  <c:v>3.8110305137855862E-4</c:v>
                </c:pt>
                <c:pt idx="50">
                  <c:v>2.1851546648576144E-4</c:v>
                </c:pt>
                <c:pt idx="51">
                  <c:v>1.2236093248157474E-4</c:v>
                </c:pt>
                <c:pt idx="52">
                  <c:v>6.6915112882442684E-5</c:v>
                </c:pt>
              </c:numCache>
            </c:numRef>
          </c:yVal>
          <c:smooth val="1"/>
          <c:extLst>
            <c:ext xmlns:c16="http://schemas.microsoft.com/office/drawing/2014/chart" uri="{C3380CC4-5D6E-409C-BE32-E72D297353CC}">
              <c16:uniqueId val="{00000000-6067-4B26-8616-5F443466CEC2}"/>
            </c:ext>
          </c:extLst>
        </c:ser>
        <c:dLbls>
          <c:showLegendKey val="0"/>
          <c:showVal val="0"/>
          <c:showCatName val="0"/>
          <c:showSerName val="0"/>
          <c:showPercent val="0"/>
          <c:showBubbleSize val="0"/>
        </c:dLbls>
        <c:axId val="684957567"/>
        <c:axId val="1715761615"/>
      </c:scatterChart>
      <c:valAx>
        <c:axId val="684957567"/>
        <c:scaling>
          <c:orientation val="minMax"/>
        </c:scaling>
        <c:delete val="0"/>
        <c:axPos val="b"/>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761615"/>
        <c:crosses val="autoZero"/>
        <c:crossBetween val="midCat"/>
      </c:valAx>
      <c:valAx>
        <c:axId val="1715761615"/>
        <c:scaling>
          <c:orientation val="minMax"/>
        </c:scaling>
        <c:delete val="0"/>
        <c:axPos val="l"/>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957567"/>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Probability density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3503787878787877E-2"/>
          <c:y val="8.2526481481481478E-2"/>
          <c:w val="0.95520126262626259"/>
          <c:h val="0.85821092592592596"/>
        </c:manualLayout>
      </c:layout>
      <c:areaChart>
        <c:grouping val="standard"/>
        <c:varyColors val="0"/>
        <c:ser>
          <c:idx val="1"/>
          <c:order val="1"/>
          <c:tx>
            <c:v>Area</c:v>
          </c:tx>
          <c:spPr>
            <a:solidFill>
              <a:srgbClr val="D9D9D9"/>
            </a:solidFill>
            <a:ln>
              <a:noFill/>
            </a:ln>
            <a:effectLst/>
          </c:spPr>
          <c:cat>
            <c:numRef>
              <c:f>Workings_StdNorm!$N$18:$N$72</c:f>
              <c:numCache>
                <c:formatCode>#,##0_);\(#,##0\);\-??</c:formatCode>
                <c:ptCount val="55"/>
                <c:pt idx="0">
                  <c:v>750.00000000000011</c:v>
                </c:pt>
                <c:pt idx="1">
                  <c:v>2500</c:v>
                </c:pt>
                <c:pt idx="2">
                  <c:v>2500</c:v>
                </c:pt>
                <c:pt idx="3">
                  <c:v>2600</c:v>
                </c:pt>
                <c:pt idx="4">
                  <c:v>2700</c:v>
                </c:pt>
                <c:pt idx="5">
                  <c:v>2800.0000000000005</c:v>
                </c:pt>
                <c:pt idx="6">
                  <c:v>2900.0000000000005</c:v>
                </c:pt>
                <c:pt idx="7">
                  <c:v>3000</c:v>
                </c:pt>
                <c:pt idx="8">
                  <c:v>3100</c:v>
                </c:pt>
                <c:pt idx="9">
                  <c:v>3200</c:v>
                </c:pt>
                <c:pt idx="10">
                  <c:v>3300</c:v>
                </c:pt>
                <c:pt idx="11">
                  <c:v>3399.9999999999995</c:v>
                </c:pt>
                <c:pt idx="12">
                  <c:v>3500</c:v>
                </c:pt>
                <c:pt idx="13">
                  <c:v>3600</c:v>
                </c:pt>
                <c:pt idx="14">
                  <c:v>3700</c:v>
                </c:pt>
                <c:pt idx="15">
                  <c:v>3800</c:v>
                </c:pt>
                <c:pt idx="16">
                  <c:v>3900</c:v>
                </c:pt>
                <c:pt idx="17">
                  <c:v>4000</c:v>
                </c:pt>
                <c:pt idx="18">
                  <c:v>4100</c:v>
                </c:pt>
                <c:pt idx="19">
                  <c:v>4200</c:v>
                </c:pt>
                <c:pt idx="20">
                  <c:v>4300.0000000000009</c:v>
                </c:pt>
                <c:pt idx="21">
                  <c:v>4400.0000000000009</c:v>
                </c:pt>
                <c:pt idx="22">
                  <c:v>4500.0000000000009</c:v>
                </c:pt>
                <c:pt idx="23">
                  <c:v>4600.0000000000009</c:v>
                </c:pt>
                <c:pt idx="24">
                  <c:v>4700.0000000000009</c:v>
                </c:pt>
                <c:pt idx="25">
                  <c:v>4800.0000000000009</c:v>
                </c:pt>
                <c:pt idx="26">
                  <c:v>4900.0000000000009</c:v>
                </c:pt>
                <c:pt idx="27">
                  <c:v>5000</c:v>
                </c:pt>
                <c:pt idx="28">
                  <c:v>5100</c:v>
                </c:pt>
                <c:pt idx="29">
                  <c:v>5200</c:v>
                </c:pt>
                <c:pt idx="30">
                  <c:v>5300</c:v>
                </c:pt>
                <c:pt idx="31">
                  <c:v>5400</c:v>
                </c:pt>
                <c:pt idx="32">
                  <c:v>5500</c:v>
                </c:pt>
                <c:pt idx="33">
                  <c:v>5600.0000000000009</c:v>
                </c:pt>
                <c:pt idx="34">
                  <c:v>5700.0000000000009</c:v>
                </c:pt>
                <c:pt idx="35">
                  <c:v>5800.0000000000009</c:v>
                </c:pt>
                <c:pt idx="36">
                  <c:v>5900.0000000000009</c:v>
                </c:pt>
                <c:pt idx="37">
                  <c:v>6000.0000000000009</c:v>
                </c:pt>
                <c:pt idx="38">
                  <c:v>6100.0000000000009</c:v>
                </c:pt>
                <c:pt idx="39">
                  <c:v>6200.0000000000009</c:v>
                </c:pt>
                <c:pt idx="40">
                  <c:v>6300.0000000000009</c:v>
                </c:pt>
                <c:pt idx="41">
                  <c:v>6400.0000000000009</c:v>
                </c:pt>
                <c:pt idx="42">
                  <c:v>6500.0000000000009</c:v>
                </c:pt>
                <c:pt idx="43">
                  <c:v>6600.0000000000018</c:v>
                </c:pt>
                <c:pt idx="44">
                  <c:v>6700.0000000000018</c:v>
                </c:pt>
                <c:pt idx="45">
                  <c:v>6800.0000000000018</c:v>
                </c:pt>
                <c:pt idx="46">
                  <c:v>6900.0000000000018</c:v>
                </c:pt>
                <c:pt idx="47">
                  <c:v>7000.0000000000018</c:v>
                </c:pt>
                <c:pt idx="48">
                  <c:v>7100.0000000000018</c:v>
                </c:pt>
                <c:pt idx="49">
                  <c:v>7200.0000000000018</c:v>
                </c:pt>
                <c:pt idx="50">
                  <c:v>7300.0000000000018</c:v>
                </c:pt>
                <c:pt idx="51">
                  <c:v>7400.0000000000018</c:v>
                </c:pt>
                <c:pt idx="52">
                  <c:v>7500</c:v>
                </c:pt>
                <c:pt idx="53">
                  <c:v>7500</c:v>
                </c:pt>
                <c:pt idx="54">
                  <c:v>9250.0000000000127</c:v>
                </c:pt>
              </c:numCache>
            </c:numRef>
          </c:cat>
          <c:val>
            <c:numRef>
              <c:f>Workings_StdNorm!$O$18:$O$72</c:f>
              <c:numCache>
                <c:formatCode>_-* #,##0_-;\-* #,##0_-;_-* "-"??_-;_-@_-</c:formatCode>
                <c:ptCount val="55"/>
                <c:pt idx="0">
                  <c:v>0</c:v>
                </c:pt>
                <c:pt idx="1">
                  <c:v>0</c:v>
                </c:pt>
                <c:pt idx="2" formatCode="_-* #,##0.00000_-;\-* #,##0.00000_-;_-* &quot;-&quot;??_-;_-@_-">
                  <c:v>5.3990966513188063E-2</c:v>
                </c:pt>
                <c:pt idx="3" formatCode="_-* #,##0.00000_-;\-* #,##0.00000_-;_-* &quot;-&quot;??_-;_-@_-">
                  <c:v>6.3156561435198655E-2</c:v>
                </c:pt>
                <c:pt idx="4" formatCode="_-* #,##0.00000_-;\-* #,##0.00000_-;_-* &quot;-&quot;??_-;_-@_-">
                  <c:v>7.3406812581656891E-2</c:v>
                </c:pt>
                <c:pt idx="5" formatCode="_-* #,##0.00000_-;\-* #,##0.00000_-;_-* &quot;-&quot;??_-;_-@_-">
                  <c:v>8.4776361308022227E-2</c:v>
                </c:pt>
                <c:pt idx="6" formatCode="_-* #,##0.00000_-;\-* #,##0.00000_-;_-* &quot;-&quot;??_-;_-@_-">
                  <c:v>9.7282269331467511E-2</c:v>
                </c:pt>
                <c:pt idx="7" formatCode="_-* #,##0.00000_-;\-* #,##0.00000_-;_-* &quot;-&quot;??_-;_-@_-">
                  <c:v>0.11092083467945554</c:v>
                </c:pt>
                <c:pt idx="8" formatCode="_-* #,##0.00000_-;\-* #,##0.00000_-;_-* &quot;-&quot;??_-;_-@_-">
                  <c:v>0.12566463678908815</c:v>
                </c:pt>
                <c:pt idx="9" formatCode="_-* #,##0.00000_-;\-* #,##0.00000_-;_-* &quot;-&quot;??_-;_-@_-">
                  <c:v>0.14145996522483878</c:v>
                </c:pt>
                <c:pt idx="10" formatCode="_-* #,##0.00000_-;\-* #,##0.00000_-;_-* &quot;-&quot;??_-;_-@_-">
                  <c:v>0.15822479037038306</c:v>
                </c:pt>
                <c:pt idx="11" formatCode="_-* #,##0.00000_-;\-* #,##0.00000_-;_-* &quot;-&quot;??_-;_-@_-">
                  <c:v>0.17584743029766237</c:v>
                </c:pt>
                <c:pt idx="12" formatCode="_-* #,##0.00000_-;\-* #,##0.00000_-;_-* &quot;-&quot;??_-;_-@_-">
                  <c:v>0.19418605498321292</c:v>
                </c:pt>
                <c:pt idx="13" formatCode="_-* #,##0.00000_-;\-* #,##0.00000_-;_-* &quot;-&quot;??_-;_-@_-">
                  <c:v>0.21306914677571784</c:v>
                </c:pt>
                <c:pt idx="14" formatCode="_-* #,##0.00000_-;\-* #,##0.00000_-;_-* &quot;-&quot;??_-;_-@_-">
                  <c:v>0.2322970047433662</c:v>
                </c:pt>
                <c:pt idx="15" formatCode="_-* #,##0.00000_-;\-* #,##0.00000_-;_-* &quot;-&quot;??_-;_-@_-">
                  <c:v>0.25164434109811712</c:v>
                </c:pt>
                <c:pt idx="16" formatCode="_-* #,##0.00000_-;\-* #,##0.00000_-;_-* &quot;-&quot;??_-;_-@_-">
                  <c:v>0.27086397179833799</c:v>
                </c:pt>
                <c:pt idx="17" formatCode="_-* #,##0.00000_-;\-* #,##0.00000_-;_-* &quot;-&quot;??_-;_-@_-">
                  <c:v>0.28969155276148273</c:v>
                </c:pt>
                <c:pt idx="18" formatCode="_-* #,##0.00000_-;\-* #,##0.00000_-;_-* &quot;-&quot;??_-;_-@_-">
                  <c:v>0.30785126046985295</c:v>
                </c:pt>
                <c:pt idx="19" formatCode="_-* #,##0.00000_-;\-* #,##0.00000_-;_-* &quot;-&quot;??_-;_-@_-">
                  <c:v>0.32506226408408218</c:v>
                </c:pt>
                <c:pt idx="20" formatCode="_-* #,##0.00000_-;\-* #,##0.00000_-;_-* &quot;-&quot;??_-;_-@_-">
                  <c:v>0.34104578863035256</c:v>
                </c:pt>
                <c:pt idx="21" formatCode="_-* #,##0.00000_-;\-* #,##0.00000_-;_-* &quot;-&quot;??_-;_-@_-">
                  <c:v>0.35553252850599715</c:v>
                </c:pt>
                <c:pt idx="22" formatCode="_-* #,##0.00000_-;\-* #,##0.00000_-;_-* &quot;-&quot;??_-;_-@_-">
                  <c:v>0.36827014030332339</c:v>
                </c:pt>
                <c:pt idx="23" formatCode="_-* #,##0.00000_-;\-* #,##0.00000_-;_-* &quot;-&quot;??_-;_-@_-">
                  <c:v>0.37903052615270172</c:v>
                </c:pt>
                <c:pt idx="24" formatCode="_-* #,##0.00000_-;\-* #,##0.00000_-;_-* &quot;-&quot;??_-;_-@_-">
                  <c:v>0.38761661512501422</c:v>
                </c:pt>
                <c:pt idx="25" formatCode="_-* #,##0.00000_-;\-* #,##0.00000_-;_-* &quot;-&quot;??_-;_-@_-">
                  <c:v>0.39386836156854088</c:v>
                </c:pt>
                <c:pt idx="26" formatCode="_-* #,##0.00000_-;\-* #,##0.00000_-;_-* &quot;-&quot;??_-;_-@_-">
                  <c:v>0.3976677055116089</c:v>
                </c:pt>
                <c:pt idx="27" formatCode="_-* #,##0.00000_-;\-* #,##0.00000_-;_-* &quot;-&quot;??_-;_-@_-">
                  <c:v>0.3989422804014327</c:v>
                </c:pt>
                <c:pt idx="28" formatCode="_-* #,##0.00000_-;\-* #,##0.00000_-;_-* &quot;-&quot;??_-;_-@_-">
                  <c:v>0.39766770551160885</c:v>
                </c:pt>
                <c:pt idx="29" formatCode="_-* #,##0.00000_-;\-* #,##0.00000_-;_-* &quot;-&quot;??_-;_-@_-">
                  <c:v>0.39386836156854077</c:v>
                </c:pt>
                <c:pt idx="30" formatCode="_-* #,##0.00000_-;\-* #,##0.00000_-;_-* &quot;-&quot;??_-;_-@_-">
                  <c:v>0.38761661512501405</c:v>
                </c:pt>
                <c:pt idx="31" formatCode="_-* #,##0.00000_-;\-* #,##0.00000_-;_-* &quot;-&quot;??_-;_-@_-">
                  <c:v>0.37903052615270161</c:v>
                </c:pt>
                <c:pt idx="32" formatCode="_-* #,##0.00000_-;\-* #,##0.00000_-;_-* &quot;-&quot;??_-;_-@_-">
                  <c:v>0.36827014030332322</c:v>
                </c:pt>
                <c:pt idx="33" formatCode="_-* #,##0.00000_-;\-* #,##0.00000_-;_-* &quot;-&quot;??_-;_-@_-">
                  <c:v>0.35553252850599693</c:v>
                </c:pt>
                <c:pt idx="34" formatCode="_-* #,##0.00000_-;\-* #,##0.00000_-;_-* &quot;-&quot;??_-;_-@_-">
                  <c:v>0.3410457886303524</c:v>
                </c:pt>
                <c:pt idx="35" formatCode="_-* #,##0.00000_-;\-* #,##0.00000_-;_-* &quot;-&quot;??_-;_-@_-">
                  <c:v>0.32506226408408195</c:v>
                </c:pt>
                <c:pt idx="36" formatCode="_-* #,##0.00000_-;\-* #,##0.00000_-;_-* &quot;-&quot;??_-;_-@_-">
                  <c:v>0.30785126046985267</c:v>
                </c:pt>
                <c:pt idx="37" formatCode="_-* #,##0.00000_-;\-* #,##0.00000_-;_-* &quot;-&quot;??_-;_-@_-">
                  <c:v>0.28969155276148251</c:v>
                </c:pt>
                <c:pt idx="38" formatCode="_-* #,##0.00000_-;\-* #,##0.00000_-;_-* &quot;-&quot;??_-;_-@_-">
                  <c:v>0.27086397179833777</c:v>
                </c:pt>
                <c:pt idx="39" formatCode="_-* #,##0.00000_-;\-* #,##0.00000_-;_-* &quot;-&quot;??_-;_-@_-">
                  <c:v>0.25164434109811679</c:v>
                </c:pt>
                <c:pt idx="40" formatCode="_-* #,##0.00000_-;\-* #,##0.00000_-;_-* &quot;-&quot;??_-;_-@_-">
                  <c:v>0.23229700474336587</c:v>
                </c:pt>
                <c:pt idx="41" formatCode="_-* #,##0.00000_-;\-* #,##0.00000_-;_-* &quot;-&quot;??_-;_-@_-">
                  <c:v>0.21306914677571753</c:v>
                </c:pt>
                <c:pt idx="42" formatCode="_-* #,##0.00000_-;\-* #,##0.00000_-;_-* &quot;-&quot;??_-;_-@_-">
                  <c:v>0.19418605498321259</c:v>
                </c:pt>
                <c:pt idx="43" formatCode="_-* #,##0.00000_-;\-* #,##0.00000_-;_-* &quot;-&quot;??_-;_-@_-">
                  <c:v>0.17584743029766201</c:v>
                </c:pt>
                <c:pt idx="44" formatCode="_-* #,##0.00000_-;\-* #,##0.00000_-;_-* &quot;-&quot;??_-;_-@_-">
                  <c:v>0.1582247903703827</c:v>
                </c:pt>
                <c:pt idx="45" formatCode="_-* #,##0.00000_-;\-* #,##0.00000_-;_-* &quot;-&quot;??_-;_-@_-">
                  <c:v>0.14145996522483845</c:v>
                </c:pt>
                <c:pt idx="46" formatCode="_-* #,##0.00000_-;\-* #,##0.00000_-;_-* &quot;-&quot;??_-;_-@_-">
                  <c:v>0.12566463678908782</c:v>
                </c:pt>
                <c:pt idx="47" formatCode="_-* #,##0.00000_-;\-* #,##0.00000_-;_-* &quot;-&quot;??_-;_-@_-">
                  <c:v>0.11092083467945524</c:v>
                </c:pt>
                <c:pt idx="48" formatCode="_-* #,##0.00000_-;\-* #,##0.00000_-;_-* &quot;-&quot;??_-;_-@_-">
                  <c:v>9.7282269331467178E-2</c:v>
                </c:pt>
                <c:pt idx="49" formatCode="_-* #,##0.00000_-;\-* #,##0.00000_-;_-* &quot;-&quot;??_-;_-@_-">
                  <c:v>8.4776361308021936E-2</c:v>
                </c:pt>
                <c:pt idx="50" formatCode="_-* #,##0.00000_-;\-* #,##0.00000_-;_-* &quot;-&quot;??_-;_-@_-">
                  <c:v>7.3406812581656614E-2</c:v>
                </c:pt>
                <c:pt idx="51" formatCode="_-* #,##0.00000_-;\-* #,##0.00000_-;_-* &quot;-&quot;??_-;_-@_-">
                  <c:v>6.3156561435198391E-2</c:v>
                </c:pt>
                <c:pt idx="52" formatCode="_-* #,##0.00000_-;\-* #,##0.00000_-;_-* &quot;-&quot;??_-;_-@_-">
                  <c:v>5.3990966513188063E-2</c:v>
                </c:pt>
                <c:pt idx="53">
                  <c:v>0</c:v>
                </c:pt>
                <c:pt idx="54">
                  <c:v>0</c:v>
                </c:pt>
              </c:numCache>
            </c:numRef>
          </c:val>
          <c:extLst>
            <c:ext xmlns:c16="http://schemas.microsoft.com/office/drawing/2014/chart" uri="{C3380CC4-5D6E-409C-BE32-E72D297353CC}">
              <c16:uniqueId val="{00000000-E1A9-4782-9A17-892548D55B19}"/>
            </c:ext>
          </c:extLst>
        </c:ser>
        <c:dLbls>
          <c:showLegendKey val="0"/>
          <c:showVal val="0"/>
          <c:showCatName val="0"/>
          <c:showSerName val="0"/>
          <c:showPercent val="0"/>
          <c:showBubbleSize val="0"/>
        </c:dLbls>
        <c:axId val="1314122015"/>
        <c:axId val="1314111599"/>
      </c:areaChart>
      <c:scatterChart>
        <c:scatterStyle val="lineMarker"/>
        <c:varyColors val="0"/>
        <c:ser>
          <c:idx val="0"/>
          <c:order val="0"/>
          <c:tx>
            <c:v>Line</c:v>
          </c:tx>
          <c:spPr>
            <a:ln w="19050" cap="rnd">
              <a:solidFill>
                <a:schemeClr val="accent1"/>
              </a:solidFill>
              <a:round/>
            </a:ln>
            <a:effectLst/>
          </c:spPr>
          <c:marker>
            <c:symbol val="none"/>
          </c:marker>
          <c:dPt>
            <c:idx val="24"/>
            <c:marker>
              <c:symbol val="none"/>
            </c:marker>
            <c:bubble3D val="0"/>
            <c:spPr>
              <a:ln w="19050" cap="rnd">
                <a:solidFill>
                  <a:srgbClr val="4472C4"/>
                </a:solidFill>
                <a:round/>
              </a:ln>
              <a:effectLst/>
            </c:spPr>
            <c:extLst>
              <c:ext xmlns:c16="http://schemas.microsoft.com/office/drawing/2014/chart" uri="{C3380CC4-5D6E-409C-BE32-E72D297353CC}">
                <c16:uniqueId val="{00000000-73EA-400E-800D-529AE9C86FF9}"/>
              </c:ext>
            </c:extLst>
          </c:dPt>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StandardNormDist!$O$21:$O$89</c:f>
              <c:numCache>
                <c:formatCode>0.0000</c:formatCode>
                <c:ptCount val="69"/>
                <c:pt idx="0">
                  <c:v>1.2322191684730199E-3</c:v>
                </c:pt>
                <c:pt idx="1">
                  <c:v>1.7225689390536812E-3</c:v>
                </c:pt>
                <c:pt idx="2">
                  <c:v>2.3840882014648404E-3</c:v>
                </c:pt>
                <c:pt idx="3">
                  <c:v>3.2668190561999182E-3</c:v>
                </c:pt>
                <c:pt idx="4">
                  <c:v>4.4318484119380075E-3</c:v>
                </c:pt>
                <c:pt idx="5">
                  <c:v>5.9525324197758538E-3</c:v>
                </c:pt>
                <c:pt idx="6">
                  <c:v>7.9154515829799686E-3</c:v>
                </c:pt>
                <c:pt idx="7">
                  <c:v>1.0420934814422592E-2</c:v>
                </c:pt>
                <c:pt idx="8">
                  <c:v>1.3582969233685613E-2</c:v>
                </c:pt>
                <c:pt idx="9">
                  <c:v>1.752830049356854E-2</c:v>
                </c:pt>
                <c:pt idx="10">
                  <c:v>2.2394530294842899E-2</c:v>
                </c:pt>
                <c:pt idx="11">
                  <c:v>2.8327037741601186E-2</c:v>
                </c:pt>
                <c:pt idx="12">
                  <c:v>3.5474592846231424E-2</c:v>
                </c:pt>
                <c:pt idx="13">
                  <c:v>4.3983595980427191E-2</c:v>
                </c:pt>
                <c:pt idx="14">
                  <c:v>5.3990966513188063E-2</c:v>
                </c:pt>
                <c:pt idx="15">
                  <c:v>6.5615814774676595E-2</c:v>
                </c:pt>
                <c:pt idx="16">
                  <c:v>7.8950158300894149E-2</c:v>
                </c:pt>
                <c:pt idx="17">
                  <c:v>9.4049077376886947E-2</c:v>
                </c:pt>
                <c:pt idx="18">
                  <c:v>0.11092083467945554</c:v>
                </c:pt>
                <c:pt idx="19">
                  <c:v>0.12951759566589174</c:v>
                </c:pt>
                <c:pt idx="20">
                  <c:v>0.14972746563574488</c:v>
                </c:pt>
                <c:pt idx="21">
                  <c:v>0.17136859204780736</c:v>
                </c:pt>
                <c:pt idx="22">
                  <c:v>0.19418605498321295</c:v>
                </c:pt>
                <c:pt idx="23">
                  <c:v>0.21785217703255053</c:v>
                </c:pt>
                <c:pt idx="24">
                  <c:v>0.24197072451914337</c:v>
                </c:pt>
                <c:pt idx="25">
                  <c:v>0.26608524989875482</c:v>
                </c:pt>
                <c:pt idx="26">
                  <c:v>0.28969155276148273</c:v>
                </c:pt>
                <c:pt idx="27">
                  <c:v>0.31225393336676127</c:v>
                </c:pt>
                <c:pt idx="28">
                  <c:v>0.33322460289179967</c:v>
                </c:pt>
                <c:pt idx="29">
                  <c:v>0.35206532676429952</c:v>
                </c:pt>
                <c:pt idx="30">
                  <c:v>0.36827014030332333</c:v>
                </c:pt>
                <c:pt idx="31">
                  <c:v>0.38138781546052414</c:v>
                </c:pt>
                <c:pt idx="32">
                  <c:v>0.39104269397545588</c:v>
                </c:pt>
                <c:pt idx="33">
                  <c:v>0.39695254747701181</c:v>
                </c:pt>
                <c:pt idx="34">
                  <c:v>0.3989422804014327</c:v>
                </c:pt>
                <c:pt idx="35">
                  <c:v>0.39695254747701181</c:v>
                </c:pt>
                <c:pt idx="36">
                  <c:v>0.39104269397545588</c:v>
                </c:pt>
                <c:pt idx="37">
                  <c:v>0.38138781546052414</c:v>
                </c:pt>
                <c:pt idx="38">
                  <c:v>0.36827014030332333</c:v>
                </c:pt>
                <c:pt idx="39">
                  <c:v>0.35206532676429952</c:v>
                </c:pt>
                <c:pt idx="40">
                  <c:v>0.33322460289179967</c:v>
                </c:pt>
                <c:pt idx="41">
                  <c:v>0.31225393336676127</c:v>
                </c:pt>
                <c:pt idx="42">
                  <c:v>0.28969155276148273</c:v>
                </c:pt>
                <c:pt idx="43">
                  <c:v>0.26608524989875482</c:v>
                </c:pt>
                <c:pt idx="44">
                  <c:v>0.24197072451914337</c:v>
                </c:pt>
                <c:pt idx="45">
                  <c:v>0.21785217703255053</c:v>
                </c:pt>
                <c:pt idx="46">
                  <c:v>0.19418605498321295</c:v>
                </c:pt>
                <c:pt idx="47">
                  <c:v>0.17136859204780736</c:v>
                </c:pt>
                <c:pt idx="48">
                  <c:v>0.14972746563574488</c:v>
                </c:pt>
                <c:pt idx="49">
                  <c:v>0.12951759566589174</c:v>
                </c:pt>
                <c:pt idx="50">
                  <c:v>0.11092083467945554</c:v>
                </c:pt>
                <c:pt idx="51">
                  <c:v>9.4049077376886947E-2</c:v>
                </c:pt>
                <c:pt idx="52">
                  <c:v>7.8950158300894149E-2</c:v>
                </c:pt>
                <c:pt idx="53">
                  <c:v>6.5615814774676595E-2</c:v>
                </c:pt>
                <c:pt idx="54">
                  <c:v>5.3990966513188063E-2</c:v>
                </c:pt>
                <c:pt idx="55">
                  <c:v>4.3983595980426296E-2</c:v>
                </c:pt>
                <c:pt idx="56">
                  <c:v>3.5474592846231424E-2</c:v>
                </c:pt>
                <c:pt idx="57">
                  <c:v>2.8327037741601186E-2</c:v>
                </c:pt>
                <c:pt idx="58">
                  <c:v>2.2394530294842355E-2</c:v>
                </c:pt>
                <c:pt idx="59">
                  <c:v>1.7528300493568086E-2</c:v>
                </c:pt>
                <c:pt idx="60">
                  <c:v>1.3582969233685271E-2</c:v>
                </c:pt>
                <c:pt idx="61">
                  <c:v>1.0420934814422592E-2</c:v>
                </c:pt>
                <c:pt idx="62">
                  <c:v>7.915451582979743E-3</c:v>
                </c:pt>
                <c:pt idx="63">
                  <c:v>5.9525324197756795E-3</c:v>
                </c:pt>
                <c:pt idx="64">
                  <c:v>4.431848411937874E-3</c:v>
                </c:pt>
                <c:pt idx="65">
                  <c:v>3.2668190561998202E-3</c:v>
                </c:pt>
                <c:pt idx="66">
                  <c:v>2.3840882014647662E-3</c:v>
                </c:pt>
                <c:pt idx="67">
                  <c:v>1.7225689390536229E-3</c:v>
                </c:pt>
                <c:pt idx="68">
                  <c:v>1.2322191684729772E-3</c:v>
                </c:pt>
              </c:numCache>
            </c:numRef>
          </c:yVal>
          <c:smooth val="0"/>
          <c:extLst>
            <c:ext xmlns:c16="http://schemas.microsoft.com/office/drawing/2014/chart" uri="{C3380CC4-5D6E-409C-BE32-E72D297353CC}">
              <c16:uniqueId val="{00000000-6F83-441E-871C-9D551EE8654A}"/>
            </c:ext>
          </c:extLst>
        </c:ser>
        <c:dLbls>
          <c:showLegendKey val="0"/>
          <c:showVal val="0"/>
          <c:showCatName val="0"/>
          <c:showSerName val="0"/>
          <c:showPercent val="0"/>
          <c:showBubbleSize val="0"/>
        </c:dLbls>
        <c:axId val="1261631967"/>
        <c:axId val="97666399"/>
      </c:scatterChart>
      <c:valAx>
        <c:axId val="126163196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66399"/>
        <c:crosses val="autoZero"/>
        <c:crossBetween val="midCat"/>
      </c:valAx>
      <c:valAx>
        <c:axId val="97666399"/>
        <c:scaling>
          <c:orientation val="minMax"/>
        </c:scaling>
        <c:delete val="0"/>
        <c:axPos val="l"/>
        <c:numFmt formatCode="0.0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631967"/>
        <c:crosses val="autoZero"/>
        <c:crossBetween val="midCat"/>
      </c:valAx>
      <c:valAx>
        <c:axId val="1314111599"/>
        <c:scaling>
          <c:orientation val="minMax"/>
        </c:scaling>
        <c:delete val="1"/>
        <c:axPos val="r"/>
        <c:numFmt formatCode="_-* #,##0_-;\-* #,##0_-;_-* &quot;-&quot;??_-;_-@_-" sourceLinked="1"/>
        <c:majorTickMark val="out"/>
        <c:minorTickMark val="none"/>
        <c:tickLblPos val="nextTo"/>
        <c:crossAx val="1314122015"/>
        <c:crosses val="max"/>
        <c:crossBetween val="between"/>
      </c:valAx>
      <c:dateAx>
        <c:axId val="1314122015"/>
        <c:scaling>
          <c:orientation val="minMax"/>
          <c:max val="10000"/>
          <c:min val="1"/>
        </c:scaling>
        <c:delete val="0"/>
        <c:axPos val="t"/>
        <c:numFmt formatCode="#,##0_);\(#,##0\);\-??"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111599"/>
        <c:crosses val="max"/>
        <c:auto val="0"/>
        <c:lblOffset val="100"/>
        <c:baseTimeUnit val="days"/>
        <c:minorUnit val="1"/>
      </c:date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Cumulative distribution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8314393939393938E-2"/>
          <c:y val="8.7230185185185202E-2"/>
          <c:w val="0.95520126262626259"/>
          <c:h val="0.85821092592592596"/>
        </c:manualLayout>
      </c:layout>
      <c:scatterChart>
        <c:scatterStyle val="lineMarker"/>
        <c:varyColors val="0"/>
        <c:ser>
          <c:idx val="0"/>
          <c:order val="0"/>
          <c:tx>
            <c:v>Line</c:v>
          </c:tx>
          <c:spPr>
            <a:ln w="19050" cap="rnd">
              <a:solidFill>
                <a:schemeClr val="accent1"/>
              </a:solidFill>
              <a:round/>
            </a:ln>
            <a:effectLst/>
          </c:spPr>
          <c:marker>
            <c:symbol val="none"/>
          </c:marker>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StandardNormDist!$S$21:$S$89</c:f>
              <c:numCache>
                <c:formatCode>0.0000</c:formatCode>
                <c:ptCount val="69"/>
                <c:pt idx="0">
                  <c:v>0</c:v>
                </c:pt>
                <c:pt idx="1">
                  <c:v>1.4773940537633518E-4</c:v>
                </c:pt>
                <c:pt idx="2">
                  <c:v>3.5307226240226058E-4</c:v>
                </c:pt>
                <c:pt idx="3">
                  <c:v>6.3561762528549872E-4</c:v>
                </c:pt>
                <c:pt idx="4">
                  <c:v>1.0205509986923953E-3</c:v>
                </c:pt>
                <c:pt idx="5">
                  <c:v>1.5397700402780888E-3</c:v>
                </c:pt>
                <c:pt idx="6">
                  <c:v>2.2331692404158805E-3</c:v>
                </c:pt>
                <c:pt idx="7">
                  <c:v>3.1499885602860054E-3</c:v>
                </c:pt>
                <c:pt idx="8">
                  <c:v>4.3501837626914166E-3</c:v>
                </c:pt>
                <c:pt idx="9">
                  <c:v>5.9057472490541257E-3</c:v>
                </c:pt>
                <c:pt idx="10">
                  <c:v>7.9018887884746997E-3</c:v>
                </c:pt>
                <c:pt idx="11">
                  <c:v>1.0437967190296906E-2</c:v>
                </c:pt>
                <c:pt idx="12">
                  <c:v>1.3628048719688526E-2</c:v>
                </c:pt>
                <c:pt idx="13">
                  <c:v>1.760095816102146E-2</c:v>
                </c:pt>
                <c:pt idx="14">
                  <c:v>2.2499686285702227E-2</c:v>
                </c:pt>
                <c:pt idx="15">
                  <c:v>2.8480025350095466E-2</c:v>
                </c:pt>
                <c:pt idx="16">
                  <c:v>3.5708324003873991E-2</c:v>
                </c:pt>
                <c:pt idx="17">
                  <c:v>4.4358285787763053E-2</c:v>
                </c:pt>
                <c:pt idx="18">
                  <c:v>5.4606781390580166E-2</c:v>
                </c:pt>
                <c:pt idx="19">
                  <c:v>6.6628702907847545E-2</c:v>
                </c:pt>
                <c:pt idx="20">
                  <c:v>8.0590955972929396E-2</c:v>
                </c:pt>
                <c:pt idx="21">
                  <c:v>9.6645758857106981E-2</c:v>
                </c:pt>
                <c:pt idx="22">
                  <c:v>0.11492349120865801</c:v>
                </c:pt>
                <c:pt idx="23">
                  <c:v>0.13552540280944617</c:v>
                </c:pt>
                <c:pt idx="24">
                  <c:v>0.15851654788703087</c:v>
                </c:pt>
                <c:pt idx="25">
                  <c:v>0.18391934660792578</c:v>
                </c:pt>
                <c:pt idx="26">
                  <c:v>0.21170818674093764</c:v>
                </c:pt>
                <c:pt idx="27">
                  <c:v>0.24180546104734987</c:v>
                </c:pt>
                <c:pt idx="28">
                  <c:v>0.27407938786027791</c:v>
                </c:pt>
                <c:pt idx="29">
                  <c:v>0.30834388434308285</c:v>
                </c:pt>
                <c:pt idx="30">
                  <c:v>0.34436065769646396</c:v>
                </c:pt>
                <c:pt idx="31">
                  <c:v>0.38184355548465632</c:v>
                </c:pt>
                <c:pt idx="32">
                  <c:v>0.42046508095645529</c:v>
                </c:pt>
                <c:pt idx="33">
                  <c:v>0.45986484302907871</c:v>
                </c:pt>
                <c:pt idx="34">
                  <c:v>0.49965958442300096</c:v>
                </c:pt>
                <c:pt idx="35">
                  <c:v>0.53945432581692321</c:v>
                </c:pt>
                <c:pt idx="36">
                  <c:v>0.57885408788954662</c:v>
                </c:pt>
                <c:pt idx="37">
                  <c:v>0.6174756133613456</c:v>
                </c:pt>
                <c:pt idx="38">
                  <c:v>0.65495851114953796</c:v>
                </c:pt>
                <c:pt idx="39">
                  <c:v>0.69097528450291912</c:v>
                </c:pt>
                <c:pt idx="40">
                  <c:v>0.72523978098572406</c:v>
                </c:pt>
                <c:pt idx="41">
                  <c:v>0.75751370779865213</c:v>
                </c:pt>
                <c:pt idx="42">
                  <c:v>0.78761098210506431</c:v>
                </c:pt>
                <c:pt idx="43">
                  <c:v>0.81539982223807617</c:v>
                </c:pt>
                <c:pt idx="44">
                  <c:v>0.84080262095897107</c:v>
                </c:pt>
                <c:pt idx="45">
                  <c:v>0.86379376603655578</c:v>
                </c:pt>
                <c:pt idx="46">
                  <c:v>0.88439567763734395</c:v>
                </c:pt>
                <c:pt idx="47">
                  <c:v>0.902673409988895</c:v>
                </c:pt>
                <c:pt idx="48">
                  <c:v>0.9187282128730726</c:v>
                </c:pt>
                <c:pt idx="49">
                  <c:v>0.93269046593815441</c:v>
                </c:pt>
                <c:pt idx="50">
                  <c:v>0.94471238745542174</c:v>
                </c:pt>
                <c:pt idx="51">
                  <c:v>0.9549608830582389</c:v>
                </c:pt>
                <c:pt idx="52">
                  <c:v>0.963610844842128</c:v>
                </c:pt>
                <c:pt idx="53">
                  <c:v>0.9708391434959065</c:v>
                </c:pt>
                <c:pt idx="54">
                  <c:v>0.97681948256029971</c:v>
                </c:pt>
                <c:pt idx="55">
                  <c:v>0.98171821068498089</c:v>
                </c:pt>
                <c:pt idx="56">
                  <c:v>0.98569112012631344</c:v>
                </c:pt>
                <c:pt idx="57">
                  <c:v>0.98888120165570503</c:v>
                </c:pt>
                <c:pt idx="58">
                  <c:v>0.99141728005752749</c:v>
                </c:pt>
                <c:pt idx="59">
                  <c:v>0.99341342159694801</c:v>
                </c:pt>
                <c:pt idx="60">
                  <c:v>0.99496898508331066</c:v>
                </c:pt>
                <c:pt idx="61">
                  <c:v>0.99616918028571599</c:v>
                </c:pt>
                <c:pt idx="62">
                  <c:v>0.99708599960558619</c:v>
                </c:pt>
                <c:pt idx="63">
                  <c:v>0.99777939880572397</c:v>
                </c:pt>
                <c:pt idx="64">
                  <c:v>0.99829861784730967</c:v>
                </c:pt>
                <c:pt idx="65">
                  <c:v>0.9986835512207165</c:v>
                </c:pt>
                <c:pt idx="66">
                  <c:v>0.99896609658359969</c:v>
                </c:pt>
                <c:pt idx="67">
                  <c:v>0.99917142944062565</c:v>
                </c:pt>
                <c:pt idx="68">
                  <c:v>0.99931916884600203</c:v>
                </c:pt>
              </c:numCache>
            </c:numRef>
          </c:yVal>
          <c:smooth val="0"/>
          <c:extLst>
            <c:ext xmlns:c16="http://schemas.microsoft.com/office/drawing/2014/chart" uri="{C3380CC4-5D6E-409C-BE32-E72D297353CC}">
              <c16:uniqueId val="{00000000-52F0-428F-8532-6E9D0FA8BFC5}"/>
            </c:ext>
          </c:extLst>
        </c:ser>
        <c:ser>
          <c:idx val="1"/>
          <c:order val="1"/>
          <c:tx>
            <c:v>MinPoint</c:v>
          </c:tx>
          <c:spPr>
            <a:ln w="19050" cap="rnd">
              <a:solidFill>
                <a:schemeClr val="accent2"/>
              </a:solidFill>
              <a:round/>
            </a:ln>
            <a:effectLst/>
          </c:spPr>
          <c:marker>
            <c:symbol val="circle"/>
            <c:size val="10"/>
            <c:spPr>
              <a:solidFill>
                <a:srgbClr val="993300"/>
              </a:solidFill>
              <a:ln w="9525">
                <a:noFill/>
              </a:ln>
              <a:effectLst/>
            </c:spPr>
          </c:marker>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Workings_StdNorm!$F$13:$F$81</c:f>
              <c:numCache>
                <c:formatCode>General</c:formatCode>
                <c:ptCount val="6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2.2499686285702227E-2</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yVal>
          <c:smooth val="0"/>
          <c:extLst>
            <c:ext xmlns:c16="http://schemas.microsoft.com/office/drawing/2014/chart" uri="{C3380CC4-5D6E-409C-BE32-E72D297353CC}">
              <c16:uniqueId val="{00000000-77E1-4D9B-ACC5-84ADB408F07B}"/>
            </c:ext>
          </c:extLst>
        </c:ser>
        <c:ser>
          <c:idx val="2"/>
          <c:order val="2"/>
          <c:tx>
            <c:v>MaxPoint</c:v>
          </c:tx>
          <c:spPr>
            <a:ln w="19050" cap="rnd">
              <a:noFill/>
              <a:round/>
            </a:ln>
            <a:effectLst/>
          </c:spPr>
          <c:marker>
            <c:symbol val="circle"/>
            <c:size val="10"/>
            <c:spPr>
              <a:solidFill>
                <a:srgbClr val="993300"/>
              </a:solidFill>
              <a:ln w="9525">
                <a:solidFill>
                  <a:schemeClr val="accent3"/>
                </a:solidFill>
              </a:ln>
              <a:effectLst/>
            </c:spPr>
          </c:marker>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Workings_StdNorm!$H$13:$H$81</c:f>
              <c:numCache>
                <c:formatCode>General</c:formatCode>
                <c:ptCount val="6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0.97681948256029971</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yVal>
          <c:smooth val="0"/>
          <c:extLst>
            <c:ext xmlns:c16="http://schemas.microsoft.com/office/drawing/2014/chart" uri="{C3380CC4-5D6E-409C-BE32-E72D297353CC}">
              <c16:uniqueId val="{00000001-77E1-4D9B-ACC5-84ADB408F07B}"/>
            </c:ext>
          </c:extLst>
        </c:ser>
        <c:dLbls>
          <c:showLegendKey val="0"/>
          <c:showVal val="0"/>
          <c:showCatName val="0"/>
          <c:showSerName val="0"/>
          <c:showPercent val="0"/>
          <c:showBubbleSize val="0"/>
        </c:dLbls>
        <c:axId val="1630191903"/>
        <c:axId val="1314121023"/>
      </c:scatterChart>
      <c:valAx>
        <c:axId val="1630191903"/>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121023"/>
        <c:crosses val="autoZero"/>
        <c:crossBetween val="midCat"/>
      </c:valAx>
      <c:valAx>
        <c:axId val="1314121023"/>
        <c:scaling>
          <c:orientation val="minMax"/>
        </c:scaling>
        <c:delete val="0"/>
        <c:axPos val="l"/>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191903"/>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12700</xdr:rowOff>
    </xdr:from>
    <xdr:to>
      <xdr:col>11</xdr:col>
      <xdr:colOff>146050</xdr:colOff>
      <xdr:row>13</xdr:row>
      <xdr:rowOff>112889</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6778" y="1078089"/>
          <a:ext cx="6213828" cy="15677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A </a:t>
          </a:r>
          <a:r>
            <a:rPr lang="en-AU" sz="1200" b="1">
              <a:solidFill>
                <a:schemeClr val="accent1">
                  <a:lumMod val="75000"/>
                </a:schemeClr>
              </a:solidFill>
            </a:rPr>
            <a:t>probability density function (PDF) </a:t>
          </a:r>
          <a:r>
            <a:rPr lang="en-AU" sz="1200"/>
            <a:t>is used to specify the probability of a random variable falling within a particular range of values. This probability is calculated by the integral of the PDF (The cumulative distribution function or CDF).   This integral,</a:t>
          </a:r>
          <a:r>
            <a:rPr lang="en-AU" sz="1200" baseline="0"/>
            <a:t> </a:t>
          </a:r>
          <a:r>
            <a:rPr lang="en-AU" sz="1200"/>
            <a:t>in terms of the fundamental theorem of calculus, represents the area between the curve of</a:t>
          </a:r>
          <a:r>
            <a:rPr lang="en-AU" sz="1200" baseline="0"/>
            <a:t> the PDF</a:t>
          </a:r>
          <a:r>
            <a:rPr lang="en-AU" sz="1200"/>
            <a:t> and the x-axis, restricted by the domain of the PDF.  The area under the PDF (equal to the integral) is one, given that the sum of all probabilities need to equal one.    A continuous</a:t>
          </a:r>
          <a:r>
            <a:rPr lang="en-AU" sz="1200" baseline="0"/>
            <a:t> probability distribution is represented by a PDF.</a:t>
          </a:r>
          <a:br>
            <a:rPr lang="en-AU" sz="1200"/>
          </a:br>
          <a:endParaRPr lang="en-AU" sz="1200"/>
        </a:p>
        <a:p>
          <a:endParaRPr lang="en-AU" sz="1200"/>
        </a:p>
      </xdr:txBody>
    </xdr:sp>
    <xdr:clientData/>
  </xdr:twoCellAnchor>
  <xdr:twoCellAnchor>
    <xdr:from>
      <xdr:col>0</xdr:col>
      <xdr:colOff>599722</xdr:colOff>
      <xdr:row>15</xdr:row>
      <xdr:rowOff>111477</xdr:rowOff>
    </xdr:from>
    <xdr:to>
      <xdr:col>11</xdr:col>
      <xdr:colOff>138994</xdr:colOff>
      <xdr:row>26</xdr:row>
      <xdr:rowOff>134055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99722" y="3011310"/>
              <a:ext cx="6213828" cy="20404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chemeClr val="accent1">
                      <a:lumMod val="75000"/>
                    </a:schemeClr>
                  </a:solidFill>
                </a:rPr>
                <a:t>The cumulative distribution function (CDF)</a:t>
              </a:r>
              <a:r>
                <a:rPr lang="en-AU" sz="1200"/>
                <a:t> of a  random variable X evaluated at x, is the probability that X will take a value less than or equal to x.  Alternatively it is a funciton F(x) for the probability P(X&lt;=x).  </a:t>
              </a:r>
            </a:p>
            <a:p>
              <a:endParaRPr lang="en-AU" sz="1200"/>
            </a:p>
            <a:p>
              <a:r>
                <a:rPr lang="en-AU" sz="1200"/>
                <a:t>The CDF</a:t>
              </a:r>
              <a:r>
                <a:rPr lang="en-AU" sz="1200" baseline="0"/>
                <a:t> = F(x) = </a:t>
              </a:r>
              <a14:m>
                <m:oMath xmlns:m="http://schemas.openxmlformats.org/officeDocument/2006/math">
                  <m:nary>
                    <m:naryPr>
                      <m:limLoc m:val="subSup"/>
                      <m:grow m:val="on"/>
                      <m:ctrlPr>
                        <a:rPr lang="en-AU" sz="1200" i="1">
                          <a:latin typeface="Cambria Math" panose="02040503050406030204" pitchFamily="18" charset="0"/>
                        </a:rPr>
                      </m:ctrlPr>
                    </m:naryPr>
                    <m:sub>
                      <m:r>
                        <a:rPr lang="en-AU" sz="1200" i="1">
                          <a:latin typeface="Cambria Math" panose="02040503050406030204" pitchFamily="18" charset="0"/>
                        </a:rPr>
                        <m:t>𝑎</m:t>
                      </m:r>
                    </m:sub>
                    <m:sup>
                      <m:r>
                        <a:rPr lang="en-AU" sz="1200" i="1">
                          <a:latin typeface="Cambria Math" panose="02040503050406030204" pitchFamily="18" charset="0"/>
                        </a:rPr>
                        <m:t>𝑥</m:t>
                      </m:r>
                    </m:sup>
                    <m:e>
                      <m:r>
                        <a:rPr lang="en-AU" sz="1200" b="0" i="1">
                          <a:latin typeface="Cambria Math" panose="02040503050406030204" pitchFamily="18" charset="0"/>
                        </a:rPr>
                        <m:t>𝑓</m:t>
                      </m:r>
                      <m:d>
                        <m:dPr>
                          <m:ctrlPr>
                            <a:rPr lang="en-AU" sz="1200" b="0" i="1">
                              <a:latin typeface="Cambria Math" panose="02040503050406030204" pitchFamily="18" charset="0"/>
                            </a:rPr>
                          </m:ctrlPr>
                        </m:dPr>
                        <m:e>
                          <m:r>
                            <a:rPr lang="en-AU" sz="1200" b="0" i="1">
                              <a:latin typeface="Cambria Math" panose="02040503050406030204" pitchFamily="18" charset="0"/>
                            </a:rPr>
                            <m:t>𝑥</m:t>
                          </m:r>
                        </m:e>
                      </m:d>
                      <m:r>
                        <a:rPr lang="en-AU" sz="1200" b="0" i="1">
                          <a:latin typeface="Cambria Math" panose="02040503050406030204" pitchFamily="18" charset="0"/>
                        </a:rPr>
                        <m:t>𝑑𝑥</m:t>
                      </m:r>
                    </m:e>
                  </m:nary>
                  <m:r>
                    <a:rPr lang="en-AU" sz="1200" b="0" i="0">
                      <a:latin typeface="Cambria Math" panose="02040503050406030204" pitchFamily="18" charset="0"/>
                    </a:rPr>
                    <m:t> </m:t>
                  </m:r>
                </m:oMath>
              </a14:m>
              <a:r>
                <a:rPr lang="en-AU" sz="1200"/>
                <a:t>where y=f(x) as a PDF defined over the domain [a,b]</a:t>
              </a:r>
            </a:p>
            <a:p>
              <a:endParaRPr lang="en-AU" sz="1200">
                <a:solidFill>
                  <a:schemeClr val="dk1"/>
                </a:solidFill>
                <a:effectLst/>
                <a:latin typeface="+mn-lt"/>
                <a:ea typeface="+mn-ea"/>
                <a:cs typeface="+mn-cs"/>
              </a:endParaRPr>
            </a:p>
            <a:p>
              <a:r>
                <a:rPr lang="en-AU" sz="1200">
                  <a:solidFill>
                    <a:schemeClr val="dk1"/>
                  </a:solidFill>
                  <a:effectLst/>
                  <a:latin typeface="+mn-lt"/>
                  <a:ea typeface="+mn-ea"/>
                  <a:cs typeface="+mn-cs"/>
                </a:rPr>
                <a:t>F(a) = 0  -&gt; there is zero probability of x smaller than the domain minimum</a:t>
              </a:r>
              <a:endParaRPr lang="en-AU" sz="1200">
                <a:effectLst/>
              </a:endParaRPr>
            </a:p>
            <a:p>
              <a:r>
                <a:rPr lang="en-AU" sz="1200">
                  <a:solidFill>
                    <a:schemeClr val="dk1"/>
                  </a:solidFill>
                  <a:effectLst/>
                  <a:latin typeface="+mn-lt"/>
                  <a:ea typeface="+mn-ea"/>
                  <a:cs typeface="+mn-cs"/>
                </a:rPr>
                <a:t>F(b) = 1 -&gt; there is 100% probability of x smaller than domain maximum</a:t>
              </a:r>
              <a:endParaRPr lang="en-AU" sz="1200">
                <a:effectLst/>
              </a:endParaRPr>
            </a:p>
            <a:p>
              <a:endParaRPr lang="en-AU" sz="1200"/>
            </a:p>
            <a:p>
              <a:endParaRPr lang="en-AU" sz="1200"/>
            </a:p>
          </xdr:txBody>
        </xdr:sp>
      </mc:Choice>
      <mc:Fallback xmlns="">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99722" y="3011310"/>
              <a:ext cx="6213828" cy="20404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chemeClr val="accent1">
                      <a:lumMod val="75000"/>
                    </a:schemeClr>
                  </a:solidFill>
                </a:rPr>
                <a:t>The cumulative distribution function (CDF)</a:t>
              </a:r>
              <a:r>
                <a:rPr lang="en-AU" sz="1200"/>
                <a:t> of a  random variable X evaluated at x, is the probability that X will take a value less than or equal to x.  Alternatively it is a funciton F(x) for the probability P(X&lt;=x).  </a:t>
              </a:r>
            </a:p>
            <a:p>
              <a:endParaRPr lang="en-AU" sz="1200"/>
            </a:p>
            <a:p>
              <a:r>
                <a:rPr lang="en-AU" sz="1200"/>
                <a:t>The CDF</a:t>
              </a:r>
              <a:r>
                <a:rPr lang="en-AU" sz="1200" baseline="0"/>
                <a:t> = F(x) = </a:t>
              </a:r>
              <a:r>
                <a:rPr lang="en-AU" sz="1200" i="0">
                  <a:latin typeface="Cambria Math" panose="02040503050406030204" pitchFamily="18" charset="0"/>
                </a:rPr>
                <a:t>∫130_𝑎^𝑥</a:t>
              </a:r>
              <a:r>
                <a:rPr lang="en-AU" sz="1200" b="0" i="0">
                  <a:latin typeface="Cambria Math" panose="02040503050406030204" pitchFamily="18" charset="0"/>
                </a:rPr>
                <a:t>▒𝑓(𝑥)𝑑𝑥  </a:t>
              </a:r>
              <a:r>
                <a:rPr lang="en-AU" sz="1200"/>
                <a:t>where y=f(x) as a PDF defined over the domain [a,b]</a:t>
              </a:r>
            </a:p>
            <a:p>
              <a:endParaRPr lang="en-AU" sz="1200">
                <a:solidFill>
                  <a:schemeClr val="dk1"/>
                </a:solidFill>
                <a:effectLst/>
                <a:latin typeface="+mn-lt"/>
                <a:ea typeface="+mn-ea"/>
                <a:cs typeface="+mn-cs"/>
              </a:endParaRPr>
            </a:p>
            <a:p>
              <a:r>
                <a:rPr lang="en-AU" sz="1200">
                  <a:solidFill>
                    <a:schemeClr val="dk1"/>
                  </a:solidFill>
                  <a:effectLst/>
                  <a:latin typeface="+mn-lt"/>
                  <a:ea typeface="+mn-ea"/>
                  <a:cs typeface="+mn-cs"/>
                </a:rPr>
                <a:t>F(a) = 0  -&gt; there is zero probability of x smaller than the domain minimum</a:t>
              </a:r>
              <a:endParaRPr lang="en-AU" sz="1200">
                <a:effectLst/>
              </a:endParaRPr>
            </a:p>
            <a:p>
              <a:r>
                <a:rPr lang="en-AU" sz="1200">
                  <a:solidFill>
                    <a:schemeClr val="dk1"/>
                  </a:solidFill>
                  <a:effectLst/>
                  <a:latin typeface="+mn-lt"/>
                  <a:ea typeface="+mn-ea"/>
                  <a:cs typeface="+mn-cs"/>
                </a:rPr>
                <a:t>F(b) = 1 -&gt; there is 100% probability of x smaller than domain maximum</a:t>
              </a:r>
              <a:endParaRPr lang="en-AU" sz="1200">
                <a:effectLst/>
              </a:endParaRPr>
            </a:p>
            <a:p>
              <a:endParaRPr lang="en-AU" sz="1200"/>
            </a:p>
            <a:p>
              <a:endParaRPr lang="en-AU" sz="12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455789</xdr:colOff>
      <xdr:row>4</xdr:row>
      <xdr:rowOff>140405</xdr:rowOff>
    </xdr:from>
    <xdr:to>
      <xdr:col>3</xdr:col>
      <xdr:colOff>1248833</xdr:colOff>
      <xdr:row>12</xdr:row>
      <xdr:rowOff>42333</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55789" y="838905"/>
              <a:ext cx="3636433" cy="13694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1/3  for  1&lt;= x &lt;=4  </a:t>
              </a:r>
            </a:p>
            <a:p>
              <a:endParaRPr lang="en-AU" sz="1200" baseline="0"/>
            </a:p>
            <a:p>
              <a:r>
                <a:rPr lang="en-AU" sz="1200" baseline="0"/>
                <a:t>CDF = F(x) = </a:t>
              </a:r>
              <a14:m>
                <m:oMath xmlns:m="http://schemas.openxmlformats.org/officeDocument/2006/math">
                  <m:nary>
                    <m:naryPr>
                      <m:limLoc m:val="subSup"/>
                      <m:grow m:val="on"/>
                      <m:ctrlPr>
                        <a:rPr lang="en-AU" sz="1300" i="1">
                          <a:latin typeface="Cambria Math" panose="02040503050406030204" pitchFamily="18" charset="0"/>
                        </a:rPr>
                      </m:ctrlPr>
                    </m:naryPr>
                    <m:sub>
                      <m:r>
                        <a:rPr lang="en-AU" sz="1300" i="1">
                          <a:latin typeface="Cambria Math" panose="02040503050406030204" pitchFamily="18" charset="0"/>
                        </a:rPr>
                        <m:t>𝑎</m:t>
                      </m:r>
                    </m:sub>
                    <m:sup>
                      <m:r>
                        <a:rPr lang="en-AU" sz="1300" i="1">
                          <a:latin typeface="Cambria Math" panose="02040503050406030204" pitchFamily="18" charset="0"/>
                        </a:rPr>
                        <m:t>𝑥</m:t>
                      </m:r>
                    </m:sup>
                    <m:e>
                      <m:r>
                        <a:rPr lang="en-AU" sz="1300" b="0" i="1">
                          <a:latin typeface="Cambria Math" panose="02040503050406030204" pitchFamily="18" charset="0"/>
                        </a:rPr>
                        <m:t>𝑓</m:t>
                      </m:r>
                      <m:d>
                        <m:dPr>
                          <m:ctrlPr>
                            <a:rPr lang="en-AU" sz="1300" b="0" i="1">
                              <a:latin typeface="Cambria Math" panose="02040503050406030204" pitchFamily="18" charset="0"/>
                            </a:rPr>
                          </m:ctrlPr>
                        </m:dPr>
                        <m:e>
                          <m:r>
                            <a:rPr lang="en-AU" sz="1300" b="0" i="1">
                              <a:latin typeface="Cambria Math" panose="02040503050406030204" pitchFamily="18" charset="0"/>
                            </a:rPr>
                            <m:t>𝑥</m:t>
                          </m:r>
                        </m:e>
                      </m:d>
                      <m:r>
                        <a:rPr lang="en-AU" sz="1300" b="0" i="1">
                          <a:latin typeface="Cambria Math" panose="02040503050406030204" pitchFamily="18" charset="0"/>
                        </a:rPr>
                        <m:t> </m:t>
                      </m:r>
                      <m:r>
                        <a:rPr lang="en-AU" sz="1300" b="0" i="1">
                          <a:latin typeface="Cambria Math" panose="02040503050406030204" pitchFamily="18" charset="0"/>
                        </a:rPr>
                        <m:t>𝑑𝑥</m:t>
                      </m:r>
                    </m:e>
                  </m:nary>
                </m:oMath>
              </a14:m>
              <a:r>
                <a:rPr lang="en-AU" sz="1200"/>
                <a:t> = </a:t>
              </a:r>
              <a14:m>
                <m:oMath xmlns:m="http://schemas.openxmlformats.org/officeDocument/2006/math">
                  <m:sSubSup>
                    <m:sSubSupPr>
                      <m:ctrlPr>
                        <a:rPr lang="en-AU" sz="1300" b="1" i="1">
                          <a:solidFill>
                            <a:srgbClr val="836967"/>
                          </a:solidFill>
                          <a:latin typeface="Cambria Math" panose="02040503050406030204" pitchFamily="18" charset="0"/>
                        </a:rPr>
                      </m:ctrlPr>
                    </m:sSubSupPr>
                    <m:e>
                      <m:d>
                        <m:dPr>
                          <m:begChr m:val="["/>
                          <m:endChr m:val="]"/>
                          <m:ctrlPr>
                            <a:rPr lang="en-AU" sz="1300" b="1" i="1">
                              <a:solidFill>
                                <a:srgbClr val="836967"/>
                              </a:solidFill>
                              <a:latin typeface="Cambria Math" panose="02040503050406030204" pitchFamily="18" charset="0"/>
                            </a:rPr>
                          </m:ctrlPr>
                        </m:dPr>
                        <m:e>
                          <m:f>
                            <m:fPr>
                              <m:ctrlPr>
                                <a:rPr lang="en-AU" sz="1300" b="1" i="1">
                                  <a:solidFill>
                                    <a:srgbClr val="836967"/>
                                  </a:solidFill>
                                  <a:latin typeface="Cambria Math" panose="02040503050406030204" pitchFamily="18" charset="0"/>
                                </a:rPr>
                              </m:ctrlPr>
                            </m:fPr>
                            <m:num>
                              <m:r>
                                <a:rPr lang="en-AU" sz="1300" b="1" i="1">
                                  <a:latin typeface="Cambria Math" panose="02040503050406030204" pitchFamily="18" charset="0"/>
                                </a:rPr>
                                <m:t>𝟏</m:t>
                              </m:r>
                            </m:num>
                            <m:den>
                              <m:r>
                                <a:rPr lang="en-AU" sz="1300" b="1" i="0">
                                  <a:latin typeface="Cambria Math" panose="02040503050406030204" pitchFamily="18" charset="0"/>
                                </a:rPr>
                                <m:t>𝟑</m:t>
                              </m:r>
                            </m:den>
                          </m:f>
                          <m:r>
                            <a:rPr lang="en-AU" sz="1300" b="1" i="1">
                              <a:latin typeface="Cambria Math" panose="02040503050406030204" pitchFamily="18" charset="0"/>
                            </a:rPr>
                            <m:t>𝒙</m:t>
                          </m:r>
                        </m:e>
                      </m:d>
                    </m:e>
                    <m:sub>
                      <m:r>
                        <a:rPr lang="en-AU" sz="1300" b="1" i="1">
                          <a:latin typeface="Cambria Math" panose="02040503050406030204" pitchFamily="18" charset="0"/>
                        </a:rPr>
                        <m:t>𝟏</m:t>
                      </m:r>
                    </m:sub>
                    <m:sup>
                      <m:r>
                        <a:rPr lang="en-AU" sz="1300" b="1" i="1">
                          <a:latin typeface="Cambria Math" panose="02040503050406030204" pitchFamily="18" charset="0"/>
                        </a:rPr>
                        <m:t>𝒙</m:t>
                      </m:r>
                    </m:sup>
                  </m:sSubSup>
                </m:oMath>
              </a14:m>
              <a:r>
                <a:rPr lang="en-AU" sz="1200" b="1"/>
                <a:t> </a:t>
              </a:r>
            </a:p>
            <a:p>
              <a:r>
                <a:rPr lang="en-AU" sz="1200"/>
                <a:t>where 1&lt;=x&lt;=4</a:t>
              </a:r>
            </a:p>
          </xdr:txBody>
        </xdr:sp>
      </mc:Choice>
      <mc:Fallback xmlns="">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55789" y="838905"/>
              <a:ext cx="3636433" cy="13694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1/3  for  1&lt;= x &lt;=4  </a:t>
              </a:r>
            </a:p>
            <a:p>
              <a:endParaRPr lang="en-AU" sz="1200" baseline="0"/>
            </a:p>
            <a:p>
              <a:r>
                <a:rPr lang="en-AU" sz="1200" baseline="0"/>
                <a:t>CDF = F(x) = </a:t>
              </a:r>
              <a:r>
                <a:rPr lang="en-AU" sz="1300" i="0">
                  <a:latin typeface="Cambria Math" panose="02040503050406030204" pitchFamily="18" charset="0"/>
                </a:rPr>
                <a:t>∫130_𝑎^𝑥</a:t>
              </a:r>
              <a:r>
                <a:rPr lang="en-AU" sz="1300" b="0" i="0">
                  <a:latin typeface="Cambria Math" panose="02040503050406030204" pitchFamily="18" charset="0"/>
                </a:rPr>
                <a:t>▒〖𝑓(𝑥)  𝑑𝑥〗</a:t>
              </a:r>
              <a:r>
                <a:rPr lang="en-AU" sz="1200"/>
                <a:t> = </a:t>
              </a:r>
              <a:r>
                <a:rPr lang="en-AU" sz="1300" b="1" i="0">
                  <a:solidFill>
                    <a:srgbClr val="836967"/>
                  </a:solidFill>
                  <a:latin typeface="Cambria Math" panose="02040503050406030204" pitchFamily="18" charset="0"/>
                </a:rPr>
                <a:t>[</a:t>
              </a:r>
              <a:r>
                <a:rPr lang="en-AU" sz="1300" b="1" i="0">
                  <a:latin typeface="Cambria Math" panose="02040503050406030204" pitchFamily="18" charset="0"/>
                </a:rPr>
                <a:t>𝟏</a:t>
              </a:r>
              <a:r>
                <a:rPr lang="en-AU" sz="1300" b="1" i="0">
                  <a:solidFill>
                    <a:srgbClr val="836967"/>
                  </a:solidFill>
                  <a:latin typeface="Cambria Math" panose="02040503050406030204" pitchFamily="18" charset="0"/>
                </a:rPr>
                <a:t>/</a:t>
              </a:r>
              <a:r>
                <a:rPr lang="en-AU" sz="1300" b="1" i="0">
                  <a:latin typeface="Cambria Math" panose="02040503050406030204" pitchFamily="18" charset="0"/>
                </a:rPr>
                <a:t>𝟑 𝒙]</a:t>
              </a:r>
              <a:r>
                <a:rPr lang="en-AU" sz="1300" b="1" i="0">
                  <a:solidFill>
                    <a:srgbClr val="836967"/>
                  </a:solidFill>
                  <a:latin typeface="Cambria Math" panose="02040503050406030204" pitchFamily="18" charset="0"/>
                </a:rPr>
                <a:t>_</a:t>
              </a:r>
              <a:r>
                <a:rPr lang="en-AU" sz="1300" b="1" i="0">
                  <a:latin typeface="Cambria Math" panose="02040503050406030204" pitchFamily="18" charset="0"/>
                </a:rPr>
                <a:t>𝟏^𝒙</a:t>
              </a:r>
              <a:r>
                <a:rPr lang="en-AU" sz="1200" b="1"/>
                <a:t> </a:t>
              </a:r>
            </a:p>
            <a:p>
              <a:r>
                <a:rPr lang="en-AU" sz="1200"/>
                <a:t>where 1&lt;=x&lt;=4</a:t>
              </a:r>
            </a:p>
          </xdr:txBody>
        </xdr:sp>
      </mc:Fallback>
    </mc:AlternateContent>
    <xdr:clientData/>
  </xdr:twoCellAnchor>
  <xdr:twoCellAnchor editAs="absolute">
    <xdr:from>
      <xdr:col>0</xdr:col>
      <xdr:colOff>275167</xdr:colOff>
      <xdr:row>18</xdr:row>
      <xdr:rowOff>162278</xdr:rowOff>
    </xdr:from>
    <xdr:to>
      <xdr:col>5</xdr:col>
      <xdr:colOff>983556</xdr:colOff>
      <xdr:row>48</xdr:row>
      <xdr:rowOff>179223</xdr:rowOff>
    </xdr:to>
    <xdr:graphicFrame macro="">
      <xdr:nvGraphicFramePr>
        <xdr:cNvPr id="10" name="Chart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1135944</xdr:colOff>
      <xdr:row>18</xdr:row>
      <xdr:rowOff>162278</xdr:rowOff>
    </xdr:from>
    <xdr:to>
      <xdr:col>12</xdr:col>
      <xdr:colOff>183772</xdr:colOff>
      <xdr:row>48</xdr:row>
      <xdr:rowOff>179223</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409220</xdr:colOff>
      <xdr:row>22</xdr:row>
      <xdr:rowOff>571498</xdr:rowOff>
    </xdr:from>
    <xdr:to>
      <xdr:col>3</xdr:col>
      <xdr:colOff>1135942</xdr:colOff>
      <xdr:row>25</xdr:row>
      <xdr:rowOff>119942</xdr:rowOff>
    </xdr:to>
    <xdr:sp macro="" textlink="">
      <xdr:nvSpPr>
        <xdr:cNvPr id="7" name="TextBox 6">
          <a:extLst>
            <a:ext uri="{FF2B5EF4-FFF2-40B4-BE49-F238E27FC236}">
              <a16:creationId xmlns:a16="http://schemas.microsoft.com/office/drawing/2014/main" id="{C7514882-D9A3-77B4-13E3-743D0C9311B5}"/>
            </a:ext>
          </a:extLst>
        </xdr:cNvPr>
        <xdr:cNvSpPr txBox="1"/>
      </xdr:nvSpPr>
      <xdr:spPr>
        <a:xfrm>
          <a:off x="867831" y="4621387"/>
          <a:ext cx="3111500" cy="6491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shaded grey area under the PDF line graph represents the probability that x lies between the selected start and end values</a:t>
          </a:r>
        </a:p>
      </xdr:txBody>
    </xdr:sp>
    <xdr:clientData/>
  </xdr:twoCellAnchor>
  <xdr:twoCellAnchor>
    <xdr:from>
      <xdr:col>3</xdr:col>
      <xdr:colOff>1227668</xdr:colOff>
      <xdr:row>22</xdr:row>
      <xdr:rowOff>684391</xdr:rowOff>
    </xdr:from>
    <xdr:to>
      <xdr:col>4</xdr:col>
      <xdr:colOff>656168</xdr:colOff>
      <xdr:row>24</xdr:row>
      <xdr:rowOff>127002</xdr:rowOff>
    </xdr:to>
    <xdr:sp macro="" textlink="$H$54">
      <xdr:nvSpPr>
        <xdr:cNvPr id="8" name="TextBox 7">
          <a:extLst>
            <a:ext uri="{FF2B5EF4-FFF2-40B4-BE49-F238E27FC236}">
              <a16:creationId xmlns:a16="http://schemas.microsoft.com/office/drawing/2014/main" id="{4EEBFA57-D04F-D935-F185-24E02F7135C5}"/>
            </a:ext>
          </a:extLst>
        </xdr:cNvPr>
        <xdr:cNvSpPr txBox="1"/>
      </xdr:nvSpPr>
      <xdr:spPr>
        <a:xfrm>
          <a:off x="4071057" y="4734280"/>
          <a:ext cx="712611" cy="359833"/>
        </a:xfrm>
        <a:prstGeom prst="rect">
          <a:avLst/>
        </a:prstGeom>
        <a:solidFill>
          <a:schemeClr val="lt1">
            <a:alpha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7EFDB6-2073-46B1-B1FD-8178BDD6B4B1}" type="TxLink">
            <a:rPr lang="en-US" sz="1100" b="1" i="0" u="none" strike="noStrike">
              <a:solidFill>
                <a:srgbClr val="1F4E78"/>
              </a:solidFill>
              <a:latin typeface="Calibri"/>
              <a:cs typeface="Calibri"/>
            </a:rPr>
            <a:pPr/>
            <a:t>40.00%</a:t>
          </a:fld>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275168</xdr:colOff>
      <xdr:row>4</xdr:row>
      <xdr:rowOff>43746</xdr:rowOff>
    </xdr:from>
    <xdr:to>
      <xdr:col>3</xdr:col>
      <xdr:colOff>1524001</xdr:colOff>
      <xdr:row>11</xdr:row>
      <xdr:rowOff>189089</xdr:rowOff>
    </xdr:to>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4131820-0556-45CF-A3A0-D038FFC30F49}"/>
                </a:ext>
              </a:extLst>
            </xdr:cNvPr>
            <xdr:cNvSpPr txBox="1"/>
          </xdr:nvSpPr>
          <xdr:spPr>
            <a:xfrm>
              <a:off x="275168" y="925690"/>
              <a:ext cx="3810000" cy="1429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a:t>
              </a:r>
              <a14:m>
                <m:oMath xmlns:m="http://schemas.openxmlformats.org/officeDocument/2006/math">
                  <m:f>
                    <m:fPr>
                      <m:ctrlPr>
                        <a:rPr lang="en-AU" sz="1400" i="1" baseline="0">
                          <a:solidFill>
                            <a:srgbClr val="836967"/>
                          </a:solidFill>
                          <a:latin typeface="Cambria Math" panose="02040503050406030204" pitchFamily="18" charset="0"/>
                        </a:rPr>
                      </m:ctrlPr>
                    </m:fPr>
                    <m:num>
                      <m:sSup>
                        <m:sSupPr>
                          <m:ctrlPr>
                            <a:rPr lang="en-AU" sz="1400" i="1" baseline="0">
                              <a:solidFill>
                                <a:srgbClr val="836967"/>
                              </a:solidFill>
                              <a:latin typeface="Cambria Math" panose="02040503050406030204" pitchFamily="18" charset="0"/>
                            </a:rPr>
                          </m:ctrlPr>
                        </m:sSupPr>
                        <m:e>
                          <m:r>
                            <a:rPr lang="en-AU" sz="1400" i="1" baseline="0">
                              <a:latin typeface="Cambria Math" panose="02040503050406030204" pitchFamily="18" charset="0"/>
                            </a:rPr>
                            <m:t>𝑥</m:t>
                          </m:r>
                        </m:e>
                        <m:sup>
                          <m:r>
                            <a:rPr lang="en-AU" sz="1400" i="0" baseline="0">
                              <a:latin typeface="Cambria Math" panose="02040503050406030204" pitchFamily="18" charset="0"/>
                            </a:rPr>
                            <m:t>2</m:t>
                          </m:r>
                        </m:sup>
                      </m:sSup>
                    </m:num>
                    <m:den>
                      <m:r>
                        <a:rPr lang="en-AU" sz="1400" i="0" baseline="0">
                          <a:latin typeface="Cambria Math" panose="02040503050406030204" pitchFamily="18" charset="0"/>
                        </a:rPr>
                        <m:t>21</m:t>
                      </m:r>
                    </m:den>
                  </m:f>
                </m:oMath>
              </a14:m>
              <a:r>
                <a:rPr lang="en-AU" sz="1400" baseline="0"/>
                <a:t>  </a:t>
              </a:r>
              <a:r>
                <a:rPr lang="en-AU" sz="1200" baseline="0"/>
                <a:t>for  1&lt;= x &lt;=4  </a:t>
              </a:r>
            </a:p>
            <a:p>
              <a:endParaRPr lang="en-AU" sz="1200" baseline="0"/>
            </a:p>
            <a:p>
              <a:r>
                <a:rPr lang="en-AU" sz="1200" baseline="0"/>
                <a:t>CDF = F(x) = </a:t>
              </a:r>
              <a14:m>
                <m:oMath xmlns:m="http://schemas.openxmlformats.org/officeDocument/2006/math">
                  <m:nary>
                    <m:naryPr>
                      <m:limLoc m:val="subSup"/>
                      <m:grow m:val="on"/>
                      <m:ctrlPr>
                        <a:rPr lang="en-AU" sz="1300" i="1">
                          <a:latin typeface="Cambria Math" panose="02040503050406030204" pitchFamily="18" charset="0"/>
                        </a:rPr>
                      </m:ctrlPr>
                    </m:naryPr>
                    <m:sub>
                      <m:r>
                        <a:rPr lang="en-AU" sz="1300" i="1">
                          <a:latin typeface="Cambria Math" panose="02040503050406030204" pitchFamily="18" charset="0"/>
                        </a:rPr>
                        <m:t>𝑎</m:t>
                      </m:r>
                    </m:sub>
                    <m:sup>
                      <m:r>
                        <a:rPr lang="en-AU" sz="1300" i="1">
                          <a:latin typeface="Cambria Math" panose="02040503050406030204" pitchFamily="18" charset="0"/>
                        </a:rPr>
                        <m:t>𝑥</m:t>
                      </m:r>
                    </m:sup>
                    <m:e>
                      <m:r>
                        <a:rPr lang="en-AU" sz="1300" b="0" i="1">
                          <a:latin typeface="Cambria Math" panose="02040503050406030204" pitchFamily="18" charset="0"/>
                        </a:rPr>
                        <m:t>𝑓</m:t>
                      </m:r>
                      <m:d>
                        <m:dPr>
                          <m:ctrlPr>
                            <a:rPr lang="en-AU" sz="1300" b="0" i="1">
                              <a:latin typeface="Cambria Math" panose="02040503050406030204" pitchFamily="18" charset="0"/>
                            </a:rPr>
                          </m:ctrlPr>
                        </m:dPr>
                        <m:e>
                          <m:r>
                            <a:rPr lang="en-AU" sz="1300" b="0" i="1">
                              <a:latin typeface="Cambria Math" panose="02040503050406030204" pitchFamily="18" charset="0"/>
                            </a:rPr>
                            <m:t>𝑥</m:t>
                          </m:r>
                        </m:e>
                      </m:d>
                      <m:r>
                        <a:rPr lang="en-AU" sz="1300" b="0" i="1">
                          <a:latin typeface="Cambria Math" panose="02040503050406030204" pitchFamily="18" charset="0"/>
                        </a:rPr>
                        <m:t> </m:t>
                      </m:r>
                      <m:r>
                        <a:rPr lang="en-AU" sz="1300" b="0" i="1">
                          <a:latin typeface="Cambria Math" panose="02040503050406030204" pitchFamily="18" charset="0"/>
                        </a:rPr>
                        <m:t>𝑑𝑥</m:t>
                      </m:r>
                    </m:e>
                  </m:nary>
                </m:oMath>
              </a14:m>
              <a:r>
                <a:rPr lang="en-AU" sz="1200"/>
                <a:t> = </a:t>
              </a:r>
              <a14:m>
                <m:oMath xmlns:m="http://schemas.openxmlformats.org/officeDocument/2006/math">
                  <m:sSubSup>
                    <m:sSubSupPr>
                      <m:ctrlPr>
                        <a:rPr lang="en-AU" sz="1600" b="0" i="1">
                          <a:solidFill>
                            <a:srgbClr val="836967"/>
                          </a:solidFill>
                          <a:latin typeface="Cambria Math" panose="02040503050406030204" pitchFamily="18" charset="0"/>
                        </a:rPr>
                      </m:ctrlPr>
                    </m:sSubSupPr>
                    <m:e>
                      <m:d>
                        <m:dPr>
                          <m:begChr m:val="["/>
                          <m:endChr m:val="]"/>
                          <m:ctrlPr>
                            <a:rPr lang="en-AU" sz="1600" b="0" i="1">
                              <a:solidFill>
                                <a:srgbClr val="836967"/>
                              </a:solidFill>
                              <a:latin typeface="Cambria Math" panose="02040503050406030204" pitchFamily="18" charset="0"/>
                            </a:rPr>
                          </m:ctrlPr>
                        </m:dPr>
                        <m:e>
                          <m:f>
                            <m:fPr>
                              <m:ctrlPr>
                                <a:rPr lang="en-AU" sz="1600" b="0" i="1">
                                  <a:solidFill>
                                    <a:srgbClr val="836967"/>
                                  </a:solidFill>
                                  <a:latin typeface="Cambria Math" panose="02040503050406030204" pitchFamily="18" charset="0"/>
                                </a:rPr>
                              </m:ctrlPr>
                            </m:fPr>
                            <m:num>
                              <m:sSup>
                                <m:sSupPr>
                                  <m:ctrlPr>
                                    <a:rPr lang="en-AU" sz="1600" b="0" i="1">
                                      <a:solidFill>
                                        <a:srgbClr val="836967"/>
                                      </a:solidFill>
                                      <a:latin typeface="Cambria Math" panose="02040503050406030204" pitchFamily="18" charset="0"/>
                                    </a:rPr>
                                  </m:ctrlPr>
                                </m:sSupPr>
                                <m:e>
                                  <m:r>
                                    <a:rPr lang="en-AU" sz="1600" b="0" i="1">
                                      <a:solidFill>
                                        <a:srgbClr val="836967"/>
                                      </a:solidFill>
                                      <a:latin typeface="Cambria Math" panose="02040503050406030204" pitchFamily="18" charset="0"/>
                                    </a:rPr>
                                    <m:t>𝑥</m:t>
                                  </m:r>
                                </m:e>
                                <m:sup>
                                  <m:r>
                                    <a:rPr lang="en-AU" sz="1600" b="0" i="1">
                                      <a:solidFill>
                                        <a:srgbClr val="836967"/>
                                      </a:solidFill>
                                      <a:latin typeface="Cambria Math" panose="02040503050406030204" pitchFamily="18" charset="0"/>
                                    </a:rPr>
                                    <m:t>3</m:t>
                                  </m:r>
                                </m:sup>
                              </m:sSup>
                            </m:num>
                            <m:den>
                              <m:r>
                                <a:rPr lang="en-AU" sz="1600" b="0" i="1">
                                  <a:latin typeface="Cambria Math" panose="02040503050406030204" pitchFamily="18" charset="0"/>
                                </a:rPr>
                                <m:t>63</m:t>
                              </m:r>
                            </m:den>
                          </m:f>
                        </m:e>
                      </m:d>
                    </m:e>
                    <m:sub>
                      <m:r>
                        <a:rPr lang="en-AU" sz="1600" b="0" i="1">
                          <a:latin typeface="Cambria Math" panose="02040503050406030204" pitchFamily="18" charset="0"/>
                        </a:rPr>
                        <m:t>1</m:t>
                      </m:r>
                    </m:sub>
                    <m:sup>
                      <m:r>
                        <a:rPr lang="en-AU" sz="1600" b="0" i="1">
                          <a:latin typeface="Cambria Math" panose="02040503050406030204" pitchFamily="18" charset="0"/>
                        </a:rPr>
                        <m:t>𝑥</m:t>
                      </m:r>
                    </m:sup>
                  </m:sSubSup>
                </m:oMath>
              </a14:m>
              <a:r>
                <a:rPr lang="en-AU" sz="1200" b="1"/>
                <a:t> </a:t>
              </a:r>
            </a:p>
            <a:p>
              <a:r>
                <a:rPr lang="en-AU" sz="1200"/>
                <a:t>where</a:t>
              </a:r>
              <a:r>
                <a:rPr lang="en-AU" sz="1200" baseline="0"/>
                <a:t> </a:t>
              </a:r>
              <a:r>
                <a:rPr lang="en-AU" sz="1200"/>
                <a:t> 1&lt;=x&lt;=4, </a:t>
              </a:r>
            </a:p>
            <a:p>
              <a:endParaRPr lang="en-AU" sz="1200"/>
            </a:p>
          </xdr:txBody>
        </xdr:sp>
      </mc:Choice>
      <mc:Fallback xmlns="">
        <xdr:sp macro="" textlink="">
          <xdr:nvSpPr>
            <xdr:cNvPr id="8" name="TextBox 7">
              <a:extLst>
                <a:ext uri="{FF2B5EF4-FFF2-40B4-BE49-F238E27FC236}">
                  <a16:creationId xmlns:a16="http://schemas.microsoft.com/office/drawing/2014/main" id="{04131820-0556-45CF-A3A0-D038FFC30F49}"/>
                </a:ext>
              </a:extLst>
            </xdr:cNvPr>
            <xdr:cNvSpPr txBox="1"/>
          </xdr:nvSpPr>
          <xdr:spPr>
            <a:xfrm>
              <a:off x="275168" y="925690"/>
              <a:ext cx="3810000" cy="1429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a:t>
              </a:r>
              <a:r>
                <a:rPr lang="en-AU" sz="1400" i="0" baseline="0">
                  <a:latin typeface="Cambria Math" panose="02040503050406030204" pitchFamily="18" charset="0"/>
                </a:rPr>
                <a:t>𝑥</a:t>
              </a:r>
              <a:r>
                <a:rPr lang="en-AU" sz="1400" i="0" baseline="0">
                  <a:solidFill>
                    <a:srgbClr val="836967"/>
                  </a:solidFill>
                  <a:latin typeface="Cambria Math" panose="02040503050406030204" pitchFamily="18" charset="0"/>
                </a:rPr>
                <a:t>^</a:t>
              </a:r>
              <a:r>
                <a:rPr lang="en-AU" sz="1400" i="0" baseline="0">
                  <a:latin typeface="Cambria Math" panose="02040503050406030204" pitchFamily="18" charset="0"/>
                </a:rPr>
                <a:t>2</a:t>
              </a:r>
              <a:r>
                <a:rPr lang="en-AU" sz="1400" i="0" baseline="0">
                  <a:solidFill>
                    <a:srgbClr val="836967"/>
                  </a:solidFill>
                  <a:latin typeface="Cambria Math" panose="02040503050406030204" pitchFamily="18" charset="0"/>
                </a:rPr>
                <a:t>/</a:t>
              </a:r>
              <a:r>
                <a:rPr lang="en-AU" sz="1400" i="0" baseline="0">
                  <a:latin typeface="Cambria Math" panose="02040503050406030204" pitchFamily="18" charset="0"/>
                </a:rPr>
                <a:t>21</a:t>
              </a:r>
              <a:r>
                <a:rPr lang="en-AU" sz="1400" baseline="0"/>
                <a:t>  </a:t>
              </a:r>
              <a:r>
                <a:rPr lang="en-AU" sz="1200" baseline="0"/>
                <a:t>for  1&lt;= x &lt;=4  </a:t>
              </a:r>
            </a:p>
            <a:p>
              <a:endParaRPr lang="en-AU" sz="1200" baseline="0"/>
            </a:p>
            <a:p>
              <a:r>
                <a:rPr lang="en-AU" sz="1200" baseline="0"/>
                <a:t>CDF = F(x) = </a:t>
              </a:r>
              <a:r>
                <a:rPr lang="en-AU" sz="1300" i="0">
                  <a:latin typeface="Cambria Math" panose="02040503050406030204" pitchFamily="18" charset="0"/>
                </a:rPr>
                <a:t>∫130_𝑎^𝑥</a:t>
              </a:r>
              <a:r>
                <a:rPr lang="en-AU" sz="1300" b="0" i="0">
                  <a:latin typeface="Cambria Math" panose="02040503050406030204" pitchFamily="18" charset="0"/>
                </a:rPr>
                <a:t>▒〖𝑓(𝑥)  𝑑𝑥〗</a:t>
              </a:r>
              <a:r>
                <a:rPr lang="en-AU" sz="1200"/>
                <a:t> = </a:t>
              </a:r>
              <a:r>
                <a:rPr lang="en-AU" sz="1600" b="0" i="0">
                  <a:solidFill>
                    <a:srgbClr val="836967"/>
                  </a:solidFill>
                  <a:latin typeface="Cambria Math" panose="02040503050406030204" pitchFamily="18" charset="0"/>
                </a:rPr>
                <a:t>[𝑥^3/</a:t>
              </a:r>
              <a:r>
                <a:rPr lang="en-AU" sz="1600" b="0" i="0">
                  <a:latin typeface="Cambria Math" panose="02040503050406030204" pitchFamily="18" charset="0"/>
                </a:rPr>
                <a:t>63]</a:t>
              </a:r>
              <a:r>
                <a:rPr lang="en-AU" sz="1600" b="0" i="0">
                  <a:solidFill>
                    <a:srgbClr val="836967"/>
                  </a:solidFill>
                  <a:latin typeface="Cambria Math" panose="02040503050406030204" pitchFamily="18" charset="0"/>
                </a:rPr>
                <a:t>_</a:t>
              </a:r>
              <a:r>
                <a:rPr lang="en-AU" sz="1600" b="0" i="0">
                  <a:latin typeface="Cambria Math" panose="02040503050406030204" pitchFamily="18" charset="0"/>
                </a:rPr>
                <a:t>1^𝑥</a:t>
              </a:r>
              <a:r>
                <a:rPr lang="en-AU" sz="1200" b="1"/>
                <a:t> </a:t>
              </a:r>
            </a:p>
            <a:p>
              <a:r>
                <a:rPr lang="en-AU" sz="1200"/>
                <a:t>where</a:t>
              </a:r>
              <a:r>
                <a:rPr lang="en-AU" sz="1200" baseline="0"/>
                <a:t> </a:t>
              </a:r>
              <a:r>
                <a:rPr lang="en-AU" sz="1200"/>
                <a:t> 1&lt;=x&lt;=4, </a:t>
              </a:r>
            </a:p>
            <a:p>
              <a:endParaRPr lang="en-AU" sz="1200"/>
            </a:p>
          </xdr:txBody>
        </xdr:sp>
      </mc:Fallback>
    </mc:AlternateContent>
    <xdr:clientData/>
  </xdr:twoCellAnchor>
  <xdr:twoCellAnchor editAs="absolute">
    <xdr:from>
      <xdr:col>1</xdr:col>
      <xdr:colOff>333373</xdr:colOff>
      <xdr:row>18</xdr:row>
      <xdr:rowOff>71438</xdr:rowOff>
    </xdr:from>
    <xdr:to>
      <xdr:col>4</xdr:col>
      <xdr:colOff>2685706</xdr:colOff>
      <xdr:row>48</xdr:row>
      <xdr:rowOff>88383</xdr:rowOff>
    </xdr:to>
    <xdr:graphicFrame macro="">
      <xdr:nvGraphicFramePr>
        <xdr:cNvPr id="5" name="Chart 4">
          <a:extLst>
            <a:ext uri="{FF2B5EF4-FFF2-40B4-BE49-F238E27FC236}">
              <a16:creationId xmlns:a16="http://schemas.microsoft.com/office/drawing/2014/main" id="{CB94B6DE-9088-415F-A4F9-96F9A05EF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1122717</xdr:colOff>
      <xdr:row>19</xdr:row>
      <xdr:rowOff>77611</xdr:rowOff>
    </xdr:from>
    <xdr:to>
      <xdr:col>11</xdr:col>
      <xdr:colOff>490550</xdr:colOff>
      <xdr:row>49</xdr:row>
      <xdr:rowOff>94555</xdr:rowOff>
    </xdr:to>
    <xdr:graphicFrame macro="">
      <xdr:nvGraphicFramePr>
        <xdr:cNvPr id="2" name="Chart 1">
          <a:extLst>
            <a:ext uri="{FF2B5EF4-FFF2-40B4-BE49-F238E27FC236}">
              <a16:creationId xmlns:a16="http://schemas.microsoft.com/office/drawing/2014/main" id="{280F9723-A27B-5D8A-DE68-1C2FA5D72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846668</xdr:colOff>
      <xdr:row>24</xdr:row>
      <xdr:rowOff>70555</xdr:rowOff>
    </xdr:from>
    <xdr:to>
      <xdr:col>3</xdr:col>
      <xdr:colOff>754945</xdr:colOff>
      <xdr:row>28</xdr:row>
      <xdr:rowOff>56444</xdr:rowOff>
    </xdr:to>
    <xdr:sp macro="" textlink="">
      <xdr:nvSpPr>
        <xdr:cNvPr id="3" name="TextBox 2">
          <a:extLst>
            <a:ext uri="{FF2B5EF4-FFF2-40B4-BE49-F238E27FC236}">
              <a16:creationId xmlns:a16="http://schemas.microsoft.com/office/drawing/2014/main" id="{8E88F7E5-8D99-AFD9-BD49-8689160F4F8E}"/>
            </a:ext>
          </a:extLst>
        </xdr:cNvPr>
        <xdr:cNvSpPr txBox="1"/>
      </xdr:nvSpPr>
      <xdr:spPr>
        <a:xfrm>
          <a:off x="1192390" y="5087055"/>
          <a:ext cx="2123722" cy="7196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The shaded grey area under the PDF line graph represents the probability that x lies between the selected start and end values</a:t>
          </a:r>
          <a:endParaRPr lang="en-AU">
            <a:effectLst/>
          </a:endParaRPr>
        </a:p>
        <a:p>
          <a:endParaRPr lang="en-AU" sz="1100"/>
        </a:p>
      </xdr:txBody>
    </xdr:sp>
    <xdr:clientData/>
  </xdr:twoCellAnchor>
  <xdr:twoCellAnchor>
    <xdr:from>
      <xdr:col>3</xdr:col>
      <xdr:colOff>825499</xdr:colOff>
      <xdr:row>25</xdr:row>
      <xdr:rowOff>49390</xdr:rowOff>
    </xdr:from>
    <xdr:to>
      <xdr:col>3</xdr:col>
      <xdr:colOff>1516944</xdr:colOff>
      <xdr:row>27</xdr:row>
      <xdr:rowOff>56445</xdr:rowOff>
    </xdr:to>
    <xdr:sp macro="" textlink="$H$57">
      <xdr:nvSpPr>
        <xdr:cNvPr id="4" name="TextBox 3">
          <a:extLst>
            <a:ext uri="{FF2B5EF4-FFF2-40B4-BE49-F238E27FC236}">
              <a16:creationId xmlns:a16="http://schemas.microsoft.com/office/drawing/2014/main" id="{46D0C606-D52E-6007-AB20-1AA66F87ABAA}"/>
            </a:ext>
          </a:extLst>
        </xdr:cNvPr>
        <xdr:cNvSpPr txBox="1"/>
      </xdr:nvSpPr>
      <xdr:spPr>
        <a:xfrm>
          <a:off x="3386666" y="5249334"/>
          <a:ext cx="691445" cy="3739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6C1444-85C1-495B-82A2-28E68A54C45E}" type="TxLink">
            <a:rPr lang="en-US" sz="1100" b="1" i="0" u="none" strike="noStrike">
              <a:solidFill>
                <a:srgbClr val="1F4E78"/>
              </a:solidFill>
              <a:latin typeface="Calibri"/>
              <a:cs typeface="Calibri"/>
            </a:rPr>
            <a:pPr/>
            <a:t>44.54%</a:t>
          </a:fld>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253999</xdr:colOff>
      <xdr:row>10</xdr:row>
      <xdr:rowOff>169332</xdr:rowOff>
    </xdr:from>
    <xdr:to>
      <xdr:col>10</xdr:col>
      <xdr:colOff>412888</xdr:colOff>
      <xdr:row>39</xdr:row>
      <xdr:rowOff>16610</xdr:rowOff>
    </xdr:to>
    <xdr:graphicFrame macro="">
      <xdr:nvGraphicFramePr>
        <xdr:cNvPr id="2" name="Chart 1">
          <a:extLst>
            <a:ext uri="{FF2B5EF4-FFF2-40B4-BE49-F238E27FC236}">
              <a16:creationId xmlns:a16="http://schemas.microsoft.com/office/drawing/2014/main" id="{9FF12CC8-F935-3C67-0F8A-B164433DD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149576</xdr:colOff>
      <xdr:row>5</xdr:row>
      <xdr:rowOff>148166</xdr:rowOff>
    </xdr:from>
    <xdr:ext cx="245533" cy="25045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D13E199-E803-144B-D4EC-8C5F6D7D1729}"/>
                </a:ext>
              </a:extLst>
            </xdr:cNvPr>
            <xdr:cNvSpPr txBox="1"/>
          </xdr:nvSpPr>
          <xdr:spPr>
            <a:xfrm>
              <a:off x="467076" y="1015999"/>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𝜇</m:t>
                    </m:r>
                  </m:oMath>
                </m:oMathPara>
              </a14:m>
              <a:endParaRPr lang="en-AU" sz="1600"/>
            </a:p>
          </xdr:txBody>
        </xdr:sp>
      </mc:Choice>
      <mc:Fallback xmlns="">
        <xdr:sp macro="" textlink="">
          <xdr:nvSpPr>
            <xdr:cNvPr id="3" name="TextBox 2">
              <a:extLst>
                <a:ext uri="{FF2B5EF4-FFF2-40B4-BE49-F238E27FC236}">
                  <a16:creationId xmlns:a16="http://schemas.microsoft.com/office/drawing/2014/main" id="{ED13E199-E803-144B-D4EC-8C5F6D7D1729}"/>
                </a:ext>
              </a:extLst>
            </xdr:cNvPr>
            <xdr:cNvSpPr txBox="1"/>
          </xdr:nvSpPr>
          <xdr:spPr>
            <a:xfrm>
              <a:off x="467076" y="1015999"/>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AU" sz="1600" i="0">
                  <a:latin typeface="Cambria Math" panose="02040503050406030204" pitchFamily="18" charset="0"/>
                </a:rPr>
                <a:t>𝜇</a:t>
              </a:r>
              <a:endParaRPr lang="en-AU" sz="1600"/>
            </a:p>
          </xdr:txBody>
        </xdr:sp>
      </mc:Fallback>
    </mc:AlternateContent>
    <xdr:clientData/>
  </xdr:oneCellAnchor>
  <xdr:oneCellAnchor>
    <xdr:from>
      <xdr:col>1</xdr:col>
      <xdr:colOff>163689</xdr:colOff>
      <xdr:row>7</xdr:row>
      <xdr:rowOff>15522</xdr:rowOff>
    </xdr:from>
    <xdr:ext cx="164660" cy="25045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38E1C4A1-B766-8B9E-D610-72FC370C8000}"/>
                </a:ext>
              </a:extLst>
            </xdr:cNvPr>
            <xdr:cNvSpPr txBox="1"/>
          </xdr:nvSpPr>
          <xdr:spPr>
            <a:xfrm>
              <a:off x="481189" y="1250244"/>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𝛿</m:t>
                    </m:r>
                  </m:oMath>
                </m:oMathPara>
              </a14:m>
              <a:endParaRPr lang="en-AU" sz="1600"/>
            </a:p>
          </xdr:txBody>
        </xdr:sp>
      </mc:Choice>
      <mc:Fallback xmlns="">
        <xdr:sp macro="" textlink="">
          <xdr:nvSpPr>
            <xdr:cNvPr id="4" name="TextBox 3">
              <a:extLst>
                <a:ext uri="{FF2B5EF4-FFF2-40B4-BE49-F238E27FC236}">
                  <a16:creationId xmlns:a16="http://schemas.microsoft.com/office/drawing/2014/main" id="{38E1C4A1-B766-8B9E-D610-72FC370C8000}"/>
                </a:ext>
              </a:extLst>
            </xdr:cNvPr>
            <xdr:cNvSpPr txBox="1"/>
          </xdr:nvSpPr>
          <xdr:spPr>
            <a:xfrm>
              <a:off x="481189" y="1250244"/>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600" i="0">
                  <a:latin typeface="Cambria Math" panose="02040503050406030204" pitchFamily="18" charset="0"/>
                </a:rPr>
                <a:t>𝛿</a:t>
              </a:r>
              <a:endParaRPr lang="en-AU" sz="16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149576</xdr:colOff>
      <xdr:row>4</xdr:row>
      <xdr:rowOff>148166</xdr:rowOff>
    </xdr:from>
    <xdr:ext cx="245533" cy="25045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3A817B3-7B78-489D-8005-CC95E2EDB8D6}"/>
                </a:ext>
              </a:extLst>
            </xdr:cNvPr>
            <xdr:cNvSpPr txBox="1"/>
          </xdr:nvSpPr>
          <xdr:spPr>
            <a:xfrm>
              <a:off x="467076" y="1018116"/>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𝜇</m:t>
                    </m:r>
                  </m:oMath>
                </m:oMathPara>
              </a14:m>
              <a:endParaRPr lang="en-AU" sz="1600"/>
            </a:p>
          </xdr:txBody>
        </xdr:sp>
      </mc:Choice>
      <mc:Fallback xmlns="">
        <xdr:sp macro="" textlink="">
          <xdr:nvSpPr>
            <xdr:cNvPr id="2" name="TextBox 1">
              <a:extLst>
                <a:ext uri="{FF2B5EF4-FFF2-40B4-BE49-F238E27FC236}">
                  <a16:creationId xmlns:a16="http://schemas.microsoft.com/office/drawing/2014/main" id="{03A817B3-7B78-489D-8005-CC95E2EDB8D6}"/>
                </a:ext>
              </a:extLst>
            </xdr:cNvPr>
            <xdr:cNvSpPr txBox="1"/>
          </xdr:nvSpPr>
          <xdr:spPr>
            <a:xfrm>
              <a:off x="467076" y="1018116"/>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AU" sz="1600" i="0">
                  <a:latin typeface="Cambria Math" panose="02040503050406030204" pitchFamily="18" charset="0"/>
                </a:rPr>
                <a:t>𝜇</a:t>
              </a:r>
              <a:endParaRPr lang="en-AU" sz="1600"/>
            </a:p>
          </xdr:txBody>
        </xdr:sp>
      </mc:Fallback>
    </mc:AlternateContent>
    <xdr:clientData/>
  </xdr:oneCellAnchor>
  <xdr:oneCellAnchor>
    <xdr:from>
      <xdr:col>1</xdr:col>
      <xdr:colOff>163689</xdr:colOff>
      <xdr:row>6</xdr:row>
      <xdr:rowOff>15522</xdr:rowOff>
    </xdr:from>
    <xdr:ext cx="164660" cy="25045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9790B04-9A9B-4DC7-96D2-19379FD4F0E8}"/>
                </a:ext>
              </a:extLst>
            </xdr:cNvPr>
            <xdr:cNvSpPr txBox="1"/>
          </xdr:nvSpPr>
          <xdr:spPr>
            <a:xfrm>
              <a:off x="481189" y="1253772"/>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𝛿</m:t>
                    </m:r>
                  </m:oMath>
                </m:oMathPara>
              </a14:m>
              <a:endParaRPr lang="en-AU" sz="1600"/>
            </a:p>
          </xdr:txBody>
        </xdr:sp>
      </mc:Choice>
      <mc:Fallback xmlns="">
        <xdr:sp macro="" textlink="">
          <xdr:nvSpPr>
            <xdr:cNvPr id="3" name="TextBox 2">
              <a:extLst>
                <a:ext uri="{FF2B5EF4-FFF2-40B4-BE49-F238E27FC236}">
                  <a16:creationId xmlns:a16="http://schemas.microsoft.com/office/drawing/2014/main" id="{69790B04-9A9B-4DC7-96D2-19379FD4F0E8}"/>
                </a:ext>
              </a:extLst>
            </xdr:cNvPr>
            <xdr:cNvSpPr txBox="1"/>
          </xdr:nvSpPr>
          <xdr:spPr>
            <a:xfrm>
              <a:off x="481189" y="1253772"/>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600" i="0">
                  <a:latin typeface="Cambria Math" panose="02040503050406030204" pitchFamily="18" charset="0"/>
                </a:rPr>
                <a:t>𝛿</a:t>
              </a:r>
              <a:endParaRPr lang="en-AU" sz="1600"/>
            </a:p>
          </xdr:txBody>
        </xdr:sp>
      </mc:Fallback>
    </mc:AlternateContent>
    <xdr:clientData/>
  </xdr:oneCellAnchor>
  <xdr:twoCellAnchor editAs="absolute">
    <xdr:from>
      <xdr:col>0</xdr:col>
      <xdr:colOff>366889</xdr:colOff>
      <xdr:row>16</xdr:row>
      <xdr:rowOff>117122</xdr:rowOff>
    </xdr:from>
    <xdr:to>
      <xdr:col>7</xdr:col>
      <xdr:colOff>328222</xdr:colOff>
      <xdr:row>43</xdr:row>
      <xdr:rowOff>147844</xdr:rowOff>
    </xdr:to>
    <xdr:graphicFrame macro="">
      <xdr:nvGraphicFramePr>
        <xdr:cNvPr id="4" name="Chart 3">
          <a:extLst>
            <a:ext uri="{FF2B5EF4-FFF2-40B4-BE49-F238E27FC236}">
              <a16:creationId xmlns:a16="http://schemas.microsoft.com/office/drawing/2014/main" id="{0A0557EE-F864-B392-3C06-999370DCE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1023056</xdr:colOff>
      <xdr:row>16</xdr:row>
      <xdr:rowOff>117122</xdr:rowOff>
    </xdr:from>
    <xdr:to>
      <xdr:col>12</xdr:col>
      <xdr:colOff>758612</xdr:colOff>
      <xdr:row>43</xdr:row>
      <xdr:rowOff>147844</xdr:rowOff>
    </xdr:to>
    <xdr:graphicFrame macro="">
      <xdr:nvGraphicFramePr>
        <xdr:cNvPr id="5" name="Chart 4">
          <a:extLst>
            <a:ext uri="{FF2B5EF4-FFF2-40B4-BE49-F238E27FC236}">
              <a16:creationId xmlns:a16="http://schemas.microsoft.com/office/drawing/2014/main" id="{0CDFEA8C-6345-5E99-98CD-1CC7411222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345722</xdr:colOff>
      <xdr:row>9</xdr:row>
      <xdr:rowOff>77611</xdr:rowOff>
    </xdr:from>
    <xdr:to>
      <xdr:col>5</xdr:col>
      <xdr:colOff>1135944</xdr:colOff>
      <xdr:row>14</xdr:row>
      <xdr:rowOff>70555</xdr:rowOff>
    </xdr:to>
    <xdr:sp macro="" textlink="">
      <xdr:nvSpPr>
        <xdr:cNvPr id="6" name="TextBox 5">
          <a:extLst>
            <a:ext uri="{FF2B5EF4-FFF2-40B4-BE49-F238E27FC236}">
              <a16:creationId xmlns:a16="http://schemas.microsoft.com/office/drawing/2014/main" id="{3EF10C7A-0CCB-6DB1-6542-7F4AE765FAB7}"/>
            </a:ext>
          </a:extLst>
        </xdr:cNvPr>
        <xdr:cNvSpPr txBox="1"/>
      </xdr:nvSpPr>
      <xdr:spPr>
        <a:xfrm>
          <a:off x="2786944" y="1693333"/>
          <a:ext cx="3033889"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Selecting</a:t>
          </a:r>
          <a:r>
            <a:rPr lang="en-AU" sz="1100" baseline="0"/>
            <a:t> start and end values at +- 1, 2, and 3 (where 1 is the standard deviation) yields probabilities as per emprical rule.  (Not the values are not 100% accurate due to use of the trapezoid rule for integration)</a:t>
          </a:r>
          <a:endParaRPr lang="en-AU" sz="1100"/>
        </a:p>
      </xdr:txBody>
    </xdr:sp>
    <xdr:clientData/>
  </xdr:twoCellAnchor>
  <xdr:twoCellAnchor>
    <xdr:from>
      <xdr:col>17</xdr:col>
      <xdr:colOff>21165</xdr:colOff>
      <xdr:row>9</xdr:row>
      <xdr:rowOff>0</xdr:rowOff>
    </xdr:from>
    <xdr:to>
      <xdr:col>19</xdr:col>
      <xdr:colOff>338666</xdr:colOff>
      <xdr:row>15</xdr:row>
      <xdr:rowOff>56445</xdr:rowOff>
    </xdr:to>
    <xdr:sp macro="" textlink="">
      <xdr:nvSpPr>
        <xdr:cNvPr id="7" name="TextBox 6">
          <a:extLst>
            <a:ext uri="{FF2B5EF4-FFF2-40B4-BE49-F238E27FC236}">
              <a16:creationId xmlns:a16="http://schemas.microsoft.com/office/drawing/2014/main" id="{1341B511-F8EA-F3F2-9D5F-10CEF01D4FA1}"/>
            </a:ext>
          </a:extLst>
        </xdr:cNvPr>
        <xdr:cNvSpPr txBox="1"/>
      </xdr:nvSpPr>
      <xdr:spPr>
        <a:xfrm>
          <a:off x="21674665" y="1615722"/>
          <a:ext cx="1834445" cy="11994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integral by trapezoid gives a reasonable estimation of the values on the probability tables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6FE3CE-BAF6-49DA-B45F-4756C5595AF8}" name="tbl_Uniform" displayName="tbl_Uniform" ref="N23:S55" totalsRowCount="1" headerRowDxfId="49" dataDxfId="48" totalsRowDxfId="47">
  <tableColumns count="6">
    <tableColumn id="1" xr3:uid="{28F7D171-A373-4BB6-A205-49D235250799}" name="x" dataDxfId="46" totalsRowDxfId="45"/>
    <tableColumn id="2" xr3:uid="{A2AEED99-219A-4E10-98A5-03ABE7C321EF}" name="PDF =  f(x)" dataDxfId="44" totalsRowDxfId="43">
      <calculatedColumnFormula>IF(AND(tbl_Uniform[[#This Row],[x]]&gt;=1, tbl_Uniform[[#This Row],[x]]&lt;=4), 1/3, "null")</calculatedColumnFormula>
    </tableColumn>
    <tableColumn id="3" xr3:uid="{F597BEE9-58FF-436D-BFEF-C14A2923077C}" name="Area of trapazoid" totalsRowFunction="sum" dataDxfId="42" totalsRowDxfId="41"/>
    <tableColumn id="5" xr3:uid="{83468678-FF98-4A68-A909-B44288396915}" name="Integral (CDF) by trapezoid rule" dataDxfId="40" totalsRowDxfId="39">
      <calculatedColumnFormula>SUM($P$24:P24)</calculatedColumnFormula>
    </tableColumn>
    <tableColumn id="4" xr3:uid="{D960A798-7400-4CE4-9855-7C5710E6F35F}" name="CDF = F(x)" dataDxfId="38" totalsRowDxfId="37">
      <calculatedColumnFormula>(1/3*N24)-(1/3*1)</calculatedColumnFormula>
    </tableColumn>
    <tableColumn id="7" xr3:uid="{9F7FE760-94E8-4FC7-8D08-ED6B968D8828}" name="Difference should be close to zero" dataDxfId="36" totalsRowDxfId="35">
      <calculatedColumnFormula>tbl_Uniform[[#This Row],[Integral (CDF) by trapezoid rule]]-tbl_Uniform[[#This Row],[CDF = F(x)]]</calculatedColumnFormula>
    </tableColumn>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7F22E1-0AAA-4930-9C6D-023C74FFA877}" name="tbl_Quadratic" displayName="tbl_Quadratic" ref="N23:S55" totalsRowCount="1" headerRowDxfId="34" dataDxfId="33" totalsRowDxfId="32">
  <tableColumns count="6">
    <tableColumn id="1" xr3:uid="{93D6EFB2-D9F8-45A7-8646-30B5730789C3}" name="x" dataDxfId="31" totalsRowDxfId="30" dataCellStyle="Comma"/>
    <tableColumn id="2" xr3:uid="{BBC338D0-B123-47CE-9783-AC116B56F89F}" name="PDF =  f(x)" dataDxfId="29" totalsRowDxfId="28">
      <calculatedColumnFormula>(tbl_Quadratic[[#This Row],[x]]^2)/21</calculatedColumnFormula>
    </tableColumn>
    <tableColumn id="3" xr3:uid="{B52248FE-C80C-424A-AB16-4212AFD26299}" name="Area of trapazoid" totalsRowFunction="sum" dataDxfId="27" totalsRowDxfId="26" dataCellStyle="Comma">
      <calculatedColumnFormula>(O24+O23)/2 * (N24-N23)</calculatedColumnFormula>
    </tableColumn>
    <tableColumn id="4" xr3:uid="{0ACC1C81-B2B6-4AAD-ABD6-4C30DF7EFD56}" name="Integral (CDF) by trapezoid rule" dataDxfId="25" totalsRowDxfId="24" dataCellStyle="Comma">
      <calculatedColumnFormula>SUM($P$24:P24)</calculatedColumnFormula>
    </tableColumn>
    <tableColumn id="6" xr3:uid="{68BEF125-96A2-4DA8-BA61-F3B5EE67D0B5}" name="CDF = F(x)" dataDxfId="23" totalsRowDxfId="22">
      <calculatedColumnFormula>(tbl_Quadratic[[#This Row],[x]]^3/63-1^3/63)</calculatedColumnFormula>
    </tableColumn>
    <tableColumn id="7" xr3:uid="{FAE551F8-1CAE-4DF2-8F3B-9438533AE6B0}" name="Difference should be close to zero" dataDxfId="21" totalsRowDxfId="20">
      <calculatedColumnFormula>tbl_Quadratic[[#This Row],[Integral (CDF) by trapezoid rule]]-tbl_Quadratic[[#This Row],[CDF = F(x)]]</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088E2F-963D-45C8-9895-C5A29DCC34FB}" name="tbl_Normal" displayName="tbl_Normal" ref="L17:O70" totalsRowShown="0" headerRowDxfId="19" dataDxfId="18">
  <tableColumns count="4">
    <tableColumn id="1" xr3:uid="{16285E09-A1B1-484C-A96E-9571EB729A5A}" name="x" dataDxfId="17" dataCellStyle="Comma">
      <calculatedColumnFormula array="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calculatedColumnFormula>
    </tableColumn>
    <tableColumn id="2" xr3:uid="{F8CD1C94-FC63-41FD-B09B-15A0B9401FEA}" name="PDF =  f(x)" dataDxfId="16">
      <calculatedColumnFormula>_xlfn.NORM.DIST(tbl_Normal[[#This Row],[x]], normal_mean, normal_std_dev, FALSE)</calculatedColumnFormula>
    </tableColumn>
    <tableColumn id="8" xr3:uid="{BCFBA81B-199C-43EE-AC50-E48D01FF505F}" name="Manual check" dataDxfId="15">
      <calculatedColumnFormula>(
   1/(normal_std_dev*(2*PI())^0.5)
 )
 * EXP(1)^(
    -0.5
    * ((tbl_Normal[[#This Row],[x]]-normal_mean)/normal_std_dev) ^ 2
    )</calculatedColumnFormula>
    </tableColumn>
    <tableColumn id="7" xr3:uid="{15FCF99B-E3F5-44A8-8323-3EDA21E211E4}" name="Should be zero" dataDxfId="14">
      <calculatedColumnFormula>tbl_Normal[[#This Row],[PDF =  f(x)]]-tbl_Normal[[#This Row],[Manual check]]</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1FAEC7-A01F-4E30-8A7D-A27672283F23}" name="tbl_StandardNormal" displayName="tbl_StandardNormal" ref="N20:S89" totalsRowShown="0" headerRowDxfId="13" dataDxfId="12">
  <tableColumns count="6">
    <tableColumn id="1" xr3:uid="{B7E42E01-4E49-4744-AB31-1BC49AD478B3}" name="x" dataDxfId="11"/>
    <tableColumn id="2" xr3:uid="{BA02F59B-8640-43FF-AFCA-99B2E85010F1}" name="PDF =  f(x)" dataDxfId="10">
      <calculatedColumnFormula>_xlfn.NORM.DIST(tbl_StandardNormal[[#This Row],[x]], standard_normal_mean, standard_normal_std_dev, FALSE)</calculatedColumnFormula>
    </tableColumn>
    <tableColumn id="3" xr3:uid="{18BC006E-3F67-489C-9574-222F4883F3B0}" name="Manual check" dataDxfId="9">
      <calculatedColumnFormula>(
   1/(standard_normal_std_dev*(2*PI())^0.5)
 )
 * EXP(1)^(
    -0.5
    * ((tbl_StandardNormal[[#This Row],[x]]-standard_normal_mean)/standard_normal_std_dev) ^ 2
    )</calculatedColumnFormula>
    </tableColumn>
    <tableColumn id="4" xr3:uid="{837CBBAA-72BD-4C83-AAA7-42792DCE89E6}" name="Should be zero" dataDxfId="8">
      <calculatedColumnFormula>tbl_StandardNormal[[#This Row],[PDF =  f(x)]]-tbl_StandardNormal[[#This Row],[Manual check]]</calculatedColumnFormula>
    </tableColumn>
    <tableColumn id="6" xr3:uid="{1C31DB8F-4FC8-43A5-8B2F-7CD4E927F7D7}" name="Area of trapazoid" dataDxfId="7"/>
    <tableColumn id="7" xr3:uid="{7C3BB620-79B3-4475-BF11-80107A605AAF}" name="Integral (CDF) by trapezoid rule" dataDxfId="6">
      <calculatedColumnFormula>SUM($R$21:R21)</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1A00564-84D5-4E52-A928-27C9EF9DD739}">
  <we:reference id="wa200003696" version="1.2.0.0" store="en-US" storeType="OMEX"/>
  <we:alternateReferences>
    <we:reference id="wa200003696" version="1.2.0.0" store="" storeType="OMEX"/>
  </we:alternateReferences>
  <we:properties>
    <we:property name="projectV0_1-56c6e055-265e-4713-816e-a646dbb708de" value="{&quot;kind&quot;:&quot;AFEJSONBlobNode&quot;,&quot;id&quot;:&quot;{D0A07C09-7B6A-431A-8013-B6C6A336B697}&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peltiertech.com/fill-under-plotted-line-standard-normal-cur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DE0B-8881-46F2-A537-5E9CD009C9A4}">
  <dimension ref="B2:B13"/>
  <sheetViews>
    <sheetView showGridLines="0" zoomScale="90" zoomScaleNormal="90" workbookViewId="0">
      <selection activeCell="D23" sqref="D23"/>
    </sheetView>
  </sheetViews>
  <sheetFormatPr defaultRowHeight="14.5" x14ac:dyDescent="0.35"/>
  <cols>
    <col min="1" max="1" width="7" customWidth="1"/>
  </cols>
  <sheetData>
    <row r="2" spans="2:2" ht="26" x14ac:dyDescent="0.6">
      <c r="B2" s="27" t="s">
        <v>36</v>
      </c>
    </row>
    <row r="5" spans="2:2" x14ac:dyDescent="0.35">
      <c r="B5" s="52" t="s">
        <v>21</v>
      </c>
    </row>
    <row r="7" spans="2:2" x14ac:dyDescent="0.35">
      <c r="B7" s="52" t="s">
        <v>2</v>
      </c>
    </row>
    <row r="9" spans="2:2" x14ac:dyDescent="0.35">
      <c r="B9" s="52" t="s">
        <v>24</v>
      </c>
    </row>
    <row r="11" spans="2:2" x14ac:dyDescent="0.35">
      <c r="B11" s="52" t="s">
        <v>31</v>
      </c>
    </row>
    <row r="13" spans="2:2" x14ac:dyDescent="0.35">
      <c r="B13" s="52" t="s">
        <v>34</v>
      </c>
    </row>
  </sheetData>
  <hyperlinks>
    <hyperlink ref="B5" location="Definitions!B3" display="Definitions" xr:uid="{2A74C1A9-8DA3-40C1-9CA8-77049172C74D}"/>
    <hyperlink ref="B7" location="Uniform!B3" display="Uniform probability density function" xr:uid="{E3292396-7090-440F-834C-180AC48C52F4}"/>
    <hyperlink ref="B9" location="Quadratic!B3" display="Quadratic probability density function" xr:uid="{64EF353D-85E9-4029-A90B-3DC7686988F1}"/>
    <hyperlink ref="B13" location="StandardNormDist!B3" display="Standard normal distribution" xr:uid="{3A516D1A-DC0B-4CD4-8FD3-622622F2EE61}"/>
    <hyperlink ref="B11" location="NormDist!B3" display="Normal distribution: variable mean and standard deviation" xr:uid="{87F1BC67-3A9A-4A75-81EB-B3998FCB78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5A39-D848-4208-B4E1-B5D61A4300C5}">
  <sheetPr codeName="Sheet1"/>
  <dimension ref="B2:B3"/>
  <sheetViews>
    <sheetView showGridLines="0" zoomScale="90" zoomScaleNormal="90" workbookViewId="0">
      <selection activeCell="B2" sqref="B2"/>
    </sheetView>
  </sheetViews>
  <sheetFormatPr defaultRowHeight="14.5" x14ac:dyDescent="0.35"/>
  <cols>
    <col min="1" max="1" width="7" customWidth="1"/>
  </cols>
  <sheetData>
    <row r="2" spans="2:2" ht="26" x14ac:dyDescent="0.6">
      <c r="B2" s="27" t="s">
        <v>21</v>
      </c>
    </row>
    <row r="3" spans="2:2" x14ac:dyDescent="0.35">
      <c r="B3" s="53" t="s">
        <v>37</v>
      </c>
    </row>
  </sheetData>
  <hyperlinks>
    <hyperlink ref="B3" location="TableOfContents!B3" display="Return to table of contents" xr:uid="{9D46F428-B7F9-40F1-A4FD-ADAC42FDE72C}"/>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6B7A8-F93E-441E-B7ED-FC3D506DE748}">
  <sheetPr codeName="Sheet2"/>
  <dimension ref="B1:S56"/>
  <sheetViews>
    <sheetView showGridLines="0" zoomScale="90" zoomScaleNormal="90" workbookViewId="0">
      <selection activeCell="B3" sqref="B3"/>
    </sheetView>
  </sheetViews>
  <sheetFormatPr defaultRowHeight="14.5" x14ac:dyDescent="0.35"/>
  <cols>
    <col min="1" max="1" width="6.54296875" customWidth="1"/>
    <col min="2" max="2" width="24.36328125" customWidth="1"/>
    <col min="3" max="3" width="9.81640625" customWidth="1"/>
    <col min="4" max="5" width="18.36328125" customWidth="1"/>
    <col min="6" max="6" width="26.26953125" customWidth="1"/>
    <col min="7" max="7" width="23.54296875" customWidth="1"/>
    <col min="8" max="8" width="14.26953125" customWidth="1"/>
    <col min="10" max="10" width="10.453125" bestFit="1" customWidth="1"/>
    <col min="11" max="11" width="10.81640625" customWidth="1"/>
    <col min="13" max="13" width="11.1796875" customWidth="1"/>
    <col min="14" max="15" width="17.26953125" customWidth="1"/>
    <col min="16" max="16" width="24.54296875" customWidth="1"/>
    <col min="17" max="17" width="17.26953125" customWidth="1"/>
    <col min="19" max="19" width="14.1796875" customWidth="1"/>
  </cols>
  <sheetData>
    <row r="1" spans="2:9" x14ac:dyDescent="0.35">
      <c r="G1" s="10" t="str">
        <f>IF(uniform_start_value&lt;=uniform_end_value, "OK", "ERROR - ensure end value selectedis greater than start value selected")</f>
        <v>OK</v>
      </c>
    </row>
    <row r="2" spans="2:9" ht="26" x14ac:dyDescent="0.6">
      <c r="B2" s="27" t="s">
        <v>2</v>
      </c>
      <c r="G2" s="5"/>
    </row>
    <row r="3" spans="2:9" x14ac:dyDescent="0.35">
      <c r="B3" s="53" t="s">
        <v>37</v>
      </c>
    </row>
    <row r="4" spans="2:9" x14ac:dyDescent="0.35">
      <c r="B4" s="52"/>
    </row>
    <row r="11" spans="2:9" x14ac:dyDescent="0.35">
      <c r="E11" t="s">
        <v>30</v>
      </c>
    </row>
    <row r="12" spans="2:9" x14ac:dyDescent="0.35">
      <c r="E12" t="s">
        <v>0</v>
      </c>
    </row>
    <row r="14" spans="2:9" x14ac:dyDescent="0.35">
      <c r="B14" s="31" t="s">
        <v>29</v>
      </c>
    </row>
    <row r="15" spans="2:9" x14ac:dyDescent="0.35">
      <c r="B15" s="30" t="s">
        <v>16</v>
      </c>
      <c r="C15" s="32">
        <v>2.6000000000000014</v>
      </c>
      <c r="G15" s="5"/>
      <c r="I15" s="1"/>
    </row>
    <row r="16" spans="2:9" x14ac:dyDescent="0.35">
      <c r="B16" s="30" t="s">
        <v>17</v>
      </c>
      <c r="C16" s="32">
        <v>3.8000000000000025</v>
      </c>
    </row>
    <row r="20" spans="2:19" x14ac:dyDescent="0.35">
      <c r="F20" s="6"/>
      <c r="I20" s="11"/>
    </row>
    <row r="21" spans="2:19" ht="18.5" x14ac:dyDescent="0.45">
      <c r="B21" s="9"/>
      <c r="F21" s="7"/>
      <c r="N21" s="25" t="s">
        <v>15</v>
      </c>
      <c r="O21" s="26"/>
      <c r="P21" s="26"/>
      <c r="Q21" s="26"/>
      <c r="R21" s="26"/>
      <c r="S21" s="26"/>
    </row>
    <row r="22" spans="2:19" x14ac:dyDescent="0.35">
      <c r="F22" s="7"/>
    </row>
    <row r="23" spans="2:19" ht="43.5" x14ac:dyDescent="0.35">
      <c r="F23" s="7"/>
      <c r="N23" s="22" t="s">
        <v>1</v>
      </c>
      <c r="O23" s="22" t="s">
        <v>3</v>
      </c>
      <c r="P23" s="22" t="s">
        <v>27</v>
      </c>
      <c r="Q23" s="22" t="s">
        <v>26</v>
      </c>
      <c r="R23" s="22" t="s">
        <v>4</v>
      </c>
      <c r="S23" s="22" t="s">
        <v>25</v>
      </c>
    </row>
    <row r="24" spans="2:19" x14ac:dyDescent="0.35">
      <c r="F24" s="7"/>
      <c r="N24" s="21">
        <v>1</v>
      </c>
      <c r="O24" s="21">
        <f>IF(AND(tbl_Uniform[[#This Row],[x]]&gt;=1, tbl_Uniform[[#This Row],[x]]&lt;=4), 1/3, "null")</f>
        <v>0.33333333333333331</v>
      </c>
      <c r="P24" s="21"/>
      <c r="Q24" s="21">
        <f>SUM($P$24:P24)</f>
        <v>0</v>
      </c>
      <c r="R24" s="21">
        <f t="shared" ref="R24:R54" si="0">(1/3*N24)-(1/3*1)</f>
        <v>0</v>
      </c>
      <c r="S24" s="43">
        <f>tbl_Uniform[[#This Row],[Integral (CDF) by trapezoid rule]]-tbl_Uniform[[#This Row],[CDF = F(x)]]</f>
        <v>0</v>
      </c>
    </row>
    <row r="25" spans="2:19" x14ac:dyDescent="0.35">
      <c r="F25" s="7"/>
      <c r="G25" s="2"/>
      <c r="N25" s="21">
        <f>N24+0.1</f>
        <v>1.1000000000000001</v>
      </c>
      <c r="O25" s="21">
        <f>IF(AND(tbl_Uniform[[#This Row],[x]]&gt;=1, tbl_Uniform[[#This Row],[x]]&lt;=4), 1/3, "null")</f>
        <v>0.33333333333333331</v>
      </c>
      <c r="P25" s="21">
        <f t="shared" ref="P25:P54" si="1">(O25+O24)/2 * (N25-N24)</f>
        <v>3.3333333333333361E-2</v>
      </c>
      <c r="Q25" s="21">
        <f>SUM($P$24:P25)</f>
        <v>3.3333333333333361E-2</v>
      </c>
      <c r="R25" s="21">
        <f t="shared" si="0"/>
        <v>3.3333333333333381E-2</v>
      </c>
      <c r="S25" s="43">
        <f>tbl_Uniform[[#This Row],[Integral (CDF) by trapezoid rule]]-tbl_Uniform[[#This Row],[CDF = F(x)]]</f>
        <v>0</v>
      </c>
    </row>
    <row r="26" spans="2:19" x14ac:dyDescent="0.35">
      <c r="F26" s="7"/>
      <c r="N26" s="21">
        <f t="shared" ref="N26:N54" si="2">N25+0.1</f>
        <v>1.2000000000000002</v>
      </c>
      <c r="O26" s="21">
        <f>IF(AND(tbl_Uniform[[#This Row],[x]]&gt;=1, tbl_Uniform[[#This Row],[x]]&lt;=4), 1/3, "null")</f>
        <v>0.33333333333333331</v>
      </c>
      <c r="P26" s="21">
        <f t="shared" si="1"/>
        <v>3.3333333333333361E-2</v>
      </c>
      <c r="Q26" s="21">
        <f>SUM($P$24:P26)</f>
        <v>6.6666666666666721E-2</v>
      </c>
      <c r="R26" s="21">
        <f t="shared" si="0"/>
        <v>6.6666666666666707E-2</v>
      </c>
      <c r="S26" s="43">
        <f>tbl_Uniform[[#This Row],[Integral (CDF) by trapezoid rule]]-tbl_Uniform[[#This Row],[CDF = F(x)]]</f>
        <v>0</v>
      </c>
    </row>
    <row r="27" spans="2:19" x14ac:dyDescent="0.35">
      <c r="F27" s="7"/>
      <c r="N27" s="21">
        <f t="shared" si="2"/>
        <v>1.3000000000000003</v>
      </c>
      <c r="O27" s="21">
        <f>IF(AND(tbl_Uniform[[#This Row],[x]]&gt;=1, tbl_Uniform[[#This Row],[x]]&lt;=4), 1/3, "null")</f>
        <v>0.33333333333333331</v>
      </c>
      <c r="P27" s="21">
        <f t="shared" si="1"/>
        <v>3.3333333333333361E-2</v>
      </c>
      <c r="Q27" s="21">
        <f>SUM($P$24:P27)</f>
        <v>0.10000000000000009</v>
      </c>
      <c r="R27" s="21">
        <f t="shared" si="0"/>
        <v>0.10000000000000009</v>
      </c>
      <c r="S27" s="43">
        <f>tbl_Uniform[[#This Row],[Integral (CDF) by trapezoid rule]]-tbl_Uniform[[#This Row],[CDF = F(x)]]</f>
        <v>0</v>
      </c>
    </row>
    <row r="28" spans="2:19" x14ac:dyDescent="0.35">
      <c r="F28" s="7"/>
      <c r="N28" s="21">
        <f t="shared" si="2"/>
        <v>1.4000000000000004</v>
      </c>
      <c r="O28" s="21">
        <f>IF(AND(tbl_Uniform[[#This Row],[x]]&gt;=1, tbl_Uniform[[#This Row],[x]]&lt;=4), 1/3, "null")</f>
        <v>0.33333333333333331</v>
      </c>
      <c r="P28" s="21">
        <f t="shared" si="1"/>
        <v>3.3333333333333361E-2</v>
      </c>
      <c r="Q28" s="21">
        <f>SUM($P$24:P28)</f>
        <v>0.13333333333333344</v>
      </c>
      <c r="R28" s="21">
        <f t="shared" si="0"/>
        <v>0.13333333333333347</v>
      </c>
      <c r="S28" s="43">
        <f>tbl_Uniform[[#This Row],[Integral (CDF) by trapezoid rule]]-tbl_Uniform[[#This Row],[CDF = F(x)]]</f>
        <v>0</v>
      </c>
    </row>
    <row r="29" spans="2:19" x14ac:dyDescent="0.35">
      <c r="F29" s="7"/>
      <c r="N29" s="21">
        <f t="shared" si="2"/>
        <v>1.5000000000000004</v>
      </c>
      <c r="O29" s="21">
        <f>IF(AND(tbl_Uniform[[#This Row],[x]]&gt;=1, tbl_Uniform[[#This Row],[x]]&lt;=4), 1/3, "null")</f>
        <v>0.33333333333333331</v>
      </c>
      <c r="P29" s="21">
        <f t="shared" si="1"/>
        <v>3.3333333333333361E-2</v>
      </c>
      <c r="Q29" s="21">
        <f>SUM($P$24:P29)</f>
        <v>0.1666666666666668</v>
      </c>
      <c r="R29" s="21">
        <f t="shared" si="0"/>
        <v>0.1666666666666668</v>
      </c>
      <c r="S29" s="43">
        <f>tbl_Uniform[[#This Row],[Integral (CDF) by trapezoid rule]]-tbl_Uniform[[#This Row],[CDF = F(x)]]</f>
        <v>0</v>
      </c>
    </row>
    <row r="30" spans="2:19" x14ac:dyDescent="0.35">
      <c r="F30" s="7"/>
      <c r="N30" s="21">
        <f t="shared" si="2"/>
        <v>1.6000000000000005</v>
      </c>
      <c r="O30" s="21">
        <f>IF(AND(tbl_Uniform[[#This Row],[x]]&gt;=1, tbl_Uniform[[#This Row],[x]]&lt;=4), 1/3, "null")</f>
        <v>0.33333333333333331</v>
      </c>
      <c r="P30" s="21">
        <f t="shared" si="1"/>
        <v>3.3333333333333361E-2</v>
      </c>
      <c r="Q30" s="21">
        <f>SUM($P$24:P30)</f>
        <v>0.20000000000000015</v>
      </c>
      <c r="R30" s="21">
        <f t="shared" si="0"/>
        <v>0.20000000000000012</v>
      </c>
      <c r="S30" s="43">
        <f>tbl_Uniform[[#This Row],[Integral (CDF) by trapezoid rule]]-tbl_Uniform[[#This Row],[CDF = F(x)]]</f>
        <v>0</v>
      </c>
    </row>
    <row r="31" spans="2:19" x14ac:dyDescent="0.35">
      <c r="F31" s="7"/>
      <c r="N31" s="21">
        <f t="shared" si="2"/>
        <v>1.7000000000000006</v>
      </c>
      <c r="O31" s="21">
        <f>IF(AND(tbl_Uniform[[#This Row],[x]]&gt;=1, tbl_Uniform[[#This Row],[x]]&lt;=4), 1/3, "null")</f>
        <v>0.33333333333333331</v>
      </c>
      <c r="P31" s="21">
        <f t="shared" si="1"/>
        <v>3.3333333333333361E-2</v>
      </c>
      <c r="Q31" s="21">
        <f>SUM($P$24:P31)</f>
        <v>0.2333333333333335</v>
      </c>
      <c r="R31" s="21">
        <f t="shared" si="0"/>
        <v>0.23333333333333356</v>
      </c>
      <c r="S31" s="43">
        <f>tbl_Uniform[[#This Row],[Integral (CDF) by trapezoid rule]]-tbl_Uniform[[#This Row],[CDF = F(x)]]</f>
        <v>0</v>
      </c>
    </row>
    <row r="32" spans="2:19" x14ac:dyDescent="0.35">
      <c r="F32" s="7"/>
      <c r="N32" s="21">
        <f t="shared" si="2"/>
        <v>1.8000000000000007</v>
      </c>
      <c r="O32" s="21">
        <f>IF(AND(tbl_Uniform[[#This Row],[x]]&gt;=1, tbl_Uniform[[#This Row],[x]]&lt;=4), 1/3, "null")</f>
        <v>0.33333333333333331</v>
      </c>
      <c r="P32" s="21">
        <f t="shared" si="1"/>
        <v>3.3333333333333361E-2</v>
      </c>
      <c r="Q32" s="21">
        <f>SUM($P$24:P32)</f>
        <v>0.26666666666666689</v>
      </c>
      <c r="R32" s="21">
        <f t="shared" si="0"/>
        <v>0.26666666666666689</v>
      </c>
      <c r="S32" s="43">
        <f>tbl_Uniform[[#This Row],[Integral (CDF) by trapezoid rule]]-tbl_Uniform[[#This Row],[CDF = F(x)]]</f>
        <v>0</v>
      </c>
    </row>
    <row r="33" spans="6:19" x14ac:dyDescent="0.35">
      <c r="F33" s="7"/>
      <c r="N33" s="21">
        <f t="shared" si="2"/>
        <v>1.9000000000000008</v>
      </c>
      <c r="O33" s="21">
        <f>IF(AND(tbl_Uniform[[#This Row],[x]]&gt;=1, tbl_Uniform[[#This Row],[x]]&lt;=4), 1/3, "null")</f>
        <v>0.33333333333333331</v>
      </c>
      <c r="P33" s="21">
        <f t="shared" si="1"/>
        <v>3.3333333333333361E-2</v>
      </c>
      <c r="Q33" s="21">
        <f>SUM($P$24:P33)</f>
        <v>0.30000000000000027</v>
      </c>
      <c r="R33" s="21">
        <f t="shared" si="0"/>
        <v>0.30000000000000021</v>
      </c>
      <c r="S33" s="43">
        <f>tbl_Uniform[[#This Row],[Integral (CDF) by trapezoid rule]]-tbl_Uniform[[#This Row],[CDF = F(x)]]</f>
        <v>0</v>
      </c>
    </row>
    <row r="34" spans="6:19" x14ac:dyDescent="0.35">
      <c r="F34" s="7"/>
      <c r="N34" s="21">
        <f t="shared" si="2"/>
        <v>2.0000000000000009</v>
      </c>
      <c r="O34" s="21">
        <f>IF(AND(tbl_Uniform[[#This Row],[x]]&gt;=1, tbl_Uniform[[#This Row],[x]]&lt;=4), 1/3, "null")</f>
        <v>0.33333333333333331</v>
      </c>
      <c r="P34" s="21">
        <f t="shared" si="1"/>
        <v>3.3333333333333361E-2</v>
      </c>
      <c r="Q34" s="21">
        <f>SUM($P$24:P34)</f>
        <v>0.33333333333333365</v>
      </c>
      <c r="R34" s="21">
        <f t="shared" si="0"/>
        <v>0.33333333333333365</v>
      </c>
      <c r="S34" s="43">
        <f>tbl_Uniform[[#This Row],[Integral (CDF) by trapezoid rule]]-tbl_Uniform[[#This Row],[CDF = F(x)]]</f>
        <v>0</v>
      </c>
    </row>
    <row r="35" spans="6:19" x14ac:dyDescent="0.35">
      <c r="F35" s="8"/>
      <c r="N35" s="21">
        <f t="shared" si="2"/>
        <v>2.100000000000001</v>
      </c>
      <c r="O35" s="21">
        <f>IF(AND(tbl_Uniform[[#This Row],[x]]&gt;=1, tbl_Uniform[[#This Row],[x]]&lt;=4), 1/3, "null")</f>
        <v>0.33333333333333331</v>
      </c>
      <c r="P35" s="21">
        <f t="shared" si="1"/>
        <v>3.3333333333333361E-2</v>
      </c>
      <c r="Q35" s="21">
        <f>SUM($P$24:P35)</f>
        <v>0.36666666666666703</v>
      </c>
      <c r="R35" s="21">
        <f t="shared" si="0"/>
        <v>0.36666666666666697</v>
      </c>
      <c r="S35" s="43">
        <f>tbl_Uniform[[#This Row],[Integral (CDF) by trapezoid rule]]-tbl_Uniform[[#This Row],[CDF = F(x)]]</f>
        <v>0</v>
      </c>
    </row>
    <row r="36" spans="6:19" x14ac:dyDescent="0.35">
      <c r="F36" s="7"/>
      <c r="N36" s="21">
        <f t="shared" si="2"/>
        <v>2.2000000000000011</v>
      </c>
      <c r="O36" s="21">
        <f>IF(AND(tbl_Uniform[[#This Row],[x]]&gt;=1, tbl_Uniform[[#This Row],[x]]&lt;=4), 1/3, "null")</f>
        <v>0.33333333333333331</v>
      </c>
      <c r="P36" s="21">
        <f t="shared" si="1"/>
        <v>3.3333333333333361E-2</v>
      </c>
      <c r="Q36" s="21">
        <f>SUM($P$24:P36)</f>
        <v>0.40000000000000041</v>
      </c>
      <c r="R36" s="21">
        <f t="shared" si="0"/>
        <v>0.4000000000000003</v>
      </c>
      <c r="S36" s="43">
        <f>tbl_Uniform[[#This Row],[Integral (CDF) by trapezoid rule]]-tbl_Uniform[[#This Row],[CDF = F(x)]]</f>
        <v>0</v>
      </c>
    </row>
    <row r="37" spans="6:19" x14ac:dyDescent="0.35">
      <c r="F37" s="7"/>
      <c r="N37" s="21">
        <f t="shared" si="2"/>
        <v>2.3000000000000012</v>
      </c>
      <c r="O37" s="21">
        <f>IF(AND(tbl_Uniform[[#This Row],[x]]&gt;=1, tbl_Uniform[[#This Row],[x]]&lt;=4), 1/3, "null")</f>
        <v>0.33333333333333331</v>
      </c>
      <c r="P37" s="21">
        <f t="shared" si="1"/>
        <v>3.3333333333333361E-2</v>
      </c>
      <c r="Q37" s="21">
        <f>SUM($P$24:P37)</f>
        <v>0.43333333333333379</v>
      </c>
      <c r="R37" s="21">
        <f t="shared" si="0"/>
        <v>0.43333333333333374</v>
      </c>
      <c r="S37" s="43">
        <f>tbl_Uniform[[#This Row],[Integral (CDF) by trapezoid rule]]-tbl_Uniform[[#This Row],[CDF = F(x)]]</f>
        <v>0</v>
      </c>
    </row>
    <row r="38" spans="6:19" x14ac:dyDescent="0.35">
      <c r="F38" s="7"/>
      <c r="N38" s="21">
        <f t="shared" si="2"/>
        <v>2.4000000000000012</v>
      </c>
      <c r="O38" s="21">
        <f>IF(AND(tbl_Uniform[[#This Row],[x]]&gt;=1, tbl_Uniform[[#This Row],[x]]&lt;=4), 1/3, "null")</f>
        <v>0.33333333333333331</v>
      </c>
      <c r="P38" s="21">
        <f t="shared" si="1"/>
        <v>3.3333333333333361E-2</v>
      </c>
      <c r="Q38" s="21">
        <f>SUM($P$24:P38)</f>
        <v>0.46666666666666717</v>
      </c>
      <c r="R38" s="21">
        <f t="shared" si="0"/>
        <v>0.46666666666666706</v>
      </c>
      <c r="S38" s="43">
        <f>tbl_Uniform[[#This Row],[Integral (CDF) by trapezoid rule]]-tbl_Uniform[[#This Row],[CDF = F(x)]]</f>
        <v>0</v>
      </c>
    </row>
    <row r="39" spans="6:19" x14ac:dyDescent="0.35">
      <c r="F39" s="7"/>
      <c r="N39" s="21">
        <f t="shared" si="2"/>
        <v>2.5000000000000013</v>
      </c>
      <c r="O39" s="21">
        <f>IF(AND(tbl_Uniform[[#This Row],[x]]&gt;=1, tbl_Uniform[[#This Row],[x]]&lt;=4), 1/3, "null")</f>
        <v>0.33333333333333331</v>
      </c>
      <c r="P39" s="21">
        <f t="shared" si="1"/>
        <v>3.3333333333333361E-2</v>
      </c>
      <c r="Q39" s="21">
        <f>SUM($P$24:P39)</f>
        <v>0.50000000000000056</v>
      </c>
      <c r="R39" s="21">
        <f t="shared" si="0"/>
        <v>0.50000000000000044</v>
      </c>
      <c r="S39" s="43">
        <f>tbl_Uniform[[#This Row],[Integral (CDF) by trapezoid rule]]-tbl_Uniform[[#This Row],[CDF = F(x)]]</f>
        <v>0</v>
      </c>
    </row>
    <row r="40" spans="6:19" x14ac:dyDescent="0.35">
      <c r="F40" s="7"/>
      <c r="N40" s="21">
        <f t="shared" si="2"/>
        <v>2.6000000000000014</v>
      </c>
      <c r="O40" s="21">
        <f>IF(AND(tbl_Uniform[[#This Row],[x]]&gt;=1, tbl_Uniform[[#This Row],[x]]&lt;=4), 1/3, "null")</f>
        <v>0.33333333333333331</v>
      </c>
      <c r="P40" s="21">
        <f t="shared" si="1"/>
        <v>3.3333333333333361E-2</v>
      </c>
      <c r="Q40" s="21">
        <f>SUM($P$24:P40)</f>
        <v>0.53333333333333388</v>
      </c>
      <c r="R40" s="21">
        <f t="shared" si="0"/>
        <v>0.53333333333333388</v>
      </c>
      <c r="S40" s="43">
        <f>tbl_Uniform[[#This Row],[Integral (CDF) by trapezoid rule]]-tbl_Uniform[[#This Row],[CDF = F(x)]]</f>
        <v>0</v>
      </c>
    </row>
    <row r="41" spans="6:19" x14ac:dyDescent="0.35">
      <c r="F41" s="7"/>
      <c r="N41" s="21">
        <f t="shared" si="2"/>
        <v>2.7000000000000015</v>
      </c>
      <c r="O41" s="21">
        <f>IF(AND(tbl_Uniform[[#This Row],[x]]&gt;=1, tbl_Uniform[[#This Row],[x]]&lt;=4), 1/3, "null")</f>
        <v>0.33333333333333331</v>
      </c>
      <c r="P41" s="21">
        <f t="shared" si="1"/>
        <v>3.3333333333333361E-2</v>
      </c>
      <c r="Q41" s="21">
        <f>SUM($P$24:P41)</f>
        <v>0.56666666666666721</v>
      </c>
      <c r="R41" s="21">
        <f t="shared" si="0"/>
        <v>0.5666666666666671</v>
      </c>
      <c r="S41" s="43">
        <f>tbl_Uniform[[#This Row],[Integral (CDF) by trapezoid rule]]-tbl_Uniform[[#This Row],[CDF = F(x)]]</f>
        <v>0</v>
      </c>
    </row>
    <row r="42" spans="6:19" x14ac:dyDescent="0.35">
      <c r="F42" s="7"/>
      <c r="N42" s="21">
        <f t="shared" si="2"/>
        <v>2.8000000000000016</v>
      </c>
      <c r="O42" s="21">
        <f>IF(AND(tbl_Uniform[[#This Row],[x]]&gt;=1, tbl_Uniform[[#This Row],[x]]&lt;=4), 1/3, "null")</f>
        <v>0.33333333333333331</v>
      </c>
      <c r="P42" s="21">
        <f t="shared" si="1"/>
        <v>3.3333333333333361E-2</v>
      </c>
      <c r="Q42" s="21">
        <f>SUM($P$24:P42)</f>
        <v>0.60000000000000053</v>
      </c>
      <c r="R42" s="21">
        <f t="shared" si="0"/>
        <v>0.60000000000000053</v>
      </c>
      <c r="S42" s="43">
        <f>tbl_Uniform[[#This Row],[Integral (CDF) by trapezoid rule]]-tbl_Uniform[[#This Row],[CDF = F(x)]]</f>
        <v>0</v>
      </c>
    </row>
    <row r="43" spans="6:19" x14ac:dyDescent="0.35">
      <c r="F43" s="7"/>
      <c r="N43" s="21">
        <f t="shared" si="2"/>
        <v>2.9000000000000017</v>
      </c>
      <c r="O43" s="21">
        <f>IF(AND(tbl_Uniform[[#This Row],[x]]&gt;=1, tbl_Uniform[[#This Row],[x]]&lt;=4), 1/3, "null")</f>
        <v>0.33333333333333331</v>
      </c>
      <c r="P43" s="21">
        <f t="shared" si="1"/>
        <v>3.3333333333333361E-2</v>
      </c>
      <c r="Q43" s="21">
        <f>SUM($P$24:P43)</f>
        <v>0.63333333333333386</v>
      </c>
      <c r="R43" s="21">
        <f t="shared" si="0"/>
        <v>0.63333333333333397</v>
      </c>
      <c r="S43" s="43">
        <f>tbl_Uniform[[#This Row],[Integral (CDF) by trapezoid rule]]-tbl_Uniform[[#This Row],[CDF = F(x)]]</f>
        <v>0</v>
      </c>
    </row>
    <row r="44" spans="6:19" x14ac:dyDescent="0.35">
      <c r="F44" s="7"/>
      <c r="N44" s="21">
        <f t="shared" si="2"/>
        <v>3.0000000000000018</v>
      </c>
      <c r="O44" s="21">
        <f>IF(AND(tbl_Uniform[[#This Row],[x]]&gt;=1, tbl_Uniform[[#This Row],[x]]&lt;=4), 1/3, "null")</f>
        <v>0.33333333333333331</v>
      </c>
      <c r="P44" s="21">
        <f t="shared" si="1"/>
        <v>3.3333333333333361E-2</v>
      </c>
      <c r="Q44" s="21">
        <f>SUM($P$24:P44)</f>
        <v>0.66666666666666718</v>
      </c>
      <c r="R44" s="21">
        <f t="shared" si="0"/>
        <v>0.66666666666666718</v>
      </c>
      <c r="S44" s="43">
        <f>tbl_Uniform[[#This Row],[Integral (CDF) by trapezoid rule]]-tbl_Uniform[[#This Row],[CDF = F(x)]]</f>
        <v>0</v>
      </c>
    </row>
    <row r="45" spans="6:19" x14ac:dyDescent="0.35">
      <c r="F45" s="7"/>
      <c r="N45" s="21">
        <f t="shared" si="2"/>
        <v>3.1000000000000019</v>
      </c>
      <c r="O45" s="21">
        <f>IF(AND(tbl_Uniform[[#This Row],[x]]&gt;=1, tbl_Uniform[[#This Row],[x]]&lt;=4), 1/3, "null")</f>
        <v>0.33333333333333331</v>
      </c>
      <c r="P45" s="21">
        <f t="shared" si="1"/>
        <v>3.3333333333333361E-2</v>
      </c>
      <c r="Q45" s="21">
        <f>SUM($P$24:P45)</f>
        <v>0.70000000000000051</v>
      </c>
      <c r="R45" s="21">
        <f t="shared" si="0"/>
        <v>0.70000000000000062</v>
      </c>
      <c r="S45" s="43">
        <f>tbl_Uniform[[#This Row],[Integral (CDF) by trapezoid rule]]-tbl_Uniform[[#This Row],[CDF = F(x)]]</f>
        <v>0</v>
      </c>
    </row>
    <row r="46" spans="6:19" x14ac:dyDescent="0.35">
      <c r="F46" s="7"/>
      <c r="N46" s="21">
        <f t="shared" si="2"/>
        <v>3.200000000000002</v>
      </c>
      <c r="O46" s="21">
        <f>IF(AND(tbl_Uniform[[#This Row],[x]]&gt;=1, tbl_Uniform[[#This Row],[x]]&lt;=4), 1/3, "null")</f>
        <v>0.33333333333333331</v>
      </c>
      <c r="P46" s="21">
        <f t="shared" si="1"/>
        <v>3.3333333333333361E-2</v>
      </c>
      <c r="Q46" s="21">
        <f>SUM($P$24:P46)</f>
        <v>0.73333333333333384</v>
      </c>
      <c r="R46" s="21">
        <f t="shared" si="0"/>
        <v>0.73333333333333406</v>
      </c>
      <c r="S46" s="43">
        <f>tbl_Uniform[[#This Row],[Integral (CDF) by trapezoid rule]]-tbl_Uniform[[#This Row],[CDF = F(x)]]</f>
        <v>0</v>
      </c>
    </row>
    <row r="47" spans="6:19" x14ac:dyDescent="0.35">
      <c r="F47" s="7"/>
      <c r="N47" s="21">
        <f t="shared" si="2"/>
        <v>3.300000000000002</v>
      </c>
      <c r="O47" s="21">
        <f>IF(AND(tbl_Uniform[[#This Row],[x]]&gt;=1, tbl_Uniform[[#This Row],[x]]&lt;=4), 1/3, "null")</f>
        <v>0.33333333333333331</v>
      </c>
      <c r="P47" s="21">
        <f t="shared" si="1"/>
        <v>3.3333333333333361E-2</v>
      </c>
      <c r="Q47" s="21">
        <f>SUM($P$24:P47)</f>
        <v>0.76666666666666716</v>
      </c>
      <c r="R47" s="21">
        <f t="shared" si="0"/>
        <v>0.76666666666666727</v>
      </c>
      <c r="S47" s="43">
        <f>tbl_Uniform[[#This Row],[Integral (CDF) by trapezoid rule]]-tbl_Uniform[[#This Row],[CDF = F(x)]]</f>
        <v>0</v>
      </c>
    </row>
    <row r="48" spans="6:19" x14ac:dyDescent="0.35">
      <c r="F48" s="7"/>
      <c r="N48" s="21">
        <f t="shared" si="2"/>
        <v>3.4000000000000021</v>
      </c>
      <c r="O48" s="21">
        <f>IF(AND(tbl_Uniform[[#This Row],[x]]&gt;=1, tbl_Uniform[[#This Row],[x]]&lt;=4), 1/3, "null")</f>
        <v>0.33333333333333331</v>
      </c>
      <c r="P48" s="21">
        <f t="shared" si="1"/>
        <v>3.3333333333333361E-2</v>
      </c>
      <c r="Q48" s="21">
        <f>SUM($P$24:P48)</f>
        <v>0.80000000000000049</v>
      </c>
      <c r="R48" s="21">
        <f t="shared" si="0"/>
        <v>0.80000000000000071</v>
      </c>
      <c r="S48" s="43">
        <f>tbl_Uniform[[#This Row],[Integral (CDF) by trapezoid rule]]-tbl_Uniform[[#This Row],[CDF = F(x)]]</f>
        <v>0</v>
      </c>
    </row>
    <row r="49" spans="6:19" x14ac:dyDescent="0.35">
      <c r="F49" s="7"/>
      <c r="N49" s="21">
        <f t="shared" si="2"/>
        <v>3.5000000000000022</v>
      </c>
      <c r="O49" s="21">
        <f>IF(AND(tbl_Uniform[[#This Row],[x]]&gt;=1, tbl_Uniform[[#This Row],[x]]&lt;=4), 1/3, "null")</f>
        <v>0.33333333333333331</v>
      </c>
      <c r="P49" s="21">
        <f t="shared" si="1"/>
        <v>3.3333333333333361E-2</v>
      </c>
      <c r="Q49" s="21">
        <f>SUM($P$24:P49)</f>
        <v>0.83333333333333381</v>
      </c>
      <c r="R49" s="21">
        <f t="shared" si="0"/>
        <v>0.83333333333333415</v>
      </c>
      <c r="S49" s="43">
        <f>tbl_Uniform[[#This Row],[Integral (CDF) by trapezoid rule]]-tbl_Uniform[[#This Row],[CDF = F(x)]]</f>
        <v>0</v>
      </c>
    </row>
    <row r="50" spans="6:19" x14ac:dyDescent="0.35">
      <c r="F50" s="7"/>
      <c r="N50" s="21">
        <f t="shared" si="2"/>
        <v>3.6000000000000023</v>
      </c>
      <c r="O50" s="21">
        <f>IF(AND(tbl_Uniform[[#This Row],[x]]&gt;=1, tbl_Uniform[[#This Row],[x]]&lt;=4), 1/3, "null")</f>
        <v>0.33333333333333331</v>
      </c>
      <c r="P50" s="21">
        <f t="shared" si="1"/>
        <v>3.3333333333333361E-2</v>
      </c>
      <c r="Q50" s="21">
        <f>SUM($P$24:P50)</f>
        <v>0.86666666666666714</v>
      </c>
      <c r="R50" s="21">
        <f t="shared" si="0"/>
        <v>0.86666666666666736</v>
      </c>
      <c r="S50" s="43">
        <f>tbl_Uniform[[#This Row],[Integral (CDF) by trapezoid rule]]-tbl_Uniform[[#This Row],[CDF = F(x)]]</f>
        <v>0</v>
      </c>
    </row>
    <row r="51" spans="6:19" x14ac:dyDescent="0.35">
      <c r="N51" s="21">
        <f t="shared" si="2"/>
        <v>3.7000000000000024</v>
      </c>
      <c r="O51" s="21">
        <f>IF(AND(tbl_Uniform[[#This Row],[x]]&gt;=1, tbl_Uniform[[#This Row],[x]]&lt;=4), 1/3, "null")</f>
        <v>0.33333333333333331</v>
      </c>
      <c r="P51" s="21">
        <f t="shared" si="1"/>
        <v>3.3333333333333361E-2</v>
      </c>
      <c r="Q51" s="21">
        <f>SUM($P$24:P51)</f>
        <v>0.90000000000000047</v>
      </c>
      <c r="R51" s="21">
        <f t="shared" si="0"/>
        <v>0.9000000000000008</v>
      </c>
      <c r="S51" s="43">
        <f>tbl_Uniform[[#This Row],[Integral (CDF) by trapezoid rule]]-tbl_Uniform[[#This Row],[CDF = F(x)]]</f>
        <v>0</v>
      </c>
    </row>
    <row r="52" spans="6:19" x14ac:dyDescent="0.35">
      <c r="G52" s="4" t="str">
        <f>"F(" &amp; uniform_start_value &amp; ") =  P(X &lt;= " &amp; uniform_start_value &amp; "): "</f>
        <v xml:space="preserve">F(2.6) =  P(X &lt;= 2.6): </v>
      </c>
      <c r="H52" s="29">
        <f>_xlfn.XLOOKUP(uniform_start_value, tbl_Uniform[x], tbl_Uniform[CDF = F(x)])</f>
        <v>0.53333333333333388</v>
      </c>
      <c r="N52" s="21">
        <f t="shared" si="2"/>
        <v>3.8000000000000025</v>
      </c>
      <c r="O52" s="21">
        <f>IF(AND(tbl_Uniform[[#This Row],[x]]&gt;=1, tbl_Uniform[[#This Row],[x]]&lt;=4), 1/3, "null")</f>
        <v>0.33333333333333331</v>
      </c>
      <c r="P52" s="21">
        <f t="shared" si="1"/>
        <v>3.3333333333333361E-2</v>
      </c>
      <c r="Q52" s="21">
        <f>SUM($P$24:P52)</f>
        <v>0.93333333333333379</v>
      </c>
      <c r="R52" s="21">
        <f t="shared" si="0"/>
        <v>0.93333333333333424</v>
      </c>
      <c r="S52" s="43">
        <f>tbl_Uniform[[#This Row],[Integral (CDF) by trapezoid rule]]-tbl_Uniform[[#This Row],[CDF = F(x)]]</f>
        <v>0</v>
      </c>
    </row>
    <row r="53" spans="6:19" x14ac:dyDescent="0.35">
      <c r="G53" s="4" t="str">
        <f>"F(" &amp; uniform_end_value &amp; ") =  P(X &lt;= " &amp; uniform_end_value &amp; "): "</f>
        <v xml:space="preserve">F(3.8) =  P(X &lt;= 3.8): </v>
      </c>
      <c r="H53" s="29">
        <f>_xlfn.XLOOKUP(uniform_end_value, tbl_Uniform[x], tbl_Uniform[CDF = F(x)])</f>
        <v>0.93333333333333424</v>
      </c>
      <c r="N53" s="21">
        <f t="shared" si="2"/>
        <v>3.9000000000000026</v>
      </c>
      <c r="O53" s="21">
        <f>IF(AND(tbl_Uniform[[#This Row],[x]]&gt;=1, tbl_Uniform[[#This Row],[x]]&lt;=4), 1/3, "null")</f>
        <v>0.33333333333333331</v>
      </c>
      <c r="P53" s="21">
        <f t="shared" si="1"/>
        <v>3.3333333333333361E-2</v>
      </c>
      <c r="Q53" s="21">
        <f>SUM($P$24:P53)</f>
        <v>0.96666666666666712</v>
      </c>
      <c r="R53" s="21">
        <f t="shared" si="0"/>
        <v>0.96666666666666745</v>
      </c>
      <c r="S53" s="43">
        <f>tbl_Uniform[[#This Row],[Integral (CDF) by trapezoid rule]]-tbl_Uniform[[#This Row],[CDF = F(x)]]</f>
        <v>0</v>
      </c>
    </row>
    <row r="54" spans="6:19" x14ac:dyDescent="0.35">
      <c r="G54" s="4" t="str">
        <f>"P(" &amp; uniform_start_value &amp; " &lt;= X &lt;= " &amp; uniform_end_value &amp; ")"</f>
        <v>P(2.6 &lt;= X &lt;= 3.8)</v>
      </c>
      <c r="H54" s="13">
        <f>H53-H52</f>
        <v>0.40000000000000036</v>
      </c>
      <c r="N54" s="21">
        <f t="shared" si="2"/>
        <v>4.0000000000000027</v>
      </c>
      <c r="O54" s="21">
        <f>IF(AND(tbl_Uniform[[#This Row],[x]]&gt;=1, tbl_Uniform[[#This Row],[x]]&lt;=4), 1/3, "null")</f>
        <v>0.33333333333333331</v>
      </c>
      <c r="P54" s="21">
        <f t="shared" si="1"/>
        <v>3.3333333333333361E-2</v>
      </c>
      <c r="Q54" s="21">
        <f>SUM($P$24:P54)</f>
        <v>1.0000000000000004</v>
      </c>
      <c r="R54" s="21">
        <f t="shared" si="0"/>
        <v>1.0000000000000009</v>
      </c>
      <c r="S54" s="43">
        <f>tbl_Uniform[[#This Row],[Integral (CDF) by trapezoid rule]]-tbl_Uniform[[#This Row],[CDF = F(x)]]</f>
        <v>0</v>
      </c>
    </row>
    <row r="55" spans="6:19" ht="15" thickBot="1" x14ac:dyDescent="0.4">
      <c r="N55" s="23"/>
      <c r="O55" s="23"/>
      <c r="P55" s="24">
        <f>SUBTOTAL(109,tbl_Uniform[Area of trapazoid])</f>
        <v>1.0000000000000004</v>
      </c>
      <c r="Q55" s="23"/>
      <c r="R55" s="23"/>
      <c r="S55" s="23"/>
    </row>
    <row r="56" spans="6:19" ht="15" thickTop="1" x14ac:dyDescent="0.35"/>
  </sheetData>
  <conditionalFormatting sqref="F21:F50">
    <cfRule type="expression" dxfId="5" priority="10">
      <formula>OR(O24=uniform_start_value, O24=uniform_end_value)</formula>
    </cfRule>
  </conditionalFormatting>
  <conditionalFormatting sqref="G1:J1">
    <cfRule type="expression" dxfId="4" priority="6">
      <formula>NOT(ISERROR(FIND("ERROR", UPPER($G$1))))</formula>
    </cfRule>
  </conditionalFormatting>
  <conditionalFormatting sqref="Q24">
    <cfRule type="expression" dxfId="3" priority="1">
      <formula>OR(M24=uniform_start_value, M24=uniform_end_value)</formula>
    </cfRule>
  </conditionalFormatting>
  <conditionalFormatting sqref="R24:R54">
    <cfRule type="expression" dxfId="2" priority="2">
      <formula>OR(N24=uniform_start_value, N24=uniform_end_value)</formula>
    </cfRule>
  </conditionalFormatting>
  <dataValidations count="2">
    <dataValidation type="list" showInputMessage="1" showErrorMessage="1" sqref="C15" xr:uid="{F5F1F75F-D512-4AE2-8A42-35B8F300718E}">
      <formula1>uniform_selector_values</formula1>
    </dataValidation>
    <dataValidation type="list" allowBlank="1" showInputMessage="1" showErrorMessage="1" sqref="C16" xr:uid="{C6EDF3B5-73E3-4B5B-B1C2-C1CEFE23B6FE}">
      <formula1>uniform_selector_values</formula1>
    </dataValidation>
  </dataValidations>
  <hyperlinks>
    <hyperlink ref="B3" location="TableOfContents!B3" display="Return to table of contents" xr:uid="{D76678E0-500E-47ED-A074-BF87BB0A4D16}"/>
  </hyperlinks>
  <pageMargins left="0.7" right="0.7" top="0.75" bottom="0.75" header="0.3" footer="0.3"/>
  <pageSetup paperSize="9" orientation="portrait" horizontalDpi="0"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31477-2216-4059-B40D-53B36A1CB37E}">
  <dimension ref="B1:S57"/>
  <sheetViews>
    <sheetView showGridLines="0" zoomScale="90" zoomScaleNormal="90" workbookViewId="0">
      <selection activeCell="B3" sqref="B3"/>
    </sheetView>
  </sheetViews>
  <sheetFormatPr defaultRowHeight="14.5" x14ac:dyDescent="0.35"/>
  <cols>
    <col min="1" max="1" width="4.90625" customWidth="1"/>
    <col min="2" max="2" width="23" bestFit="1" customWidth="1"/>
    <col min="4" max="4" width="22.1796875" customWidth="1"/>
    <col min="5" max="5" width="38.81640625" customWidth="1"/>
    <col min="6" max="6" width="20.36328125" customWidth="1"/>
    <col min="7" max="8" width="22.1796875" customWidth="1"/>
    <col min="9" max="13" width="10.6328125" customWidth="1"/>
    <col min="14" max="14" width="15.54296875" customWidth="1"/>
    <col min="15" max="15" width="13.81640625" bestFit="1" customWidth="1"/>
    <col min="16" max="16" width="26.7265625" bestFit="1" customWidth="1"/>
    <col min="17" max="17" width="12.453125" customWidth="1"/>
    <col min="19" max="19" width="12.6328125" customWidth="1"/>
  </cols>
  <sheetData>
    <row r="1" spans="2:7" x14ac:dyDescent="0.35">
      <c r="G1" s="10" t="str">
        <f>IF(quadratic_start_value&lt;=quadratic_end_value, "OK", "ERROR - ensure end value selected is greater than start value selected")</f>
        <v>OK</v>
      </c>
    </row>
    <row r="2" spans="2:7" ht="26" x14ac:dyDescent="0.6">
      <c r="B2" s="27" t="s">
        <v>24</v>
      </c>
    </row>
    <row r="3" spans="2:7" x14ac:dyDescent="0.35">
      <c r="B3" s="53" t="s">
        <v>37</v>
      </c>
    </row>
    <row r="4" spans="2:7" x14ac:dyDescent="0.35">
      <c r="B4" s="53"/>
    </row>
    <row r="12" spans="2:7" ht="18.5" x14ac:dyDescent="0.35">
      <c r="G12" s="44"/>
    </row>
    <row r="14" spans="2:7" x14ac:dyDescent="0.35">
      <c r="B14" s="31" t="s">
        <v>29</v>
      </c>
    </row>
    <row r="15" spans="2:7" x14ac:dyDescent="0.35">
      <c r="B15" s="30" t="s">
        <v>16</v>
      </c>
      <c r="C15" s="32">
        <v>1.2000000000000002</v>
      </c>
    </row>
    <row r="16" spans="2:7" x14ac:dyDescent="0.35">
      <c r="B16" s="30" t="s">
        <v>17</v>
      </c>
      <c r="C16" s="32">
        <v>3.1</v>
      </c>
    </row>
    <row r="21" spans="14:19" ht="18.5" x14ac:dyDescent="0.45">
      <c r="N21" s="25" t="s">
        <v>15</v>
      </c>
      <c r="O21" s="26"/>
      <c r="P21" s="26"/>
    </row>
    <row r="23" spans="14:19" ht="43.5" x14ac:dyDescent="0.35">
      <c r="N23" s="22" t="s">
        <v>1</v>
      </c>
      <c r="O23" s="22" t="s">
        <v>3</v>
      </c>
      <c r="P23" s="22" t="s">
        <v>27</v>
      </c>
      <c r="Q23" s="22" t="s">
        <v>26</v>
      </c>
      <c r="R23" s="22" t="s">
        <v>4</v>
      </c>
      <c r="S23" s="22" t="s">
        <v>25</v>
      </c>
    </row>
    <row r="24" spans="14:19" x14ac:dyDescent="0.35">
      <c r="N24" s="35">
        <v>1</v>
      </c>
      <c r="O24" s="36">
        <f>(tbl_Quadratic[[#This Row],[x]]^2)/21</f>
        <v>4.7619047619047616E-2</v>
      </c>
      <c r="P24" s="37"/>
      <c r="Q24" s="37">
        <f>SUM($P$24:P24)</f>
        <v>0</v>
      </c>
      <c r="R24" s="36">
        <f>(tbl_Quadratic[[#This Row],[x]]^3/63-1^3/63)</f>
        <v>0</v>
      </c>
      <c r="S24" s="42">
        <f>tbl_Quadratic[[#This Row],[Integral (CDF) by trapezoid rule]]-tbl_Quadratic[[#This Row],[CDF = F(x)]]</f>
        <v>0</v>
      </c>
    </row>
    <row r="25" spans="14:19" x14ac:dyDescent="0.35">
      <c r="N25" s="35">
        <v>1.1000000000000001</v>
      </c>
      <c r="O25" s="36">
        <f>(tbl_Quadratic[[#This Row],[x]]^2)/21</f>
        <v>5.7619047619047625E-2</v>
      </c>
      <c r="P25" s="37">
        <f t="shared" ref="P25:P54" si="0">(O25+O24)/2 * (N25-N24)</f>
        <v>5.2619047619047671E-3</v>
      </c>
      <c r="Q25" s="37">
        <f>SUM($P$24:P25)</f>
        <v>5.2619047619047671E-3</v>
      </c>
      <c r="R25" s="42">
        <f>(tbl_Quadratic[[#This Row],[x]]^3/63-1^3/63)</f>
        <v>5.2539682539682608E-3</v>
      </c>
      <c r="S25" s="42">
        <f>tbl_Quadratic[[#This Row],[Integral (CDF) by trapezoid rule]]-tbl_Quadratic[[#This Row],[CDF = F(x)]]</f>
        <v>7.9365079365062777E-6</v>
      </c>
    </row>
    <row r="26" spans="14:19" x14ac:dyDescent="0.35">
      <c r="N26" s="35">
        <v>1.2000000000000002</v>
      </c>
      <c r="O26" s="36">
        <f>(tbl_Quadratic[[#This Row],[x]]^2)/21</f>
        <v>6.8571428571428589E-2</v>
      </c>
      <c r="P26" s="37">
        <f t="shared" si="0"/>
        <v>6.3095238095238161E-3</v>
      </c>
      <c r="Q26" s="37">
        <f>SUM($P$24:P26)</f>
        <v>1.1571428571428583E-2</v>
      </c>
      <c r="R26" s="42">
        <f>(tbl_Quadratic[[#This Row],[x]]^3/63-1^3/63)</f>
        <v>1.1555555555555565E-2</v>
      </c>
      <c r="S26" s="42">
        <f>tbl_Quadratic[[#This Row],[Integral (CDF) by trapezoid rule]]-tbl_Quadratic[[#This Row],[CDF = F(x)]]</f>
        <v>1.587301587301776E-5</v>
      </c>
    </row>
    <row r="27" spans="14:19" x14ac:dyDescent="0.35">
      <c r="N27" s="35">
        <v>1.3</v>
      </c>
      <c r="O27" s="36">
        <f>(tbl_Quadratic[[#This Row],[x]]^2)/21</f>
        <v>8.0476190476190479E-2</v>
      </c>
      <c r="P27" s="37">
        <f t="shared" si="0"/>
        <v>7.4523809523809438E-3</v>
      </c>
      <c r="Q27" s="37">
        <f>SUM($P$24:P27)</f>
        <v>1.9023809523809526E-2</v>
      </c>
      <c r="R27" s="42">
        <f>(tbl_Quadratic[[#This Row],[x]]^3/63-1^3/63)</f>
        <v>1.900000000000001E-2</v>
      </c>
      <c r="S27" s="42">
        <f>tbl_Quadratic[[#This Row],[Integral (CDF) by trapezoid rule]]-tbl_Quadratic[[#This Row],[CDF = F(x)]]</f>
        <v>2.3809523809516231E-5</v>
      </c>
    </row>
    <row r="28" spans="14:19" x14ac:dyDescent="0.35">
      <c r="N28" s="35">
        <v>1.4</v>
      </c>
      <c r="O28" s="36">
        <f>(tbl_Quadratic[[#This Row],[x]]^2)/21</f>
        <v>9.3333333333333324E-2</v>
      </c>
      <c r="P28" s="37">
        <f t="shared" si="0"/>
        <v>8.690476190476179E-3</v>
      </c>
      <c r="Q28" s="37">
        <f>SUM($P$24:P28)</f>
        <v>2.7714285714285705E-2</v>
      </c>
      <c r="R28" s="42">
        <f>(tbl_Quadratic[[#This Row],[x]]^3/63-1^3/63)</f>
        <v>2.768253968253967E-2</v>
      </c>
      <c r="S28" s="42">
        <f>tbl_Quadratic[[#This Row],[Integral (CDF) by trapezoid rule]]-tbl_Quadratic[[#This Row],[CDF = F(x)]]</f>
        <v>3.1746031746035519E-5</v>
      </c>
    </row>
    <row r="29" spans="14:19" x14ac:dyDescent="0.35">
      <c r="N29" s="35">
        <v>1.5</v>
      </c>
      <c r="O29" s="36">
        <f>(tbl_Quadratic[[#This Row],[x]]^2)/21</f>
        <v>0.10714285714285714</v>
      </c>
      <c r="P29" s="37">
        <f t="shared" si="0"/>
        <v>1.0023809523809532E-2</v>
      </c>
      <c r="Q29" s="37">
        <f>SUM($P$24:P29)</f>
        <v>3.7738095238095237E-2</v>
      </c>
      <c r="R29" s="42">
        <f>(tbl_Quadratic[[#This Row],[x]]^3/63-1^3/63)</f>
        <v>3.7698412698412696E-2</v>
      </c>
      <c r="S29" s="42">
        <f>tbl_Quadratic[[#This Row],[Integral (CDF) by trapezoid rule]]-tbl_Quadratic[[#This Row],[CDF = F(x)]]</f>
        <v>3.9682539682540929E-5</v>
      </c>
    </row>
    <row r="30" spans="14:19" x14ac:dyDescent="0.35">
      <c r="N30" s="35">
        <v>1.6</v>
      </c>
      <c r="O30" s="36">
        <f>(tbl_Quadratic[[#This Row],[x]]^2)/21</f>
        <v>0.12190476190476193</v>
      </c>
      <c r="P30" s="37">
        <f t="shared" si="0"/>
        <v>1.1452380952380962E-2</v>
      </c>
      <c r="Q30" s="37">
        <f>SUM($P$24:P30)</f>
        <v>4.9190476190476201E-2</v>
      </c>
      <c r="R30" s="42">
        <f>(tbl_Quadratic[[#This Row],[x]]^3/63-1^3/63)</f>
        <v>4.9142857142857155E-2</v>
      </c>
      <c r="S30" s="42">
        <f>tbl_Quadratic[[#This Row],[Integral (CDF) by trapezoid rule]]-tbl_Quadratic[[#This Row],[CDF = F(x)]]</f>
        <v>4.761904761904634E-5</v>
      </c>
    </row>
    <row r="31" spans="14:19" x14ac:dyDescent="0.35">
      <c r="N31" s="35">
        <v>1.7</v>
      </c>
      <c r="O31" s="36">
        <f>(tbl_Quadratic[[#This Row],[x]]^2)/21</f>
        <v>0.13761904761904761</v>
      </c>
      <c r="P31" s="37">
        <f t="shared" si="0"/>
        <v>1.2976190476190461E-2</v>
      </c>
      <c r="Q31" s="37">
        <f>SUM($P$24:P31)</f>
        <v>6.2166666666666662E-2</v>
      </c>
      <c r="R31" s="42">
        <f>(tbl_Quadratic[[#This Row],[x]]^3/63-1^3/63)</f>
        <v>6.2111111111111103E-2</v>
      </c>
      <c r="S31" s="42">
        <f>tbl_Quadratic[[#This Row],[Integral (CDF) by trapezoid rule]]-tbl_Quadratic[[#This Row],[CDF = F(x)]]</f>
        <v>5.5555555555558689E-5</v>
      </c>
    </row>
    <row r="32" spans="14:19" x14ac:dyDescent="0.35">
      <c r="N32" s="35">
        <v>1.8</v>
      </c>
      <c r="O32" s="36">
        <f>(tbl_Quadratic[[#This Row],[x]]^2)/21</f>
        <v>0.1542857142857143</v>
      </c>
      <c r="P32" s="37">
        <f t="shared" si="0"/>
        <v>1.4595238095238107E-2</v>
      </c>
      <c r="Q32" s="37">
        <f>SUM($P$24:P32)</f>
        <v>7.6761904761904767E-2</v>
      </c>
      <c r="R32" s="42">
        <f>(tbl_Quadratic[[#This Row],[x]]^3/63-1^3/63)</f>
        <v>7.669841269841271E-2</v>
      </c>
      <c r="S32" s="42">
        <f>tbl_Quadratic[[#This Row],[Integral (CDF) by trapezoid rule]]-tbl_Quadratic[[#This Row],[CDF = F(x)]]</f>
        <v>6.349206349205716E-5</v>
      </c>
    </row>
    <row r="33" spans="14:19" x14ac:dyDescent="0.35">
      <c r="N33" s="35">
        <v>1.9</v>
      </c>
      <c r="O33" s="36">
        <f>(tbl_Quadratic[[#This Row],[x]]^2)/21</f>
        <v>0.17190476190476189</v>
      </c>
      <c r="P33" s="37">
        <f t="shared" si="0"/>
        <v>1.6309523809523788E-2</v>
      </c>
      <c r="Q33" s="37">
        <f>SUM($P$24:P33)</f>
        <v>9.3071428571428555E-2</v>
      </c>
      <c r="R33" s="42">
        <f>(tbl_Quadratic[[#This Row],[x]]^3/63-1^3/63)</f>
        <v>9.2999999999999985E-2</v>
      </c>
      <c r="S33" s="42">
        <f>tbl_Quadratic[[#This Row],[Integral (CDF) by trapezoid rule]]-tbl_Quadratic[[#This Row],[CDF = F(x)]]</f>
        <v>7.1428571428569509E-5</v>
      </c>
    </row>
    <row r="34" spans="14:19" x14ac:dyDescent="0.35">
      <c r="N34" s="35">
        <v>2</v>
      </c>
      <c r="O34" s="36">
        <f>(tbl_Quadratic[[#This Row],[x]]^2)/21</f>
        <v>0.19047619047619047</v>
      </c>
      <c r="P34" s="37">
        <f t="shared" si="0"/>
        <v>1.8119047619047635E-2</v>
      </c>
      <c r="Q34" s="37">
        <f>SUM($P$24:P34)</f>
        <v>0.11119047619047619</v>
      </c>
      <c r="R34" s="42">
        <f>(tbl_Quadratic[[#This Row],[x]]^3/63-1^3/63)</f>
        <v>0.1111111111111111</v>
      </c>
      <c r="S34" s="42">
        <f>tbl_Quadratic[[#This Row],[Integral (CDF) by trapezoid rule]]-tbl_Quadratic[[#This Row],[CDF = F(x)]]</f>
        <v>7.9365079365081859E-5</v>
      </c>
    </row>
    <row r="35" spans="14:19" x14ac:dyDescent="0.35">
      <c r="N35" s="35">
        <v>2.1</v>
      </c>
      <c r="O35" s="36">
        <f>(tbl_Quadratic[[#This Row],[x]]^2)/21</f>
        <v>0.21000000000000002</v>
      </c>
      <c r="P35" s="37">
        <f t="shared" si="0"/>
        <v>2.0023809523809541E-2</v>
      </c>
      <c r="Q35" s="37">
        <f>SUM($P$24:P35)</f>
        <v>0.13121428571428573</v>
      </c>
      <c r="R35" s="42">
        <f>(tbl_Quadratic[[#This Row],[x]]^3/63-1^3/63)</f>
        <v>0.13112698412698415</v>
      </c>
      <c r="S35" s="42">
        <f>tbl_Quadratic[[#This Row],[Integral (CDF) by trapezoid rule]]-tbl_Quadratic[[#This Row],[CDF = F(x)]]</f>
        <v>8.730158730158033E-5</v>
      </c>
    </row>
    <row r="36" spans="14:19" x14ac:dyDescent="0.35">
      <c r="N36" s="35">
        <v>2.2000000000000002</v>
      </c>
      <c r="O36" s="36">
        <f>(tbl_Quadratic[[#This Row],[x]]^2)/21</f>
        <v>0.2304761904761905</v>
      </c>
      <c r="P36" s="37">
        <f t="shared" si="0"/>
        <v>2.2023809523809546E-2</v>
      </c>
      <c r="Q36" s="37">
        <f>SUM($P$24:P36)</f>
        <v>0.15323809523809528</v>
      </c>
      <c r="R36" s="42">
        <f>(tbl_Quadratic[[#This Row],[x]]^3/63-1^3/63)</f>
        <v>0.15314285714285719</v>
      </c>
      <c r="S36" s="42">
        <f>tbl_Quadratic[[#This Row],[Integral (CDF) by trapezoid rule]]-tbl_Quadratic[[#This Row],[CDF = F(x)]]</f>
        <v>9.5238095238092679E-5</v>
      </c>
    </row>
    <row r="37" spans="14:19" x14ac:dyDescent="0.35">
      <c r="N37" s="35">
        <v>2.2999999999999998</v>
      </c>
      <c r="O37" s="36">
        <f>(tbl_Quadratic[[#This Row],[x]]^2)/21</f>
        <v>0.25190476190476185</v>
      </c>
      <c r="P37" s="37">
        <f t="shared" si="0"/>
        <v>2.4119047619047533E-2</v>
      </c>
      <c r="Q37" s="37">
        <f>SUM($P$24:P37)</f>
        <v>0.17735714285714282</v>
      </c>
      <c r="R37" s="42">
        <f>(tbl_Quadratic[[#This Row],[x]]^3/63-1^3/63)</f>
        <v>0.17725396825396819</v>
      </c>
      <c r="S37" s="42">
        <f>tbl_Quadratic[[#This Row],[Integral (CDF) by trapezoid rule]]-tbl_Quadratic[[#This Row],[CDF = F(x)]]</f>
        <v>1.0317460317463278E-4</v>
      </c>
    </row>
    <row r="38" spans="14:19" x14ac:dyDescent="0.35">
      <c r="N38" s="35">
        <v>2.4</v>
      </c>
      <c r="O38" s="36">
        <f>(tbl_Quadratic[[#This Row],[x]]^2)/21</f>
        <v>0.2742857142857143</v>
      </c>
      <c r="P38" s="37">
        <f t="shared" si="0"/>
        <v>2.6309523809523828E-2</v>
      </c>
      <c r="Q38" s="37">
        <f>SUM($P$24:P38)</f>
        <v>0.20366666666666666</v>
      </c>
      <c r="R38" s="42">
        <f>(tbl_Quadratic[[#This Row],[x]]^3/63-1^3/63)</f>
        <v>0.20355555555555555</v>
      </c>
      <c r="S38" s="42">
        <f>tbl_Quadratic[[#This Row],[Integral (CDF) by trapezoid rule]]-tbl_Quadratic[[#This Row],[CDF = F(x)]]</f>
        <v>1.1111111111111738E-4</v>
      </c>
    </row>
    <row r="39" spans="14:19" x14ac:dyDescent="0.35">
      <c r="N39" s="35">
        <v>2.5</v>
      </c>
      <c r="O39" s="36">
        <f>(tbl_Quadratic[[#This Row],[x]]^2)/21</f>
        <v>0.29761904761904762</v>
      </c>
      <c r="P39" s="37">
        <f t="shared" si="0"/>
        <v>2.8595238095238121E-2</v>
      </c>
      <c r="Q39" s="37">
        <f>SUM($P$24:P39)</f>
        <v>0.23226190476190478</v>
      </c>
      <c r="R39" s="42">
        <f>(tbl_Quadratic[[#This Row],[x]]^3/63-1^3/63)</f>
        <v>0.23214285714285715</v>
      </c>
      <c r="S39" s="42">
        <f>tbl_Quadratic[[#This Row],[Integral (CDF) by trapezoid rule]]-tbl_Quadratic[[#This Row],[CDF = F(x)]]</f>
        <v>1.1904761904762973E-4</v>
      </c>
    </row>
    <row r="40" spans="14:19" x14ac:dyDescent="0.35">
      <c r="N40" s="35">
        <v>2.6</v>
      </c>
      <c r="O40" s="36">
        <f>(tbl_Quadratic[[#This Row],[x]]^2)/21</f>
        <v>0.32190476190476192</v>
      </c>
      <c r="P40" s="37">
        <f t="shared" si="0"/>
        <v>3.0976190476190508E-2</v>
      </c>
      <c r="Q40" s="37">
        <f>SUM($P$24:P40)</f>
        <v>0.26323809523809527</v>
      </c>
      <c r="R40" s="42">
        <f>(tbl_Quadratic[[#This Row],[x]]^3/63-1^3/63)</f>
        <v>0.26311111111111118</v>
      </c>
      <c r="S40" s="42">
        <f>tbl_Quadratic[[#This Row],[Integral (CDF) by trapezoid rule]]-tbl_Quadratic[[#This Row],[CDF = F(x)]]</f>
        <v>1.2698412698408656E-4</v>
      </c>
    </row>
    <row r="41" spans="14:19" x14ac:dyDescent="0.35">
      <c r="N41" s="35">
        <v>2.7</v>
      </c>
      <c r="O41" s="36">
        <f>(tbl_Quadratic[[#This Row],[x]]^2)/21</f>
        <v>0.3471428571428572</v>
      </c>
      <c r="P41" s="37">
        <f t="shared" si="0"/>
        <v>3.3452380952380983E-2</v>
      </c>
      <c r="Q41" s="37">
        <f>SUM($P$24:P41)</f>
        <v>0.29669047619047628</v>
      </c>
      <c r="R41" s="42">
        <f>(tbl_Quadratic[[#This Row],[x]]^3/63-1^3/63)</f>
        <v>0.29655555555555563</v>
      </c>
      <c r="S41" s="42">
        <f>tbl_Quadratic[[#This Row],[Integral (CDF) by trapezoid rule]]-tbl_Quadratic[[#This Row],[CDF = F(x)]]</f>
        <v>1.3492063492065443E-4</v>
      </c>
    </row>
    <row r="42" spans="14:19" x14ac:dyDescent="0.35">
      <c r="N42" s="35">
        <v>2.8</v>
      </c>
      <c r="O42" s="36">
        <f>(tbl_Quadratic[[#This Row],[x]]^2)/21</f>
        <v>0.37333333333333329</v>
      </c>
      <c r="P42" s="37">
        <f t="shared" si="0"/>
        <v>3.6023809523809396E-2</v>
      </c>
      <c r="Q42" s="37">
        <f>SUM($P$24:P42)</f>
        <v>0.33271428571428568</v>
      </c>
      <c r="R42" s="42">
        <f>(tbl_Quadratic[[#This Row],[x]]^3/63-1^3/63)</f>
        <v>0.33257142857142846</v>
      </c>
      <c r="S42" s="42">
        <f>tbl_Quadratic[[#This Row],[Integral (CDF) by trapezoid rule]]-tbl_Quadratic[[#This Row],[CDF = F(x)]]</f>
        <v>1.4285714285722229E-4</v>
      </c>
    </row>
    <row r="43" spans="14:19" x14ac:dyDescent="0.35">
      <c r="N43" s="35">
        <v>2.9</v>
      </c>
      <c r="O43" s="36">
        <f>(tbl_Quadratic[[#This Row],[x]]^2)/21</f>
        <v>0.40047619047619049</v>
      </c>
      <c r="P43" s="37">
        <f t="shared" si="0"/>
        <v>3.869047619047622E-2</v>
      </c>
      <c r="Q43" s="37">
        <f>SUM($P$24:P43)</f>
        <v>0.3714047619047619</v>
      </c>
      <c r="R43" s="42">
        <f>(tbl_Quadratic[[#This Row],[x]]^3/63-1^3/63)</f>
        <v>0.37125396825396823</v>
      </c>
      <c r="S43" s="42">
        <f>tbl_Quadratic[[#This Row],[Integral (CDF) by trapezoid rule]]-tbl_Quadratic[[#This Row],[CDF = F(x)]]</f>
        <v>1.5079365079367912E-4</v>
      </c>
    </row>
    <row r="44" spans="14:19" x14ac:dyDescent="0.35">
      <c r="N44" s="35">
        <v>3</v>
      </c>
      <c r="O44" s="36">
        <f>(tbl_Quadratic[[#This Row],[x]]^2)/21</f>
        <v>0.42857142857142855</v>
      </c>
      <c r="P44" s="37">
        <f t="shared" si="0"/>
        <v>4.1452380952380991E-2</v>
      </c>
      <c r="Q44" s="37">
        <f>SUM($P$24:P44)</f>
        <v>0.41285714285714292</v>
      </c>
      <c r="R44" s="42">
        <f>(tbl_Quadratic[[#This Row],[x]]^3/63-1^3/63)</f>
        <v>0.41269841269841268</v>
      </c>
      <c r="S44" s="42">
        <f>tbl_Quadratic[[#This Row],[Integral (CDF) by trapezoid rule]]-tbl_Quadratic[[#This Row],[CDF = F(x)]]</f>
        <v>1.5873015873024698E-4</v>
      </c>
    </row>
    <row r="45" spans="14:19" x14ac:dyDescent="0.35">
      <c r="N45" s="35">
        <v>3.1</v>
      </c>
      <c r="O45" s="36">
        <f>(tbl_Quadratic[[#This Row],[x]]^2)/21</f>
        <v>0.4576190476190477</v>
      </c>
      <c r="P45" s="37">
        <f t="shared" si="0"/>
        <v>4.4309523809523847E-2</v>
      </c>
      <c r="Q45" s="37">
        <f>SUM($P$24:P45)</f>
        <v>0.45716666666666678</v>
      </c>
      <c r="R45" s="42">
        <f>(tbl_Quadratic[[#This Row],[x]]^3/63-1^3/63)</f>
        <v>0.45700000000000007</v>
      </c>
      <c r="S45" s="42">
        <f>tbl_Quadratic[[#This Row],[Integral (CDF) by trapezoid rule]]-tbl_Quadratic[[#This Row],[CDF = F(x)]]</f>
        <v>1.6666666666670382E-4</v>
      </c>
    </row>
    <row r="46" spans="14:19" x14ac:dyDescent="0.35">
      <c r="N46" s="35">
        <v>3.2</v>
      </c>
      <c r="O46" s="36">
        <f>(tbl_Quadratic[[#This Row],[x]]^2)/21</f>
        <v>0.48761904761904773</v>
      </c>
      <c r="P46" s="37">
        <f t="shared" si="0"/>
        <v>4.726190476190481E-2</v>
      </c>
      <c r="Q46" s="37">
        <f>SUM($P$24:P46)</f>
        <v>0.50442857142857156</v>
      </c>
      <c r="R46" s="42">
        <f>(tbl_Quadratic[[#This Row],[x]]^3/63-1^3/63)</f>
        <v>0.5042539682539684</v>
      </c>
      <c r="S46" s="42">
        <f>tbl_Quadratic[[#This Row],[Integral (CDF) by trapezoid rule]]-tbl_Quadratic[[#This Row],[CDF = F(x)]]</f>
        <v>1.7460317460316066E-4</v>
      </c>
    </row>
    <row r="47" spans="14:19" x14ac:dyDescent="0.35">
      <c r="N47" s="35">
        <v>3.3</v>
      </c>
      <c r="O47" s="36">
        <f>(tbl_Quadratic[[#This Row],[x]]^2)/21</f>
        <v>0.51857142857142846</v>
      </c>
      <c r="P47" s="37">
        <f t="shared" si="0"/>
        <v>5.0309523809523624E-2</v>
      </c>
      <c r="Q47" s="37">
        <f>SUM($P$24:P47)</f>
        <v>0.55473809523809514</v>
      </c>
      <c r="R47" s="42">
        <f>(tbl_Quadratic[[#This Row],[x]]^3/63-1^3/63)</f>
        <v>0.55455555555555547</v>
      </c>
      <c r="S47" s="42">
        <f>tbl_Quadratic[[#This Row],[Integral (CDF) by trapezoid rule]]-tbl_Quadratic[[#This Row],[CDF = F(x)]]</f>
        <v>1.8253968253967301E-4</v>
      </c>
    </row>
    <row r="48" spans="14:19" x14ac:dyDescent="0.35">
      <c r="N48" s="35">
        <v>3.4</v>
      </c>
      <c r="O48" s="36">
        <f>(tbl_Quadratic[[#This Row],[x]]^2)/21</f>
        <v>0.55047619047619045</v>
      </c>
      <c r="P48" s="37">
        <f t="shared" si="0"/>
        <v>5.3452380952380987E-2</v>
      </c>
      <c r="Q48" s="37">
        <f>SUM($P$24:P48)</f>
        <v>0.60819047619047617</v>
      </c>
      <c r="R48" s="42">
        <f>(tbl_Quadratic[[#This Row],[x]]^3/63-1^3/63)</f>
        <v>0.60799999999999987</v>
      </c>
      <c r="S48" s="42">
        <f>tbl_Quadratic[[#This Row],[Integral (CDF) by trapezoid rule]]-tbl_Quadratic[[#This Row],[CDF = F(x)]]</f>
        <v>1.9047619047629638E-4</v>
      </c>
    </row>
    <row r="49" spans="7:19" x14ac:dyDescent="0.35">
      <c r="N49" s="35">
        <v>3.5</v>
      </c>
      <c r="O49" s="36">
        <f>(tbl_Quadratic[[#This Row],[x]]^2)/21</f>
        <v>0.58333333333333337</v>
      </c>
      <c r="P49" s="37">
        <f t="shared" si="0"/>
        <v>5.6690476190476242E-2</v>
      </c>
      <c r="Q49" s="37">
        <f>SUM($P$24:P49)</f>
        <v>0.66488095238095246</v>
      </c>
      <c r="R49" s="42">
        <f>(tbl_Quadratic[[#This Row],[x]]^3/63-1^3/63)</f>
        <v>0.66468253968253976</v>
      </c>
      <c r="S49" s="42">
        <f>tbl_Quadratic[[#This Row],[Integral (CDF) by trapezoid rule]]-tbl_Quadratic[[#This Row],[CDF = F(x)]]</f>
        <v>1.9841269841269771E-4</v>
      </c>
    </row>
    <row r="50" spans="7:19" x14ac:dyDescent="0.35">
      <c r="N50" s="35">
        <v>3.6</v>
      </c>
      <c r="O50" s="36">
        <f>(tbl_Quadratic[[#This Row],[x]]^2)/21</f>
        <v>0.61714285714285722</v>
      </c>
      <c r="P50" s="37">
        <f t="shared" si="0"/>
        <v>6.0023809523809576E-2</v>
      </c>
      <c r="Q50" s="37">
        <f>SUM($P$24:P50)</f>
        <v>0.72490476190476205</v>
      </c>
      <c r="R50" s="42">
        <f>(tbl_Quadratic[[#This Row],[x]]^3/63-1^3/63)</f>
        <v>0.72469841269841284</v>
      </c>
      <c r="S50" s="42">
        <f>tbl_Quadratic[[#This Row],[Integral (CDF) by trapezoid rule]]-tbl_Quadratic[[#This Row],[CDF = F(x)]]</f>
        <v>2.0634920634921006E-4</v>
      </c>
    </row>
    <row r="51" spans="7:19" x14ac:dyDescent="0.35">
      <c r="L51" t="s">
        <v>0</v>
      </c>
      <c r="N51" s="35">
        <v>3.7</v>
      </c>
      <c r="O51" s="36">
        <f>(tbl_Quadratic[[#This Row],[x]]^2)/21</f>
        <v>0.65190476190476199</v>
      </c>
      <c r="P51" s="37">
        <f t="shared" si="0"/>
        <v>6.345238095238101E-2</v>
      </c>
      <c r="Q51" s="37">
        <f>SUM($P$24:P51)</f>
        <v>0.78835714285714309</v>
      </c>
      <c r="R51" s="42">
        <f>(tbl_Quadratic[[#This Row],[x]]^3/63-1^3/63)</f>
        <v>0.78814285714285726</v>
      </c>
      <c r="S51" s="42">
        <f>tbl_Quadratic[[#This Row],[Integral (CDF) by trapezoid rule]]-tbl_Quadratic[[#This Row],[CDF = F(x)]]</f>
        <v>2.1428571428583343E-4</v>
      </c>
    </row>
    <row r="52" spans="7:19" x14ac:dyDescent="0.35">
      <c r="N52" s="35">
        <v>3.8</v>
      </c>
      <c r="O52" s="36">
        <f>(tbl_Quadratic[[#This Row],[x]]^2)/21</f>
        <v>0.68761904761904757</v>
      </c>
      <c r="P52" s="37">
        <f t="shared" si="0"/>
        <v>6.6976190476190245E-2</v>
      </c>
      <c r="Q52" s="37">
        <f>SUM($P$24:P52)</f>
        <v>0.85533333333333328</v>
      </c>
      <c r="R52" s="42">
        <f>(tbl_Quadratic[[#This Row],[x]]^3/63-1^3/63)</f>
        <v>0.85511111111111093</v>
      </c>
      <c r="S52" s="42">
        <f>tbl_Quadratic[[#This Row],[Integral (CDF) by trapezoid rule]]-tbl_Quadratic[[#This Row],[CDF = F(x)]]</f>
        <v>2.2222222222234578E-4</v>
      </c>
    </row>
    <row r="53" spans="7:19" x14ac:dyDescent="0.35">
      <c r="N53" s="35">
        <v>3.9</v>
      </c>
      <c r="O53" s="36">
        <f>(tbl_Quadratic[[#This Row],[x]]^2)/21</f>
        <v>0.7242857142857142</v>
      </c>
      <c r="P53" s="37">
        <f t="shared" si="0"/>
        <v>7.0595238095238155E-2</v>
      </c>
      <c r="Q53" s="37">
        <f>SUM($P$24:P53)</f>
        <v>0.92592857142857143</v>
      </c>
      <c r="R53" s="42">
        <f>(tbl_Quadratic[[#This Row],[x]]^3/63-1^3/63)</f>
        <v>0.92569841269841269</v>
      </c>
      <c r="S53" s="42">
        <f>tbl_Quadratic[[#This Row],[Integral (CDF) by trapezoid rule]]-tbl_Quadratic[[#This Row],[CDF = F(x)]]</f>
        <v>2.301587301587471E-4</v>
      </c>
    </row>
    <row r="54" spans="7:19" ht="15" thickBot="1" x14ac:dyDescent="0.4">
      <c r="N54" s="35">
        <v>4</v>
      </c>
      <c r="O54" s="36">
        <f>(tbl_Quadratic[[#This Row],[x]]^2)/21</f>
        <v>0.76190476190476186</v>
      </c>
      <c r="P54" s="37">
        <f t="shared" si="0"/>
        <v>7.4309523809523867E-2</v>
      </c>
      <c r="Q54" s="37">
        <f>SUM($P$24:P54)</f>
        <v>1.0002380952380954</v>
      </c>
      <c r="R54" s="42">
        <f>(tbl_Quadratic[[#This Row],[x]]^3/63-1^3/63)</f>
        <v>1</v>
      </c>
      <c r="S54" s="42">
        <f>tbl_Quadratic[[#This Row],[Integral (CDF) by trapezoid rule]]-tbl_Quadratic[[#This Row],[CDF = F(x)]]</f>
        <v>2.3809523809537048E-4</v>
      </c>
    </row>
    <row r="55" spans="7:19" ht="15" thickBot="1" x14ac:dyDescent="0.4">
      <c r="G55" s="4" t="str">
        <f>"F(" &amp; quadratic_start_value &amp; ") =  P(X &lt;= " &amp; quadratic_start_value &amp; "): "</f>
        <v xml:space="preserve">F(1.2) =  P(X &lt;= 1.2): </v>
      </c>
      <c r="H55" s="29">
        <f>_xlfn.XLOOKUP(quadratic_start_value, tbl_Quadratic[x], tbl_Quadratic[CDF = F(x)])</f>
        <v>1.1555555555555565E-2</v>
      </c>
      <c r="N55" s="38"/>
      <c r="O55" s="38"/>
      <c r="P55" s="41">
        <f>SUBTOTAL(109,tbl_Quadratic[Area of trapazoid])</f>
        <v>1.0002380952380954</v>
      </c>
      <c r="Q55" s="42"/>
      <c r="R55" s="38"/>
      <c r="S55" s="38"/>
    </row>
    <row r="56" spans="7:19" ht="15" thickTop="1" x14ac:dyDescent="0.35">
      <c r="G56" s="4" t="str">
        <f>"F(" &amp; quadratic_end_value &amp; ") =  P(X &lt;= " &amp; quadratic_end_value &amp; "): "</f>
        <v xml:space="preserve">F(3.1) =  P(X &lt;= 3.1): </v>
      </c>
      <c r="H56" s="29">
        <f>_xlfn.XLOOKUP(quadratic_end_value, tbl_Quadratic[x], tbl_Quadratic[CDF = F(x)])</f>
        <v>0.45700000000000007</v>
      </c>
    </row>
    <row r="57" spans="7:19" x14ac:dyDescent="0.35">
      <c r="G57" s="4" t="str">
        <f>"P(" &amp; quadratic_start_value &amp; " &lt;= X &lt;= " &amp; quadratic_end_value &amp; ")"</f>
        <v>P(1.2 &lt;= X &lt;= 3.1)</v>
      </c>
      <c r="H57" s="13">
        <f>H56-H55</f>
        <v>0.44544444444444453</v>
      </c>
    </row>
  </sheetData>
  <conditionalFormatting sqref="G1:J1">
    <cfRule type="expression" dxfId="1" priority="1">
      <formula>NOT(ISERROR(FIND("ERROR", UPPER($G$1))))</formula>
    </cfRule>
  </conditionalFormatting>
  <dataValidations count="1">
    <dataValidation type="list" allowBlank="1" showInputMessage="1" showErrorMessage="1" sqref="C15:C16" xr:uid="{50C288A7-3075-4697-A154-CD7C76D6B9AE}">
      <formula1>quadratic_selector_values</formula1>
    </dataValidation>
  </dataValidations>
  <hyperlinks>
    <hyperlink ref="B3" location="TableOfContents!B3" display="Return to table of contents" xr:uid="{DB0C9F90-F729-4CA3-8B45-0459FC2E6EC8}"/>
  </hyperlink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CC447-6BAF-4077-A6AC-DA9FB7C06D8B}">
  <dimension ref="B2:O70"/>
  <sheetViews>
    <sheetView showGridLines="0" zoomScale="90" zoomScaleNormal="90" workbookViewId="0">
      <selection activeCell="B3" sqref="B3"/>
    </sheetView>
  </sheetViews>
  <sheetFormatPr defaultRowHeight="14.5" x14ac:dyDescent="0.35"/>
  <cols>
    <col min="1" max="1" width="4.54296875" customWidth="1"/>
    <col min="2" max="2" width="12.36328125" customWidth="1"/>
    <col min="5" max="9" width="12.36328125" customWidth="1"/>
    <col min="10" max="10" width="15.26953125" customWidth="1"/>
    <col min="11" max="11" width="12.36328125" customWidth="1"/>
    <col min="12" max="15" width="14.54296875" customWidth="1"/>
    <col min="16" max="16" width="11.453125" customWidth="1"/>
    <col min="17" max="17" width="17.54296875" customWidth="1"/>
    <col min="18" max="18" width="29.26953125" customWidth="1"/>
    <col min="19" max="19" width="11.1796875" customWidth="1"/>
    <col min="20" max="20" width="31.6328125" customWidth="1"/>
  </cols>
  <sheetData>
    <row r="2" spans="2:15" ht="26" x14ac:dyDescent="0.6">
      <c r="B2" s="27" t="s">
        <v>31</v>
      </c>
    </row>
    <row r="3" spans="2:15" x14ac:dyDescent="0.35">
      <c r="B3" s="53" t="s">
        <v>37</v>
      </c>
    </row>
    <row r="4" spans="2:15" ht="13.5" customHeight="1" x14ac:dyDescent="0.35"/>
    <row r="5" spans="2:15" ht="13.5" customHeight="1" x14ac:dyDescent="0.35"/>
    <row r="6" spans="2:15" x14ac:dyDescent="0.35">
      <c r="B6" s="31" t="s">
        <v>28</v>
      </c>
    </row>
    <row r="7" spans="2:15" x14ac:dyDescent="0.35">
      <c r="B7" s="30"/>
      <c r="C7" s="47">
        <v>-2</v>
      </c>
    </row>
    <row r="8" spans="2:15" x14ac:dyDescent="0.35">
      <c r="B8" s="30"/>
      <c r="C8" s="47">
        <v>2</v>
      </c>
    </row>
    <row r="14" spans="2:15" ht="18.5" x14ac:dyDescent="0.45">
      <c r="L14" s="25" t="s">
        <v>15</v>
      </c>
      <c r="M14" s="26"/>
      <c r="N14" s="26"/>
      <c r="O14" s="26"/>
    </row>
    <row r="17" spans="12:15" x14ac:dyDescent="0.35">
      <c r="L17" s="22" t="s">
        <v>1</v>
      </c>
      <c r="M17" s="22" t="s">
        <v>3</v>
      </c>
      <c r="N17" s="22" t="s">
        <v>32</v>
      </c>
      <c r="O17" s="22" t="s">
        <v>33</v>
      </c>
    </row>
    <row r="18" spans="12:15" x14ac:dyDescent="0.35">
      <c r="L18" s="45" cm="1">
        <f t="array" ref="L1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-10</v>
      </c>
      <c r="M18" s="46">
        <f>_xlfn.NORM.DIST(tbl_Normal[[#This Row],[x]], normal_mean, normal_std_dev, FALSE)</f>
        <v>6.6915112882442684E-5</v>
      </c>
      <c r="N18" s="46">
        <f>(
   1/(normal_std_dev*(2*PI())^0.5)
 )
 * EXP(1)^(
    -0.5
    * ((tbl_Normal[[#This Row],[x]]-normal_mean)/normal_std_dev) ^ 2
    )</f>
        <v>6.6915112882442711E-5</v>
      </c>
      <c r="O18" s="46">
        <f>tbl_Normal[[#This Row],[PDF =  f(x)]]-tbl_Normal[[#This Row],[Manual check]]</f>
        <v>0</v>
      </c>
    </row>
    <row r="19" spans="12:15" x14ac:dyDescent="0.35">
      <c r="L19" s="45" cm="1">
        <f t="array" ref="L1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-9.6923076923076916</v>
      </c>
      <c r="M19" s="46">
        <f>_xlfn.NORM.DIST(tbl_Normal[[#This Row],[x]], normal_mean, normal_std_dev, FALSE)</f>
        <v>1.2236093248157518E-4</v>
      </c>
      <c r="N19" s="46">
        <f>(
   1/(normal_std_dev*(2*PI())^0.5)
 )
 * EXP(1)^(
    -0.5
    * ((tbl_Normal[[#This Row],[x]]-normal_mean)/normal_std_dev) ^ 2
    )</f>
        <v>1.2236093248157518E-4</v>
      </c>
      <c r="O19" s="46">
        <f>tbl_Normal[[#This Row],[PDF =  f(x)]]-tbl_Normal[[#This Row],[Manual check]]</f>
        <v>0</v>
      </c>
    </row>
    <row r="20" spans="12:15" x14ac:dyDescent="0.35">
      <c r="L20" s="45" cm="1">
        <f t="array" ref="L2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-9.384615384615385</v>
      </c>
      <c r="M20" s="46">
        <f>_xlfn.NORM.DIST(tbl_Normal[[#This Row],[x]], normal_mean, normal_std_dev, FALSE)</f>
        <v>2.1851546648576144E-4</v>
      </c>
      <c r="N20" s="46">
        <f>(
   1/(normal_std_dev*(2*PI())^0.5)
 )
 * EXP(1)^(
    -0.5
    * ((tbl_Normal[[#This Row],[x]]-normal_mean)/normal_std_dev) ^ 2
    )</f>
        <v>2.1851546648576144E-4</v>
      </c>
      <c r="O20" s="46">
        <f>tbl_Normal[[#This Row],[PDF =  f(x)]]-tbl_Normal[[#This Row],[Manual check]]</f>
        <v>0</v>
      </c>
    </row>
    <row r="21" spans="12:15" x14ac:dyDescent="0.35">
      <c r="L21" s="45" cm="1">
        <f t="array" ref="L2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-9.0769230769230766</v>
      </c>
      <c r="M21" s="46">
        <f>_xlfn.NORM.DIST(tbl_Normal[[#This Row],[x]], normal_mean, normal_std_dev, FALSE)</f>
        <v>3.8110305137855965E-4</v>
      </c>
      <c r="N21" s="46">
        <f>(
   1/(normal_std_dev*(2*PI())^0.5)
 )
 * EXP(1)^(
    -0.5
    * ((tbl_Normal[[#This Row],[x]]-normal_mean)/normal_std_dev) ^ 2
    )</f>
        <v>3.811030513785596E-4</v>
      </c>
      <c r="O21" s="46">
        <f>tbl_Normal[[#This Row],[PDF =  f(x)]]-tbl_Normal[[#This Row],[Manual check]]</f>
        <v>0</v>
      </c>
    </row>
    <row r="22" spans="12:15" x14ac:dyDescent="0.35">
      <c r="L22" s="45" cm="1">
        <f t="array" ref="L2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-8.7692307692307701</v>
      </c>
      <c r="M22" s="46">
        <f>_xlfn.NORM.DIST(tbl_Normal[[#This Row],[x]], normal_mean, normal_std_dev, FALSE)</f>
        <v>6.4911778900623724E-4</v>
      </c>
      <c r="N22" s="46">
        <f>(
   1/(normal_std_dev*(2*PI())^0.5)
 )
 * EXP(1)^(
    -0.5
    * ((tbl_Normal[[#This Row],[x]]-normal_mean)/normal_std_dev) ^ 2
    )</f>
        <v>6.4911778900623724E-4</v>
      </c>
      <c r="O22" s="46">
        <f>tbl_Normal[[#This Row],[PDF =  f(x)]]-tbl_Normal[[#This Row],[Manual check]]</f>
        <v>0</v>
      </c>
    </row>
    <row r="23" spans="12:15" x14ac:dyDescent="0.35">
      <c r="L23" s="45" cm="1">
        <f t="array" ref="L2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-8.4615384615384617</v>
      </c>
      <c r="M23" s="46">
        <f>_xlfn.NORM.DIST(tbl_Normal[[#This Row],[x]], normal_mean, normal_std_dev, FALSE)</f>
        <v>1.0797555295394205E-3</v>
      </c>
      <c r="N23" s="46">
        <f>(
   1/(normal_std_dev*(2*PI())^0.5)
 )
 * EXP(1)^(
    -0.5
    * ((tbl_Normal[[#This Row],[x]]-normal_mean)/normal_std_dev) ^ 2
    )</f>
        <v>1.0797555295394205E-3</v>
      </c>
      <c r="O23" s="46">
        <f>tbl_Normal[[#This Row],[PDF =  f(x)]]-tbl_Normal[[#This Row],[Manual check]]</f>
        <v>0</v>
      </c>
    </row>
    <row r="24" spans="12:15" x14ac:dyDescent="0.35">
      <c r="L24" s="45" cm="1">
        <f t="array" ref="L2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-8.1538461538461533</v>
      </c>
      <c r="M24" s="46">
        <f>_xlfn.NORM.DIST(tbl_Normal[[#This Row],[x]], normal_mean, normal_std_dev, FALSE)</f>
        <v>1.7540751791326886E-3</v>
      </c>
      <c r="N24" s="46">
        <f>(
   1/(normal_std_dev*(2*PI())^0.5)
 )
 * EXP(1)^(
    -0.5
    * ((tbl_Normal[[#This Row],[x]]-normal_mean)/normal_std_dev) ^ 2
    )</f>
        <v>1.7540751791326886E-3</v>
      </c>
      <c r="O24" s="46">
        <f>tbl_Normal[[#This Row],[PDF =  f(x)]]-tbl_Normal[[#This Row],[Manual check]]</f>
        <v>0</v>
      </c>
    </row>
    <row r="25" spans="12:15" x14ac:dyDescent="0.35">
      <c r="L25" s="45" cm="1">
        <f t="array" ref="L2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-7.8461538461538458</v>
      </c>
      <c r="M25" s="46">
        <f>_xlfn.NORM.DIST(tbl_Normal[[#This Row],[x]], normal_mean, normal_std_dev, FALSE)</f>
        <v>2.782862894878578E-3</v>
      </c>
      <c r="N25" s="46">
        <f>(
   1/(normal_std_dev*(2*PI())^0.5)
 )
 * EXP(1)^(
    -0.5
    * ((tbl_Normal[[#This Row],[x]]-normal_mean)/normal_std_dev) ^ 2
    )</f>
        <v>2.782862894878578E-3</v>
      </c>
      <c r="O25" s="46">
        <f>tbl_Normal[[#This Row],[PDF =  f(x)]]-tbl_Normal[[#This Row],[Manual check]]</f>
        <v>0</v>
      </c>
    </row>
    <row r="26" spans="12:15" x14ac:dyDescent="0.35">
      <c r="L26" s="45" cm="1">
        <f t="array" ref="L2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-7.5384615384615383</v>
      </c>
      <c r="M26" s="46">
        <f>_xlfn.NORM.DIST(tbl_Normal[[#This Row],[x]], normal_mean, normal_std_dev, FALSE)</f>
        <v>4.3117766656731544E-3</v>
      </c>
      <c r="N26" s="46">
        <f>(
   1/(normal_std_dev*(2*PI())^0.5)
 )
 * EXP(1)^(
    -0.5
    * ((tbl_Normal[[#This Row],[x]]-normal_mean)/normal_std_dev) ^ 2
    )</f>
        <v>4.3117766656731553E-3</v>
      </c>
      <c r="O26" s="46">
        <f>tbl_Normal[[#This Row],[PDF =  f(x)]]-tbl_Normal[[#This Row],[Manual check]]</f>
        <v>0</v>
      </c>
    </row>
    <row r="27" spans="12:15" x14ac:dyDescent="0.35">
      <c r="L27" s="45" cm="1">
        <f t="array" ref="L2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-7.2307692307692308</v>
      </c>
      <c r="M27" s="46">
        <f>_xlfn.NORM.DIST(tbl_Normal[[#This Row],[x]], normal_mean, normal_std_dev, FALSE)</f>
        <v>6.5244145302758971E-3</v>
      </c>
      <c r="N27" s="46">
        <f>(
   1/(normal_std_dev*(2*PI())^0.5)
 )
 * EXP(1)^(
    -0.5
    * ((tbl_Normal[[#This Row],[x]]-normal_mean)/normal_std_dev) ^ 2
    )</f>
        <v>6.5244145302758988E-3</v>
      </c>
      <c r="O27" s="46">
        <f>tbl_Normal[[#This Row],[PDF =  f(x)]]-tbl_Normal[[#This Row],[Manual check]]</f>
        <v>0</v>
      </c>
    </row>
    <row r="28" spans="12:15" x14ac:dyDescent="0.35">
      <c r="L28" s="45" cm="1">
        <f t="array" ref="L2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-6.9230769230769234</v>
      </c>
      <c r="M28" s="46">
        <f>_xlfn.NORM.DIST(tbl_Normal[[#This Row],[x]], normal_mean, normal_std_dev, FALSE)</f>
        <v>9.6415681485170247E-3</v>
      </c>
      <c r="N28" s="46">
        <f>(
   1/(normal_std_dev*(2*PI())^0.5)
 )
 * EXP(1)^(
    -0.5
    * ((tbl_Normal[[#This Row],[x]]-normal_mean)/normal_std_dev) ^ 2
    )</f>
        <v>9.6415681485170247E-3</v>
      </c>
      <c r="O28" s="46">
        <f>tbl_Normal[[#This Row],[PDF =  f(x)]]-tbl_Normal[[#This Row],[Manual check]]</f>
        <v>0</v>
      </c>
    </row>
    <row r="29" spans="12:15" x14ac:dyDescent="0.35">
      <c r="L29" s="45" cm="1">
        <f t="array" ref="L2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-6.615384615384615</v>
      </c>
      <c r="M29" s="46">
        <f>_xlfn.NORM.DIST(tbl_Normal[[#This Row],[x]], normal_mean, normal_std_dev, FALSE)</f>
        <v>1.3914725553662449E-2</v>
      </c>
      <c r="N29" s="46">
        <f>(
   1/(normal_std_dev*(2*PI())^0.5)
 )
 * EXP(1)^(
    -0.5
    * ((tbl_Normal[[#This Row],[x]]-normal_mean)/normal_std_dev) ^ 2
    )</f>
        <v>1.3914725553662449E-2</v>
      </c>
      <c r="O29" s="46">
        <f>tbl_Normal[[#This Row],[PDF =  f(x)]]-tbl_Normal[[#This Row],[Manual check]]</f>
        <v>0</v>
      </c>
    </row>
    <row r="30" spans="12:15" x14ac:dyDescent="0.35">
      <c r="L30" s="45" cm="1">
        <f t="array" ref="L3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-6.3076923076923075</v>
      </c>
      <c r="M30" s="46">
        <f>_xlfn.NORM.DIST(tbl_Normal[[#This Row],[x]], normal_mean, normal_std_dev, FALSE)</f>
        <v>1.961202577429556E-2</v>
      </c>
      <c r="N30" s="46">
        <f>(
   1/(normal_std_dev*(2*PI())^0.5)
 )
 * EXP(1)^(
    -0.5
    * ((tbl_Normal[[#This Row],[x]]-normal_mean)/normal_std_dev) ^ 2
    )</f>
        <v>1.9612025774295563E-2</v>
      </c>
      <c r="O30" s="46">
        <f>tbl_Normal[[#This Row],[PDF =  f(x)]]-tbl_Normal[[#This Row],[Manual check]]</f>
        <v>0</v>
      </c>
    </row>
    <row r="31" spans="12:15" x14ac:dyDescent="0.35">
      <c r="L31" s="45" cm="1">
        <f t="array" ref="L3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v>
      </c>
      <c r="M31" s="46">
        <f>_xlfn.NORM.DIST(tbl_Normal[[#This Row],[x]], normal_mean, normal_std_dev, FALSE)</f>
        <v>2.6995483256594031E-2</v>
      </c>
      <c r="N31" s="46">
        <f>(
   1/(normal_std_dev*(2*PI())^0.5)
 )
 * EXP(1)^(
    -0.5
    * ((tbl_Normal[[#This Row],[x]]-normal_mean)/normal_std_dev) ^ 2
    )</f>
        <v>2.6995483256594031E-2</v>
      </c>
      <c r="O31" s="46">
        <f>tbl_Normal[[#This Row],[PDF =  f(x)]]-tbl_Normal[[#This Row],[Manual check]]</f>
        <v>0</v>
      </c>
    </row>
    <row r="32" spans="12:15" x14ac:dyDescent="0.35">
      <c r="L32" s="45" cm="1">
        <f t="array" ref="L3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-5.6923076923076916</v>
      </c>
      <c r="M32" s="46">
        <f>_xlfn.NORM.DIST(tbl_Normal[[#This Row],[x]], normal_mean, normal_std_dev, FALSE)</f>
        <v>3.6289467707925648E-2</v>
      </c>
      <c r="N32" s="46">
        <f>(
   1/(normal_std_dev*(2*PI())^0.5)
 )
 * EXP(1)^(
    -0.5
    * ((tbl_Normal[[#This Row],[x]]-normal_mean)/normal_std_dev) ^ 2
    )</f>
        <v>3.6289467707925648E-2</v>
      </c>
      <c r="O32" s="46">
        <f>tbl_Normal[[#This Row],[PDF =  f(x)]]-tbl_Normal[[#This Row],[Manual check]]</f>
        <v>0</v>
      </c>
    </row>
    <row r="33" spans="12:15" x14ac:dyDescent="0.35">
      <c r="L33" s="45" cm="1">
        <f t="array" ref="L3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-5.3846153846153841</v>
      </c>
      <c r="M33" s="46">
        <f>_xlfn.NORM.DIST(tbl_Normal[[#This Row],[x]], normal_mean, normal_std_dev, FALSE)</f>
        <v>4.764210373397422E-2</v>
      </c>
      <c r="N33" s="46">
        <f>(
   1/(normal_std_dev*(2*PI())^0.5)
 )
 * EXP(1)^(
    -0.5
    * ((tbl_Normal[[#This Row],[x]]-normal_mean)/normal_std_dev) ^ 2
    )</f>
        <v>4.764210373397422E-2</v>
      </c>
      <c r="O33" s="46">
        <f>tbl_Normal[[#This Row],[PDF =  f(x)]]-tbl_Normal[[#This Row],[Manual check]]</f>
        <v>0</v>
      </c>
    </row>
    <row r="34" spans="12:15" x14ac:dyDescent="0.35">
      <c r="L34" s="45" cm="1">
        <f t="array" ref="L3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-5.0769230769230766</v>
      </c>
      <c r="M34" s="46">
        <f>_xlfn.NORM.DIST(tbl_Normal[[#This Row],[x]], normal_mean, normal_std_dev, FALSE)</f>
        <v>6.1083245401259548E-2</v>
      </c>
      <c r="N34" s="46">
        <f>(
   1/(normal_std_dev*(2*PI())^0.5)
 )
 * EXP(1)^(
    -0.5
    * ((tbl_Normal[[#This Row],[x]]-normal_mean)/normal_std_dev) ^ 2
    )</f>
        <v>6.1083245401259548E-2</v>
      </c>
      <c r="O34" s="46">
        <f>tbl_Normal[[#This Row],[PDF =  f(x)]]-tbl_Normal[[#This Row],[Manual check]]</f>
        <v>0</v>
      </c>
    </row>
    <row r="35" spans="12:15" x14ac:dyDescent="0.35">
      <c r="L35" s="45" cm="1">
        <f t="array" ref="L3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-4.7692307692307692</v>
      </c>
      <c r="M35" s="46">
        <f>_xlfn.NORM.DIST(tbl_Normal[[#This Row],[x]], normal_mean, normal_std_dev, FALSE)</f>
        <v>7.6484620664824546E-2</v>
      </c>
      <c r="N35" s="46">
        <f>(
   1/(normal_std_dev*(2*PI())^0.5)
 )
 * EXP(1)^(
    -0.5
    * ((tbl_Normal[[#This Row],[x]]-normal_mean)/normal_std_dev) ^ 2
    )</f>
        <v>7.6484620664824546E-2</v>
      </c>
      <c r="O35" s="46">
        <f>tbl_Normal[[#This Row],[PDF =  f(x)]]-tbl_Normal[[#This Row],[Manual check]]</f>
        <v>0</v>
      </c>
    </row>
    <row r="36" spans="12:15" x14ac:dyDescent="0.35">
      <c r="L36" s="45" cm="1">
        <f t="array" ref="L3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-4.4615384615384617</v>
      </c>
      <c r="M36" s="46">
        <f>_xlfn.NORM.DIST(tbl_Normal[[#This Row],[x]], normal_mean, normal_std_dev, FALSE)</f>
        <v>9.3529146548902625E-2</v>
      </c>
      <c r="N36" s="46">
        <f>(
   1/(normal_std_dev*(2*PI())^0.5)
 )
 * EXP(1)^(
    -0.5
    * ((tbl_Normal[[#This Row],[x]]-normal_mean)/normal_std_dev) ^ 2
    )</f>
        <v>9.3529146548902625E-2</v>
      </c>
      <c r="O36" s="46">
        <f>tbl_Normal[[#This Row],[PDF =  f(x)]]-tbl_Normal[[#This Row],[Manual check]]</f>
        <v>0</v>
      </c>
    </row>
    <row r="37" spans="12:15" x14ac:dyDescent="0.35">
      <c r="L37" s="45" cm="1">
        <f t="array" ref="L3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-4.1538461538461533</v>
      </c>
      <c r="M37" s="46">
        <f>_xlfn.NORM.DIST(tbl_Normal[[#This Row],[x]], normal_mean, normal_std_dev, FALSE)</f>
        <v>0.11169678334742959</v>
      </c>
      <c r="N37" s="46">
        <f>(
   1/(normal_std_dev*(2*PI())^0.5)
 )
 * EXP(1)^(
    -0.5
    * ((tbl_Normal[[#This Row],[x]]-normal_mean)/normal_std_dev) ^ 2
    )</f>
        <v>0.11169678334742959</v>
      </c>
      <c r="O37" s="46">
        <f>tbl_Normal[[#This Row],[PDF =  f(x)]]-tbl_Normal[[#This Row],[Manual check]]</f>
        <v>0</v>
      </c>
    </row>
    <row r="38" spans="12:15" x14ac:dyDescent="0.35">
      <c r="L38" s="45" cm="1">
        <f t="array" ref="L3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-3.8461538461538458</v>
      </c>
      <c r="M38" s="46">
        <f>_xlfn.NORM.DIST(tbl_Normal[[#This Row],[x]], normal_mean, normal_std_dev, FALSE)</f>
        <v>0.13027323627911758</v>
      </c>
      <c r="N38" s="46">
        <f>(
   1/(normal_std_dev*(2*PI())^0.5)
 )
 * EXP(1)^(
    -0.5
    * ((tbl_Normal[[#This Row],[x]]-normal_mean)/normal_std_dev) ^ 2
    )</f>
        <v>0.13027323627911758</v>
      </c>
      <c r="O38" s="46">
        <f>tbl_Normal[[#This Row],[PDF =  f(x)]]-tbl_Normal[[#This Row],[Manual check]]</f>
        <v>0</v>
      </c>
    </row>
    <row r="39" spans="12:15" x14ac:dyDescent="0.35">
      <c r="L39" s="45" cm="1">
        <f t="array" ref="L3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-3.5384615384615383</v>
      </c>
      <c r="M39" s="46">
        <f>_xlfn.NORM.DIST(tbl_Normal[[#This Row],[x]], normal_mean, normal_std_dev, FALSE)</f>
        <v>0.14838519729199867</v>
      </c>
      <c r="N39" s="46">
        <f>(
   1/(normal_std_dev*(2*PI())^0.5)
 )
 * EXP(1)^(
    -0.5
    * ((tbl_Normal[[#This Row],[x]]-normal_mean)/normal_std_dev) ^ 2
    )</f>
        <v>0.14838519729199867</v>
      </c>
      <c r="O39" s="46">
        <f>tbl_Normal[[#This Row],[PDF =  f(x)]]-tbl_Normal[[#This Row],[Manual check]]</f>
        <v>0</v>
      </c>
    </row>
    <row r="40" spans="12:15" x14ac:dyDescent="0.35">
      <c r="L40" s="45" cm="1">
        <f t="array" ref="L4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-3.2307692307692299</v>
      </c>
      <c r="M40" s="46">
        <f>_xlfn.NORM.DIST(tbl_Normal[[#This Row],[x]], normal_mean, normal_std_dev, FALSE)</f>
        <v>0.16506188311870554</v>
      </c>
      <c r="N40" s="46">
        <f>(
   1/(normal_std_dev*(2*PI())^0.5)
 )
 * EXP(1)^(
    -0.5
    * ((tbl_Normal[[#This Row],[x]]-normal_mean)/normal_std_dev) ^ 2
    )</f>
        <v>0.16506188311870554</v>
      </c>
      <c r="O40" s="46">
        <f>tbl_Normal[[#This Row],[PDF =  f(x)]]-tbl_Normal[[#This Row],[Manual check]]</f>
        <v>0</v>
      </c>
    </row>
    <row r="41" spans="12:15" x14ac:dyDescent="0.35">
      <c r="L41" s="45" cm="1">
        <f t="array" ref="L4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-2.9230769230769225</v>
      </c>
      <c r="M41" s="46">
        <f>_xlfn.NORM.DIST(tbl_Normal[[#This Row],[x]], normal_mean, normal_std_dev, FALSE)</f>
        <v>0.17931798628189161</v>
      </c>
      <c r="N41" s="46">
        <f>(
   1/(normal_std_dev*(2*PI())^0.5)
 )
 * EXP(1)^(
    -0.5
    * ((tbl_Normal[[#This Row],[x]]-normal_mean)/normal_std_dev) ^ 2
    )</f>
        <v>0.17931798628189163</v>
      </c>
      <c r="O41" s="46">
        <f>tbl_Normal[[#This Row],[PDF =  f(x)]]-tbl_Normal[[#This Row],[Manual check]]</f>
        <v>0</v>
      </c>
    </row>
    <row r="42" spans="12:15" x14ac:dyDescent="0.35">
      <c r="L42" s="45" cm="1">
        <f t="array" ref="L4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-2.615384615384615</v>
      </c>
      <c r="M42" s="46">
        <f>_xlfn.NORM.DIST(tbl_Normal[[#This Row],[x]], normal_mean, normal_std_dev, FALSE)</f>
        <v>0.1902487234970256</v>
      </c>
      <c r="N42" s="46">
        <f>(
   1/(normal_std_dev*(2*PI())^0.5)
 )
 * EXP(1)^(
    -0.5
    * ((tbl_Normal[[#This Row],[x]]-normal_mean)/normal_std_dev) ^ 2
    )</f>
        <v>0.1902487234970256</v>
      </c>
      <c r="O42" s="46">
        <f>tbl_Normal[[#This Row],[PDF =  f(x)]]-tbl_Normal[[#This Row],[Manual check]]</f>
        <v>0</v>
      </c>
    </row>
    <row r="43" spans="12:15" x14ac:dyDescent="0.35">
      <c r="L43" s="45" cm="1">
        <f t="array" ref="L4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-2.3076923076923075</v>
      </c>
      <c r="M43" s="46">
        <f>_xlfn.NORM.DIST(tbl_Normal[[#This Row],[x]], normal_mean, normal_std_dev, FALSE)</f>
        <v>0.19712444813113827</v>
      </c>
      <c r="N43" s="46">
        <f>(
   1/(normal_std_dev*(2*PI())^0.5)
 )
 * EXP(1)^(
    -0.5
    * ((tbl_Normal[[#This Row],[x]]-normal_mean)/normal_std_dev) ^ 2
    )</f>
        <v>0.19712444813113827</v>
      </c>
      <c r="O43" s="46">
        <f>tbl_Normal[[#This Row],[PDF =  f(x)]]-tbl_Normal[[#This Row],[Manual check]]</f>
        <v>0</v>
      </c>
    </row>
    <row r="44" spans="12:15" x14ac:dyDescent="0.35">
      <c r="L44" s="45" cm="1">
        <f t="array" ref="L4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v>
      </c>
      <c r="M44" s="46">
        <f>_xlfn.NORM.DIST(tbl_Normal[[#This Row],[x]], normal_mean, normal_std_dev, FALSE)</f>
        <v>0.19947114020071635</v>
      </c>
      <c r="N44" s="46">
        <f>(
   1/(normal_std_dev*(2*PI())^0.5)
 )
 * EXP(1)^(
    -0.5
    * ((tbl_Normal[[#This Row],[x]]-normal_mean)/normal_std_dev) ^ 2
    )</f>
        <v>0.19947114020071635</v>
      </c>
      <c r="O44" s="46">
        <f>tbl_Normal[[#This Row],[PDF =  f(x)]]-tbl_Normal[[#This Row],[Manual check]]</f>
        <v>0</v>
      </c>
    </row>
    <row r="45" spans="12:15" x14ac:dyDescent="0.35">
      <c r="L45" s="45" cm="1">
        <f t="array" ref="L4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-1.6923076923076916</v>
      </c>
      <c r="M45" s="46">
        <f>_xlfn.NORM.DIST(tbl_Normal[[#This Row],[x]], normal_mean, normal_std_dev, FALSE)</f>
        <v>0.19712444813113827</v>
      </c>
      <c r="N45" s="46">
        <f>(
   1/(normal_std_dev*(2*PI())^0.5)
 )
 * EXP(1)^(
    -0.5
    * ((tbl_Normal[[#This Row],[x]]-normal_mean)/normal_std_dev) ^ 2
    )</f>
        <v>0.19712444813113827</v>
      </c>
      <c r="O45" s="46">
        <f>tbl_Normal[[#This Row],[PDF =  f(x)]]-tbl_Normal[[#This Row],[Manual check]]</f>
        <v>0</v>
      </c>
    </row>
    <row r="46" spans="12:15" x14ac:dyDescent="0.35">
      <c r="L46" s="45" cm="1">
        <f t="array" ref="L4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-1.3846153846153832</v>
      </c>
      <c r="M46" s="46">
        <f>_xlfn.NORM.DIST(tbl_Normal[[#This Row],[x]], normal_mean, normal_std_dev, FALSE)</f>
        <v>0.19024872349702554</v>
      </c>
      <c r="N46" s="46">
        <f>(
   1/(normal_std_dev*(2*PI())^0.5)
 )
 * EXP(1)^(
    -0.5
    * ((tbl_Normal[[#This Row],[x]]-normal_mean)/normal_std_dev) ^ 2
    )</f>
        <v>0.19024872349702554</v>
      </c>
      <c r="O46" s="46">
        <f>tbl_Normal[[#This Row],[PDF =  f(x)]]-tbl_Normal[[#This Row],[Manual check]]</f>
        <v>0</v>
      </c>
    </row>
    <row r="47" spans="12:15" x14ac:dyDescent="0.35">
      <c r="L47" s="45" cm="1">
        <f t="array" ref="L4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-1.0769230769230766</v>
      </c>
      <c r="M47" s="46">
        <f>_xlfn.NORM.DIST(tbl_Normal[[#This Row],[x]], normal_mean, normal_std_dev, FALSE)</f>
        <v>0.17931798628189158</v>
      </c>
      <c r="N47" s="46">
        <f>(
   1/(normal_std_dev*(2*PI())^0.5)
 )
 * EXP(1)^(
    -0.5
    * ((tbl_Normal[[#This Row],[x]]-normal_mean)/normal_std_dev) ^ 2
    )</f>
        <v>0.17931798628189158</v>
      </c>
      <c r="O47" s="46">
        <f>tbl_Normal[[#This Row],[PDF =  f(x)]]-tbl_Normal[[#This Row],[Manual check]]</f>
        <v>0</v>
      </c>
    </row>
    <row r="48" spans="12:15" x14ac:dyDescent="0.35">
      <c r="L48" s="45" cm="1">
        <f t="array" ref="L4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-0.76923076923076827</v>
      </c>
      <c r="M48" s="46">
        <f>_xlfn.NORM.DIST(tbl_Normal[[#This Row],[x]], normal_mean, normal_std_dev, FALSE)</f>
        <v>0.16506188311870545</v>
      </c>
      <c r="N48" s="46">
        <f>(
   1/(normal_std_dev*(2*PI())^0.5)
 )
 * EXP(1)^(
    -0.5
    * ((tbl_Normal[[#This Row],[x]]-normal_mean)/normal_std_dev) ^ 2
    )</f>
        <v>0.16506188311870545</v>
      </c>
      <c r="O48" s="46">
        <f>tbl_Normal[[#This Row],[PDF =  f(x)]]-tbl_Normal[[#This Row],[Manual check]]</f>
        <v>0</v>
      </c>
    </row>
    <row r="49" spans="12:15" x14ac:dyDescent="0.35">
      <c r="L49" s="45" cm="1">
        <f t="array" ref="L4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-0.46153846153846168</v>
      </c>
      <c r="M49" s="46">
        <f>_xlfn.NORM.DIST(tbl_Normal[[#This Row],[x]], normal_mean, normal_std_dev, FALSE)</f>
        <v>0.14838519729199867</v>
      </c>
      <c r="N49" s="46">
        <f>(
   1/(normal_std_dev*(2*PI())^0.5)
 )
 * EXP(1)^(
    -0.5
    * ((tbl_Normal[[#This Row],[x]]-normal_mean)/normal_std_dev) ^ 2
    )</f>
        <v>0.14838519729199867</v>
      </c>
      <c r="O49" s="46">
        <f>tbl_Normal[[#This Row],[PDF =  f(x)]]-tbl_Normal[[#This Row],[Manual check]]</f>
        <v>0</v>
      </c>
    </row>
    <row r="50" spans="12:15" x14ac:dyDescent="0.35">
      <c r="L50" s="45" cm="1">
        <f t="array" ref="L5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-0.1538461538461533</v>
      </c>
      <c r="M50" s="46">
        <f>_xlfn.NORM.DIST(tbl_Normal[[#This Row],[x]], normal_mean, normal_std_dev, FALSE)</f>
        <v>0.13027323627911752</v>
      </c>
      <c r="N50" s="46">
        <f>(
   1/(normal_std_dev*(2*PI())^0.5)
 )
 * EXP(1)^(
    -0.5
    * ((tbl_Normal[[#This Row],[x]]-normal_mean)/normal_std_dev) ^ 2
    )</f>
        <v>0.13027323627911752</v>
      </c>
      <c r="O50" s="46">
        <f>tbl_Normal[[#This Row],[PDF =  f(x)]]-tbl_Normal[[#This Row],[Manual check]]</f>
        <v>0</v>
      </c>
    </row>
    <row r="51" spans="12:15" x14ac:dyDescent="0.35">
      <c r="L51" s="45" cm="1">
        <f t="array" ref="L5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0.15384615384615508</v>
      </c>
      <c r="M51" s="46">
        <f>_xlfn.NORM.DIST(tbl_Normal[[#This Row],[x]], normal_mean, normal_std_dev, FALSE)</f>
        <v>0.1116967833474295</v>
      </c>
      <c r="N51" s="46">
        <f>(
   1/(normal_std_dev*(2*PI())^0.5)
 )
 * EXP(1)^(
    -0.5
    * ((tbl_Normal[[#This Row],[x]]-normal_mean)/normal_std_dev) ^ 2
    )</f>
        <v>0.1116967833474295</v>
      </c>
      <c r="O51" s="46">
        <f>tbl_Normal[[#This Row],[PDF =  f(x)]]-tbl_Normal[[#This Row],[Manual check]]</f>
        <v>0</v>
      </c>
    </row>
    <row r="52" spans="12:15" x14ac:dyDescent="0.35">
      <c r="L52" s="45" cm="1">
        <f t="array" ref="L5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0.46153846153846168</v>
      </c>
      <c r="M52" s="46">
        <f>_xlfn.NORM.DIST(tbl_Normal[[#This Row],[x]], normal_mean, normal_std_dev, FALSE)</f>
        <v>9.3529146548902625E-2</v>
      </c>
      <c r="N52" s="46">
        <f>(
   1/(normal_std_dev*(2*PI())^0.5)
 )
 * EXP(1)^(
    -0.5
    * ((tbl_Normal[[#This Row],[x]]-normal_mean)/normal_std_dev) ^ 2
    )</f>
        <v>9.3529146548902625E-2</v>
      </c>
      <c r="O52" s="46">
        <f>tbl_Normal[[#This Row],[PDF =  f(x)]]-tbl_Normal[[#This Row],[Manual check]]</f>
        <v>0</v>
      </c>
    </row>
    <row r="53" spans="12:15" x14ac:dyDescent="0.35">
      <c r="L53" s="45" cm="1">
        <f t="array" ref="L5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0.76923076923077005</v>
      </c>
      <c r="M53" s="46">
        <f>_xlfn.NORM.DIST(tbl_Normal[[#This Row],[x]], normal_mean, normal_std_dev, FALSE)</f>
        <v>7.6484620664824504E-2</v>
      </c>
      <c r="N53" s="46">
        <f>(
   1/(normal_std_dev*(2*PI())^0.5)
 )
 * EXP(1)^(
    -0.5
    * ((tbl_Normal[[#This Row],[x]]-normal_mean)/normal_std_dev) ^ 2
    )</f>
        <v>7.648462066482449E-2</v>
      </c>
      <c r="O53" s="46">
        <f>tbl_Normal[[#This Row],[PDF =  f(x)]]-tbl_Normal[[#This Row],[Manual check]]</f>
        <v>0</v>
      </c>
    </row>
    <row r="54" spans="12:15" x14ac:dyDescent="0.35">
      <c r="L54" s="45" cm="1">
        <f t="array" ref="L5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1.0769230769230766</v>
      </c>
      <c r="M54" s="46">
        <f>_xlfn.NORM.DIST(tbl_Normal[[#This Row],[x]], normal_mean, normal_std_dev, FALSE)</f>
        <v>6.1083245401259548E-2</v>
      </c>
      <c r="N54" s="46">
        <f>(
   1/(normal_std_dev*(2*PI())^0.5)
 )
 * EXP(1)^(
    -0.5
    * ((tbl_Normal[[#This Row],[x]]-normal_mean)/normal_std_dev) ^ 2
    )</f>
        <v>6.1083245401259548E-2</v>
      </c>
      <c r="O54" s="46">
        <f>tbl_Normal[[#This Row],[PDF =  f(x)]]-tbl_Normal[[#This Row],[Manual check]]</f>
        <v>0</v>
      </c>
    </row>
    <row r="55" spans="12:15" x14ac:dyDescent="0.35">
      <c r="L55" s="45" cm="1">
        <f t="array" ref="L5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1.384615384615385</v>
      </c>
      <c r="M55" s="46">
        <f>_xlfn.NORM.DIST(tbl_Normal[[#This Row],[x]], normal_mean, normal_std_dev, FALSE)</f>
        <v>4.7642103733974178E-2</v>
      </c>
      <c r="N55" s="46">
        <f>(
   1/(normal_std_dev*(2*PI())^0.5)
 )
 * EXP(1)^(
    -0.5
    * ((tbl_Normal[[#This Row],[x]]-normal_mean)/normal_std_dev) ^ 2
    )</f>
        <v>4.7642103733974178E-2</v>
      </c>
      <c r="O55" s="46">
        <f>tbl_Normal[[#This Row],[PDF =  f(x)]]-tbl_Normal[[#This Row],[Manual check]]</f>
        <v>0</v>
      </c>
    </row>
    <row r="56" spans="12:15" x14ac:dyDescent="0.35">
      <c r="L56" s="45" cm="1">
        <f t="array" ref="L5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1.6923076923076934</v>
      </c>
      <c r="M56" s="46">
        <f>_xlfn.NORM.DIST(tbl_Normal[[#This Row],[x]], normal_mean, normal_std_dev, FALSE)</f>
        <v>3.6289467707925585E-2</v>
      </c>
      <c r="N56" s="46">
        <f>(
   1/(normal_std_dev*(2*PI())^0.5)
 )
 * EXP(1)^(
    -0.5
    * ((tbl_Normal[[#This Row],[x]]-normal_mean)/normal_std_dev) ^ 2
    )</f>
        <v>3.6289467707925585E-2</v>
      </c>
      <c r="O56" s="46">
        <f>tbl_Normal[[#This Row],[PDF =  f(x)]]-tbl_Normal[[#This Row],[Manual check]]</f>
        <v>0</v>
      </c>
    </row>
    <row r="57" spans="12:15" x14ac:dyDescent="0.35">
      <c r="L57" s="45" cm="1">
        <f t="array" ref="L5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v>
      </c>
      <c r="M57" s="46">
        <f>_xlfn.NORM.DIST(tbl_Normal[[#This Row],[x]], normal_mean, normal_std_dev, FALSE)</f>
        <v>2.6995483256594031E-2</v>
      </c>
      <c r="N57" s="46">
        <f>(
   1/(normal_std_dev*(2*PI())^0.5)
 )
 * EXP(1)^(
    -0.5
    * ((tbl_Normal[[#This Row],[x]]-normal_mean)/normal_std_dev) ^ 2
    )</f>
        <v>2.6995483256594031E-2</v>
      </c>
      <c r="O57" s="46">
        <f>tbl_Normal[[#This Row],[PDF =  f(x)]]-tbl_Normal[[#This Row],[Manual check]]</f>
        <v>0</v>
      </c>
    </row>
    <row r="58" spans="12:15" x14ac:dyDescent="0.35">
      <c r="L58" s="45" cm="1">
        <f t="array" ref="L5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2.3076923076923084</v>
      </c>
      <c r="M58" s="46">
        <f>_xlfn.NORM.DIST(tbl_Normal[[#This Row],[x]], normal_mean, normal_std_dev, FALSE)</f>
        <v>1.9612025774295543E-2</v>
      </c>
      <c r="N58" s="46">
        <f>(
   1/(normal_std_dev*(2*PI())^0.5)
 )
 * EXP(1)^(
    -0.5
    * ((tbl_Normal[[#This Row],[x]]-normal_mean)/normal_std_dev) ^ 2
    )</f>
        <v>1.9612025774295543E-2</v>
      </c>
      <c r="O58" s="46">
        <f>tbl_Normal[[#This Row],[PDF =  f(x)]]-tbl_Normal[[#This Row],[Manual check]]</f>
        <v>0</v>
      </c>
    </row>
    <row r="59" spans="12:15" x14ac:dyDescent="0.35">
      <c r="L59" s="45" cm="1">
        <f t="array" ref="L5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2.6153846153846168</v>
      </c>
      <c r="M59" s="46">
        <f>_xlfn.NORM.DIST(tbl_Normal[[#This Row],[x]], normal_mean, normal_std_dev, FALSE)</f>
        <v>1.3914725553662417E-2</v>
      </c>
      <c r="N59" s="46">
        <f>(
   1/(normal_std_dev*(2*PI())^0.5)
 )
 * EXP(1)^(
    -0.5
    * ((tbl_Normal[[#This Row],[x]]-normal_mean)/normal_std_dev) ^ 2
    )</f>
        <v>1.3914725553662417E-2</v>
      </c>
      <c r="O59" s="46">
        <f>tbl_Normal[[#This Row],[PDF =  f(x)]]-tbl_Normal[[#This Row],[Manual check]]</f>
        <v>0</v>
      </c>
    </row>
    <row r="60" spans="12:15" x14ac:dyDescent="0.35">
      <c r="L60" s="45" cm="1">
        <f t="array" ref="L6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2.9230769230769234</v>
      </c>
      <c r="M60" s="46">
        <f>_xlfn.NORM.DIST(tbl_Normal[[#This Row],[x]], normal_mean, normal_std_dev, FALSE)</f>
        <v>9.6415681485170247E-3</v>
      </c>
      <c r="N60" s="46">
        <f>(
   1/(normal_std_dev*(2*PI())^0.5)
 )
 * EXP(1)^(
    -0.5
    * ((tbl_Normal[[#This Row],[x]]-normal_mean)/normal_std_dev) ^ 2
    )</f>
        <v>9.6415681485170247E-3</v>
      </c>
      <c r="O60" s="46">
        <f>tbl_Normal[[#This Row],[PDF =  f(x)]]-tbl_Normal[[#This Row],[Manual check]]</f>
        <v>0</v>
      </c>
    </row>
    <row r="61" spans="12:15" x14ac:dyDescent="0.35">
      <c r="L61" s="45" cm="1">
        <f t="array" ref="L6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3.2307692307692317</v>
      </c>
      <c r="M61" s="46">
        <f>_xlfn.NORM.DIST(tbl_Normal[[#This Row],[x]], normal_mean, normal_std_dev, FALSE)</f>
        <v>6.5244145302758919E-3</v>
      </c>
      <c r="N61" s="46">
        <f>(
   1/(normal_std_dev*(2*PI())^0.5)
 )
 * EXP(1)^(
    -0.5
    * ((tbl_Normal[[#This Row],[x]]-normal_mean)/normal_std_dev) ^ 2
    )</f>
        <v>6.5244145302758919E-3</v>
      </c>
      <c r="O61" s="46">
        <f>tbl_Normal[[#This Row],[PDF =  f(x)]]-tbl_Normal[[#This Row],[Manual check]]</f>
        <v>0</v>
      </c>
    </row>
    <row r="62" spans="12:15" x14ac:dyDescent="0.35">
      <c r="L62" s="45" cm="1">
        <f t="array" ref="L6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3.5384615384615401</v>
      </c>
      <c r="M62" s="46">
        <f>_xlfn.NORM.DIST(tbl_Normal[[#This Row],[x]], normal_mean, normal_std_dev, FALSE)</f>
        <v>4.311776665673144E-3</v>
      </c>
      <c r="N62" s="46">
        <f>(
   1/(normal_std_dev*(2*PI())^0.5)
 )
 * EXP(1)^(
    -0.5
    * ((tbl_Normal[[#This Row],[x]]-normal_mean)/normal_std_dev) ^ 2
    )</f>
        <v>4.3117766656731431E-3</v>
      </c>
      <c r="O62" s="46">
        <f>tbl_Normal[[#This Row],[PDF =  f(x)]]-tbl_Normal[[#This Row],[Manual check]]</f>
        <v>0</v>
      </c>
    </row>
    <row r="63" spans="12:15" x14ac:dyDescent="0.35">
      <c r="L63" s="45" cm="1">
        <f t="array" ref="L6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3.8461538461538467</v>
      </c>
      <c r="M63" s="46">
        <f>_xlfn.NORM.DIST(tbl_Normal[[#This Row],[x]], normal_mean, normal_std_dev, FALSE)</f>
        <v>2.7828628948785732E-3</v>
      </c>
      <c r="N63" s="46">
        <f>(
   1/(normal_std_dev*(2*PI())^0.5)
 )
 * EXP(1)^(
    -0.5
    * ((tbl_Normal[[#This Row],[x]]-normal_mean)/normal_std_dev) ^ 2
    )</f>
        <v>2.7828628948785728E-3</v>
      </c>
      <c r="O63" s="46">
        <f>tbl_Normal[[#This Row],[PDF =  f(x)]]-tbl_Normal[[#This Row],[Manual check]]</f>
        <v>0</v>
      </c>
    </row>
    <row r="64" spans="12:15" x14ac:dyDescent="0.35">
      <c r="L64" s="45" cm="1">
        <f t="array" ref="L6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4.1538461538461551</v>
      </c>
      <c r="M64" s="46">
        <f>_xlfn.NORM.DIST(tbl_Normal[[#This Row],[x]], normal_mean, normal_std_dev, FALSE)</f>
        <v>1.7540751791326841E-3</v>
      </c>
      <c r="N64" s="46">
        <f>(
   1/(normal_std_dev*(2*PI())^0.5)
 )
 * EXP(1)^(
    -0.5
    * ((tbl_Normal[[#This Row],[x]]-normal_mean)/normal_std_dev) ^ 2
    )</f>
        <v>1.7540751791326841E-3</v>
      </c>
      <c r="O64" s="46">
        <f>tbl_Normal[[#This Row],[PDF =  f(x)]]-tbl_Normal[[#This Row],[Manual check]]</f>
        <v>0</v>
      </c>
    </row>
    <row r="65" spans="12:15" x14ac:dyDescent="0.35">
      <c r="L65" s="45" cm="1">
        <f t="array" ref="L6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4.4615384615384617</v>
      </c>
      <c r="M65" s="46">
        <f>_xlfn.NORM.DIST(tbl_Normal[[#This Row],[x]], normal_mean, normal_std_dev, FALSE)</f>
        <v>1.0797555295394205E-3</v>
      </c>
      <c r="N65" s="46">
        <f>(
   1/(normal_std_dev*(2*PI())^0.5)
 )
 * EXP(1)^(
    -0.5
    * ((tbl_Normal[[#This Row],[x]]-normal_mean)/normal_std_dev) ^ 2
    )</f>
        <v>1.0797555295394205E-3</v>
      </c>
      <c r="O65" s="46">
        <f>tbl_Normal[[#This Row],[PDF =  f(x)]]-tbl_Normal[[#This Row],[Manual check]]</f>
        <v>0</v>
      </c>
    </row>
    <row r="66" spans="12:15" x14ac:dyDescent="0.35">
      <c r="L66" s="45" cm="1">
        <f t="array" ref="L6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4.7692307692307701</v>
      </c>
      <c r="M66" s="46">
        <f>_xlfn.NORM.DIST(tbl_Normal[[#This Row],[x]], normal_mean, normal_std_dev, FALSE)</f>
        <v>6.4911778900623724E-4</v>
      </c>
      <c r="N66" s="46">
        <f>(
   1/(normal_std_dev*(2*PI())^0.5)
 )
 * EXP(1)^(
    -0.5
    * ((tbl_Normal[[#This Row],[x]]-normal_mean)/normal_std_dev) ^ 2
    )</f>
        <v>6.4911778900623724E-4</v>
      </c>
      <c r="O66" s="46">
        <f>tbl_Normal[[#This Row],[PDF =  f(x)]]-tbl_Normal[[#This Row],[Manual check]]</f>
        <v>0</v>
      </c>
    </row>
    <row r="67" spans="12:15" x14ac:dyDescent="0.35">
      <c r="L67" s="45" cm="1">
        <f t="array" ref="L6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5.0769230769230784</v>
      </c>
      <c r="M67" s="46">
        <f>_xlfn.NORM.DIST(tbl_Normal[[#This Row],[x]], normal_mean, normal_std_dev, FALSE)</f>
        <v>3.8110305137855862E-4</v>
      </c>
      <c r="N67" s="46">
        <f>(
   1/(normal_std_dev*(2*PI())^0.5)
 )
 * EXP(1)^(
    -0.5
    * ((tbl_Normal[[#This Row],[x]]-normal_mean)/normal_std_dev) ^ 2
    )</f>
        <v>3.8110305137855862E-4</v>
      </c>
      <c r="O67" s="46">
        <f>tbl_Normal[[#This Row],[PDF =  f(x)]]-tbl_Normal[[#This Row],[Manual check]]</f>
        <v>0</v>
      </c>
    </row>
    <row r="68" spans="12:15" x14ac:dyDescent="0.35">
      <c r="L68" s="45" cm="1">
        <f t="array" ref="L6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5.384615384615385</v>
      </c>
      <c r="M68" s="46">
        <f>_xlfn.NORM.DIST(tbl_Normal[[#This Row],[x]], normal_mean, normal_std_dev, FALSE)</f>
        <v>2.1851546648576144E-4</v>
      </c>
      <c r="N68" s="46">
        <f>(
   1/(normal_std_dev*(2*PI())^0.5)
 )
 * EXP(1)^(
    -0.5
    * ((tbl_Normal[[#This Row],[x]]-normal_mean)/normal_std_dev) ^ 2
    )</f>
        <v>2.1851546648576144E-4</v>
      </c>
      <c r="O68" s="46">
        <f>tbl_Normal[[#This Row],[PDF =  f(x)]]-tbl_Normal[[#This Row],[Manual check]]</f>
        <v>0</v>
      </c>
    </row>
    <row r="69" spans="12:15" x14ac:dyDescent="0.35">
      <c r="L69" s="45" cm="1">
        <f t="array" ref="L6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5.6923076923076934</v>
      </c>
      <c r="M69" s="46">
        <f>_xlfn.NORM.DIST(tbl_Normal[[#This Row],[x]], normal_mean, normal_std_dev, FALSE)</f>
        <v>1.2236093248157474E-4</v>
      </c>
      <c r="N69" s="46">
        <f>(
   1/(normal_std_dev*(2*PI())^0.5)
 )
 * EXP(1)^(
    -0.5
    * ((tbl_Normal[[#This Row],[x]]-normal_mean)/normal_std_dev) ^ 2
    )</f>
        <v>1.2236093248157474E-4</v>
      </c>
      <c r="O69" s="46">
        <f>tbl_Normal[[#This Row],[PDF =  f(x)]]-tbl_Normal[[#This Row],[Manual check]]</f>
        <v>0</v>
      </c>
    </row>
    <row r="70" spans="12:15" x14ac:dyDescent="0.35">
      <c r="L70" s="45" cm="1">
        <f t="array" ref="L7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v>
      </c>
      <c r="M70" s="46">
        <f>_xlfn.NORM.DIST(tbl_Normal[[#This Row],[x]], normal_mean, normal_std_dev, FALSE)</f>
        <v>6.6915112882442684E-5</v>
      </c>
      <c r="N70" s="46">
        <f>(
   1/(normal_std_dev*(2*PI())^0.5)
 )
 * EXP(1)^(
    -0.5
    * ((tbl_Normal[[#This Row],[x]]-normal_mean)/normal_std_dev) ^ 2
    )</f>
        <v>6.6915112882442711E-5</v>
      </c>
      <c r="O70" s="46">
        <f>tbl_Normal[[#This Row],[PDF =  f(x)]]-tbl_Normal[[#This Row],[Manual check]]</f>
        <v>0</v>
      </c>
    </row>
  </sheetData>
  <dataValidations count="2">
    <dataValidation type="list" allowBlank="1" showInputMessage="1" showErrorMessage="1" sqref="C7" xr:uid="{54D90616-A8A7-4561-88CF-FD51635CADF0}">
      <formula1>"-3,-2,-1,0,1,2,3"</formula1>
    </dataValidation>
    <dataValidation type="list" allowBlank="1" showInputMessage="1" showErrorMessage="1" sqref="C8" xr:uid="{C6E23EF0-22B1-48D4-B74D-EDE8431E6F9A}">
      <formula1>"0.5, 1, 1.5, 2"</formula1>
    </dataValidation>
  </dataValidations>
  <hyperlinks>
    <hyperlink ref="B3" location="TableOfContents!B3" display="Return to table of contents" xr:uid="{C25EC7CC-5E52-46F7-99A3-12710DD475D4}"/>
  </hyperlink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CF966-92B6-4200-95C4-6DFCF4598438}">
  <dimension ref="B1:S89"/>
  <sheetViews>
    <sheetView showGridLines="0" tabSelected="1" zoomScale="90" zoomScaleNormal="90" workbookViewId="0">
      <selection activeCell="F57" sqref="F57"/>
    </sheetView>
  </sheetViews>
  <sheetFormatPr defaultRowHeight="14.5" x14ac:dyDescent="0.35"/>
  <cols>
    <col min="2" max="2" width="17.54296875" customWidth="1"/>
    <col min="5" max="13" width="23.453125" customWidth="1"/>
    <col min="14" max="14" width="14" customWidth="1"/>
    <col min="15" max="15" width="11.453125" customWidth="1"/>
    <col min="16" max="16" width="14.54296875" customWidth="1"/>
    <col min="17" max="17" width="15.453125" customWidth="1"/>
    <col min="19" max="19" width="13" customWidth="1"/>
  </cols>
  <sheetData>
    <row r="1" spans="2:7" x14ac:dyDescent="0.35">
      <c r="G1" s="10" t="str">
        <f>IF(standard_normal_start_value&lt;=standard_normal_end_value, "OK", "ERROR - ensure end value selected is greater than start value selected")</f>
        <v>OK</v>
      </c>
    </row>
    <row r="2" spans="2:7" ht="26" x14ac:dyDescent="0.6">
      <c r="B2" s="27" t="s">
        <v>34</v>
      </c>
    </row>
    <row r="3" spans="2:7" x14ac:dyDescent="0.35">
      <c r="B3" s="53" t="s">
        <v>37</v>
      </c>
    </row>
    <row r="5" spans="2:7" x14ac:dyDescent="0.35">
      <c r="B5" s="31" t="s">
        <v>35</v>
      </c>
    </row>
    <row r="6" spans="2:7" x14ac:dyDescent="0.35">
      <c r="B6" s="30"/>
      <c r="C6">
        <v>0</v>
      </c>
    </row>
    <row r="7" spans="2:7" x14ac:dyDescent="0.35">
      <c r="B7" s="30"/>
      <c r="C7">
        <v>1</v>
      </c>
    </row>
    <row r="11" spans="2:7" ht="18" customHeight="1" x14ac:dyDescent="0.35">
      <c r="B11" s="51" t="s">
        <v>29</v>
      </c>
    </row>
    <row r="12" spans="2:7" x14ac:dyDescent="0.35">
      <c r="B12" s="30" t="s">
        <v>16</v>
      </c>
      <c r="C12" s="49">
        <v>-2</v>
      </c>
    </row>
    <row r="13" spans="2:7" x14ac:dyDescent="0.35">
      <c r="B13" s="30" t="s">
        <v>17</v>
      </c>
      <c r="C13" s="49">
        <v>2</v>
      </c>
    </row>
    <row r="18" spans="14:19" ht="18.5" x14ac:dyDescent="0.45">
      <c r="N18" s="25" t="s">
        <v>15</v>
      </c>
      <c r="O18" s="26"/>
      <c r="P18" s="26"/>
      <c r="Q18" s="26"/>
      <c r="R18" s="26"/>
      <c r="S18" s="26"/>
    </row>
    <row r="20" spans="14:19" ht="43.5" x14ac:dyDescent="0.35">
      <c r="N20" s="22" t="s">
        <v>1</v>
      </c>
      <c r="O20" s="22" t="s">
        <v>3</v>
      </c>
      <c r="P20" s="22" t="s">
        <v>32</v>
      </c>
      <c r="Q20" s="22" t="s">
        <v>33</v>
      </c>
      <c r="R20" s="22" t="s">
        <v>27</v>
      </c>
      <c r="S20" s="22" t="s">
        <v>26</v>
      </c>
    </row>
    <row r="21" spans="14:19" x14ac:dyDescent="0.35">
      <c r="N21" s="38">
        <v>-3.4</v>
      </c>
      <c r="O21" s="46">
        <f>_xlfn.NORM.DIST(tbl_StandardNormal[[#This Row],[x]], standard_normal_mean, standard_normal_std_dev, FALSE)</f>
        <v>1.2322191684730199E-3</v>
      </c>
      <c r="P21" s="46">
        <f>(
   1/(standard_normal_std_dev*(2*PI())^0.5)
 )
 * EXP(1)^(
    -0.5
    * ((tbl_StandardNormal[[#This Row],[x]]-standard_normal_mean)/standard_normal_std_dev) ^ 2
    )</f>
        <v>1.2322191684730197E-3</v>
      </c>
      <c r="Q21" s="46">
        <f>tbl_StandardNormal[[#This Row],[PDF =  f(x)]]-tbl_StandardNormal[[#This Row],[Manual check]]</f>
        <v>0</v>
      </c>
      <c r="R21" s="46"/>
      <c r="S21" s="46">
        <f>SUM($R$21:R21)</f>
        <v>0</v>
      </c>
    </row>
    <row r="22" spans="14:19" x14ac:dyDescent="0.35">
      <c r="N22" s="38">
        <v>-3.3</v>
      </c>
      <c r="O22" s="46">
        <f>_xlfn.NORM.DIST(tbl_StandardNormal[[#This Row],[x]], standard_normal_mean, standard_normal_std_dev, FALSE)</f>
        <v>1.7225689390536812E-3</v>
      </c>
      <c r="P22" s="46">
        <f>(
   1/(standard_normal_std_dev*(2*PI())^0.5)
 )
 * EXP(1)^(
    -0.5
    * ((tbl_StandardNormal[[#This Row],[x]]-standard_normal_mean)/standard_normal_std_dev) ^ 2
    )</f>
        <v>1.7225689390536814E-3</v>
      </c>
      <c r="Q22" s="46">
        <f>tbl_StandardNormal[[#This Row],[PDF =  f(x)]]-tbl_StandardNormal[[#This Row],[Manual check]]</f>
        <v>0</v>
      </c>
      <c r="R22" s="46">
        <f t="shared" ref="R22:R53" si="0">(O22+O21)/2 * (N22-N21)</f>
        <v>1.4773940537633518E-4</v>
      </c>
      <c r="S22" s="46">
        <f>SUM($R$21:R22)</f>
        <v>1.4773940537633518E-4</v>
      </c>
    </row>
    <row r="23" spans="14:19" x14ac:dyDescent="0.35">
      <c r="N23" s="38">
        <v>-3.2</v>
      </c>
      <c r="O23" s="46">
        <f>_xlfn.NORM.DIST(tbl_StandardNormal[[#This Row],[x]], standard_normal_mean, standard_normal_std_dev, FALSE)</f>
        <v>2.3840882014648404E-3</v>
      </c>
      <c r="P23" s="46">
        <f>(
   1/(standard_normal_std_dev*(2*PI())^0.5)
 )
 * EXP(1)^(
    -0.5
    * ((tbl_StandardNormal[[#This Row],[x]]-standard_normal_mean)/standard_normal_std_dev) ^ 2
    )</f>
        <v>2.3840882014648404E-3</v>
      </c>
      <c r="Q23" s="46">
        <f>tbl_StandardNormal[[#This Row],[PDF =  f(x)]]-tbl_StandardNormal[[#This Row],[Manual check]]</f>
        <v>0</v>
      </c>
      <c r="R23" s="46">
        <f t="shared" si="0"/>
        <v>2.0533285702592537E-4</v>
      </c>
      <c r="S23" s="46">
        <f>SUM($R$21:R23)</f>
        <v>3.5307226240226058E-4</v>
      </c>
    </row>
    <row r="24" spans="14:19" x14ac:dyDescent="0.35">
      <c r="N24" s="38">
        <v>-3.1</v>
      </c>
      <c r="O24" s="46">
        <f>_xlfn.NORM.DIST(tbl_StandardNormal[[#This Row],[x]], standard_normal_mean, standard_normal_std_dev, FALSE)</f>
        <v>3.2668190561999182E-3</v>
      </c>
      <c r="P24" s="46">
        <f>(
   1/(standard_normal_std_dev*(2*PI())^0.5)
 )
 * EXP(1)^(
    -0.5
    * ((tbl_StandardNormal[[#This Row],[x]]-standard_normal_mean)/standard_normal_std_dev) ^ 2
    )</f>
        <v>3.2668190561999191E-3</v>
      </c>
      <c r="Q24" s="46">
        <f>tbl_StandardNormal[[#This Row],[PDF =  f(x)]]-tbl_StandardNormal[[#This Row],[Manual check]]</f>
        <v>0</v>
      </c>
      <c r="R24" s="46">
        <f t="shared" si="0"/>
        <v>2.825453628832382E-4</v>
      </c>
      <c r="S24" s="46">
        <f>SUM($R$21:R24)</f>
        <v>6.3561762528549872E-4</v>
      </c>
    </row>
    <row r="25" spans="14:19" x14ac:dyDescent="0.35">
      <c r="N25" s="38">
        <v>-3</v>
      </c>
      <c r="O25" s="46">
        <f>_xlfn.NORM.DIST(tbl_StandardNormal[[#This Row],[x]], standard_normal_mean, standard_normal_std_dev, FALSE)</f>
        <v>4.4318484119380075E-3</v>
      </c>
      <c r="P25" s="46">
        <f>(
   1/(standard_normal_std_dev*(2*PI())^0.5)
 )
 * EXP(1)^(
    -0.5
    * ((tbl_StandardNormal[[#This Row],[x]]-standard_normal_mean)/standard_normal_std_dev) ^ 2
    )</f>
        <v>4.4318484119380075E-3</v>
      </c>
      <c r="Q25" s="46">
        <f>tbl_StandardNormal[[#This Row],[PDF =  f(x)]]-tbl_StandardNormal[[#This Row],[Manual check]]</f>
        <v>0</v>
      </c>
      <c r="R25" s="46">
        <f t="shared" si="0"/>
        <v>3.8493337340689661E-4</v>
      </c>
      <c r="S25" s="46">
        <f>SUM($R$21:R25)</f>
        <v>1.0205509986923953E-3</v>
      </c>
    </row>
    <row r="26" spans="14:19" x14ac:dyDescent="0.35">
      <c r="N26" s="38">
        <v>-2.9</v>
      </c>
      <c r="O26" s="46">
        <f>_xlfn.NORM.DIST(tbl_StandardNormal[[#This Row],[x]], standard_normal_mean, standard_normal_std_dev, FALSE)</f>
        <v>5.9525324197758538E-3</v>
      </c>
      <c r="P26" s="46">
        <f>(
   1/(standard_normal_std_dev*(2*PI())^0.5)
 )
 * EXP(1)^(
    -0.5
    * ((tbl_StandardNormal[[#This Row],[x]]-standard_normal_mean)/standard_normal_std_dev) ^ 2
    )</f>
        <v>5.9525324197758538E-3</v>
      </c>
      <c r="Q26" s="46">
        <f>tbl_StandardNormal[[#This Row],[PDF =  f(x)]]-tbl_StandardNormal[[#This Row],[Manual check]]</f>
        <v>0</v>
      </c>
      <c r="R26" s="46">
        <f t="shared" si="0"/>
        <v>5.1921904158569356E-4</v>
      </c>
      <c r="S26" s="46">
        <f>SUM($R$21:R26)</f>
        <v>1.5397700402780888E-3</v>
      </c>
    </row>
    <row r="27" spans="14:19" x14ac:dyDescent="0.35">
      <c r="N27" s="38">
        <v>-2.8</v>
      </c>
      <c r="O27" s="46">
        <f>_xlfn.NORM.DIST(tbl_StandardNormal[[#This Row],[x]], standard_normal_mean, standard_normal_std_dev, FALSE)</f>
        <v>7.9154515829799686E-3</v>
      </c>
      <c r="P27" s="46">
        <f>(
   1/(standard_normal_std_dev*(2*PI())^0.5)
 )
 * EXP(1)^(
    -0.5
    * ((tbl_StandardNormal[[#This Row],[x]]-standard_normal_mean)/standard_normal_std_dev) ^ 2
    )</f>
        <v>7.9154515829799668E-3</v>
      </c>
      <c r="Q27" s="46">
        <f>tbl_StandardNormal[[#This Row],[PDF =  f(x)]]-tbl_StandardNormal[[#This Row],[Manual check]]</f>
        <v>0</v>
      </c>
      <c r="R27" s="46">
        <f t="shared" si="0"/>
        <v>6.9339920013779179E-4</v>
      </c>
      <c r="S27" s="46">
        <f>SUM($R$21:R27)</f>
        <v>2.2331692404158805E-3</v>
      </c>
    </row>
    <row r="28" spans="14:19" x14ac:dyDescent="0.35">
      <c r="N28" s="38">
        <v>-2.7</v>
      </c>
      <c r="O28" s="46">
        <f>_xlfn.NORM.DIST(tbl_StandardNormal[[#This Row],[x]], standard_normal_mean, standard_normal_std_dev, FALSE)</f>
        <v>1.0420934814422592E-2</v>
      </c>
      <c r="P28" s="46">
        <f>(
   1/(standard_normal_std_dev*(2*PI())^0.5)
 )
 * EXP(1)^(
    -0.5
    * ((tbl_StandardNormal[[#This Row],[x]]-standard_normal_mean)/standard_normal_std_dev) ^ 2
    )</f>
        <v>1.0420934814422592E-2</v>
      </c>
      <c r="Q28" s="46">
        <f>tbl_StandardNormal[[#This Row],[PDF =  f(x)]]-tbl_StandardNormal[[#This Row],[Manual check]]</f>
        <v>0</v>
      </c>
      <c r="R28" s="46">
        <f t="shared" si="0"/>
        <v>9.1681931987012467E-4</v>
      </c>
      <c r="S28" s="46">
        <f>SUM($R$21:R28)</f>
        <v>3.1499885602860054E-3</v>
      </c>
    </row>
    <row r="29" spans="14:19" x14ac:dyDescent="0.35">
      <c r="N29" s="38">
        <v>-2.6</v>
      </c>
      <c r="O29" s="46">
        <f>_xlfn.NORM.DIST(tbl_StandardNormal[[#This Row],[x]], standard_normal_mean, standard_normal_std_dev, FALSE)</f>
        <v>1.3582969233685613E-2</v>
      </c>
      <c r="P29" s="46">
        <f>(
   1/(standard_normal_std_dev*(2*PI())^0.5)
 )
 * EXP(1)^(
    -0.5
    * ((tbl_StandardNormal[[#This Row],[x]]-standard_normal_mean)/standard_normal_std_dev) ^ 2
    )</f>
        <v>1.3582969233685613E-2</v>
      </c>
      <c r="Q29" s="46">
        <f>tbl_StandardNormal[[#This Row],[PDF =  f(x)]]-tbl_StandardNormal[[#This Row],[Manual check]]</f>
        <v>0</v>
      </c>
      <c r="R29" s="46">
        <f t="shared" si="0"/>
        <v>1.2001952024054113E-3</v>
      </c>
      <c r="S29" s="46">
        <f>SUM($R$21:R29)</f>
        <v>4.3501837626914166E-3</v>
      </c>
    </row>
    <row r="30" spans="14:19" x14ac:dyDescent="0.35">
      <c r="N30" s="38">
        <v>-2.5</v>
      </c>
      <c r="O30" s="46">
        <f>_xlfn.NORM.DIST(tbl_StandardNormal[[#This Row],[x]], standard_normal_mean, standard_normal_std_dev, FALSE)</f>
        <v>1.752830049356854E-2</v>
      </c>
      <c r="P30" s="46">
        <f>(
   1/(standard_normal_std_dev*(2*PI())^0.5)
 )
 * EXP(1)^(
    -0.5
    * ((tbl_StandardNormal[[#This Row],[x]]-standard_normal_mean)/standard_normal_std_dev) ^ 2
    )</f>
        <v>1.7528300493568537E-2</v>
      </c>
      <c r="Q30" s="46">
        <f>tbl_StandardNormal[[#This Row],[PDF =  f(x)]]-tbl_StandardNormal[[#This Row],[Manual check]]</f>
        <v>0</v>
      </c>
      <c r="R30" s="46">
        <f t="shared" si="0"/>
        <v>1.555563486362709E-3</v>
      </c>
      <c r="S30" s="46">
        <f>SUM($R$21:R30)</f>
        <v>5.9057472490541257E-3</v>
      </c>
    </row>
    <row r="31" spans="14:19" x14ac:dyDescent="0.35">
      <c r="N31" s="38">
        <v>-2.4</v>
      </c>
      <c r="O31" s="46">
        <f>_xlfn.NORM.DIST(tbl_StandardNormal[[#This Row],[x]], standard_normal_mean, standard_normal_std_dev, FALSE)</f>
        <v>2.2394530294842899E-2</v>
      </c>
      <c r="P31" s="46">
        <f>(
   1/(standard_normal_std_dev*(2*PI())^0.5)
 )
 * EXP(1)^(
    -0.5
    * ((tbl_StandardNormal[[#This Row],[x]]-standard_normal_mean)/standard_normal_std_dev) ^ 2
    )</f>
        <v>2.2394530294842899E-2</v>
      </c>
      <c r="Q31" s="46">
        <f>tbl_StandardNormal[[#This Row],[PDF =  f(x)]]-tbl_StandardNormal[[#This Row],[Manual check]]</f>
        <v>0</v>
      </c>
      <c r="R31" s="46">
        <f t="shared" si="0"/>
        <v>1.9961415394205736E-3</v>
      </c>
      <c r="S31" s="46">
        <f>SUM($R$21:R31)</f>
        <v>7.9018887884746997E-3</v>
      </c>
    </row>
    <row r="32" spans="14:19" x14ac:dyDescent="0.35">
      <c r="N32" s="38">
        <v>-2.2999999999999998</v>
      </c>
      <c r="O32" s="46">
        <f>_xlfn.NORM.DIST(tbl_StandardNormal[[#This Row],[x]], standard_normal_mean, standard_normal_std_dev, FALSE)</f>
        <v>2.8327037741601186E-2</v>
      </c>
      <c r="P32" s="46">
        <f>(
   1/(standard_normal_std_dev*(2*PI())^0.5)
 )
 * EXP(1)^(
    -0.5
    * ((tbl_StandardNormal[[#This Row],[x]]-standard_normal_mean)/standard_normal_std_dev) ^ 2
    )</f>
        <v>2.8327037741601186E-2</v>
      </c>
      <c r="Q32" s="46">
        <f>tbl_StandardNormal[[#This Row],[PDF =  f(x)]]-tbl_StandardNormal[[#This Row],[Manual check]]</f>
        <v>0</v>
      </c>
      <c r="R32" s="46">
        <f t="shared" si="0"/>
        <v>2.5360784018222064E-3</v>
      </c>
      <c r="S32" s="46">
        <f>SUM($R$21:R32)</f>
        <v>1.0437967190296906E-2</v>
      </c>
    </row>
    <row r="33" spans="9:19" x14ac:dyDescent="0.35">
      <c r="N33" s="38">
        <v>-2.2000000000000002</v>
      </c>
      <c r="O33" s="46">
        <f>_xlfn.NORM.DIST(tbl_StandardNormal[[#This Row],[x]], standard_normal_mean, standard_normal_std_dev, FALSE)</f>
        <v>3.5474592846231424E-2</v>
      </c>
      <c r="P33" s="46">
        <f>(
   1/(standard_normal_std_dev*(2*PI())^0.5)
 )
 * EXP(1)^(
    -0.5
    * ((tbl_StandardNormal[[#This Row],[x]]-standard_normal_mean)/standard_normal_std_dev) ^ 2
    )</f>
        <v>3.5474592846231424E-2</v>
      </c>
      <c r="Q33" s="46">
        <f>tbl_StandardNormal[[#This Row],[PDF =  f(x)]]-tbl_StandardNormal[[#This Row],[Manual check]]</f>
        <v>0</v>
      </c>
      <c r="R33" s="46">
        <f t="shared" si="0"/>
        <v>3.1900815293916195E-3</v>
      </c>
      <c r="S33" s="46">
        <f>SUM($R$21:R33)</f>
        <v>1.3628048719688526E-2</v>
      </c>
    </row>
    <row r="34" spans="9:19" x14ac:dyDescent="0.35">
      <c r="N34" s="38">
        <v>-2.1</v>
      </c>
      <c r="O34" s="46">
        <f>_xlfn.NORM.DIST(tbl_StandardNormal[[#This Row],[x]], standard_normal_mean, standard_normal_std_dev, FALSE)</f>
        <v>4.3983595980427191E-2</v>
      </c>
      <c r="P34" s="46">
        <f>(
   1/(standard_normal_std_dev*(2*PI())^0.5)
 )
 * EXP(1)^(
    -0.5
    * ((tbl_StandardNormal[[#This Row],[x]]-standard_normal_mean)/standard_normal_std_dev) ^ 2
    )</f>
        <v>4.3983595980427191E-2</v>
      </c>
      <c r="Q34" s="46">
        <f>tbl_StandardNormal[[#This Row],[PDF =  f(x)]]-tbl_StandardNormal[[#This Row],[Manual check]]</f>
        <v>0</v>
      </c>
      <c r="R34" s="46">
        <f t="shared" si="0"/>
        <v>3.9729094413329339E-3</v>
      </c>
      <c r="S34" s="46">
        <f>SUM($R$21:R34)</f>
        <v>1.760095816102146E-2</v>
      </c>
    </row>
    <row r="35" spans="9:19" x14ac:dyDescent="0.35">
      <c r="N35" s="38">
        <v>-2</v>
      </c>
      <c r="O35" s="46">
        <f>_xlfn.NORM.DIST(tbl_StandardNormal[[#This Row],[x]], standard_normal_mean, standard_normal_std_dev, FALSE)</f>
        <v>5.3990966513188063E-2</v>
      </c>
      <c r="P35" s="46">
        <f>(
   1/(standard_normal_std_dev*(2*PI())^0.5)
 )
 * EXP(1)^(
    -0.5
    * ((tbl_StandardNormal[[#This Row],[x]]-standard_normal_mean)/standard_normal_std_dev) ^ 2
    )</f>
        <v>5.3990966513188063E-2</v>
      </c>
      <c r="Q35" s="46">
        <f>tbl_StandardNormal[[#This Row],[PDF =  f(x)]]-tbl_StandardNormal[[#This Row],[Manual check]]</f>
        <v>0</v>
      </c>
      <c r="R35" s="46">
        <f t="shared" si="0"/>
        <v>4.8987281246807663E-3</v>
      </c>
      <c r="S35" s="46">
        <f>SUM($R$21:R35)</f>
        <v>2.2499686285702227E-2</v>
      </c>
    </row>
    <row r="36" spans="9:19" x14ac:dyDescent="0.35">
      <c r="N36" s="38">
        <v>-1.9</v>
      </c>
      <c r="O36" s="46">
        <f>_xlfn.NORM.DIST(tbl_StandardNormal[[#This Row],[x]], standard_normal_mean, standard_normal_std_dev, FALSE)</f>
        <v>6.5615814774676595E-2</v>
      </c>
      <c r="P36" s="46">
        <f>(
   1/(standard_normal_std_dev*(2*PI())^0.5)
 )
 * EXP(1)^(
    -0.5
    * ((tbl_StandardNormal[[#This Row],[x]]-standard_normal_mean)/standard_normal_std_dev) ^ 2
    )</f>
        <v>6.5615814774676595E-2</v>
      </c>
      <c r="Q36" s="46">
        <f>tbl_StandardNormal[[#This Row],[PDF =  f(x)]]-tbl_StandardNormal[[#This Row],[Manual check]]</f>
        <v>0</v>
      </c>
      <c r="R36" s="46">
        <f t="shared" si="0"/>
        <v>5.9803390643932385E-3</v>
      </c>
      <c r="S36" s="46">
        <f>SUM($R$21:R36)</f>
        <v>2.8480025350095466E-2</v>
      </c>
    </row>
    <row r="37" spans="9:19" x14ac:dyDescent="0.35">
      <c r="N37" s="38">
        <v>-1.8</v>
      </c>
      <c r="O37" s="46">
        <f>_xlfn.NORM.DIST(tbl_StandardNormal[[#This Row],[x]], standard_normal_mean, standard_normal_std_dev, FALSE)</f>
        <v>7.8950158300894149E-2</v>
      </c>
      <c r="P37" s="46">
        <f>(
   1/(standard_normal_std_dev*(2*PI())^0.5)
 )
 * EXP(1)^(
    -0.5
    * ((tbl_StandardNormal[[#This Row],[x]]-standard_normal_mean)/standard_normal_std_dev) ^ 2
    )</f>
        <v>7.8950158300894149E-2</v>
      </c>
      <c r="Q37" s="46">
        <f>tbl_StandardNormal[[#This Row],[PDF =  f(x)]]-tbl_StandardNormal[[#This Row],[Manual check]]</f>
        <v>0</v>
      </c>
      <c r="R37" s="46">
        <f t="shared" si="0"/>
        <v>7.2282986537785272E-3</v>
      </c>
      <c r="S37" s="46">
        <f>SUM($R$21:R37)</f>
        <v>3.5708324003873991E-2</v>
      </c>
    </row>
    <row r="38" spans="9:19" x14ac:dyDescent="0.35">
      <c r="N38" s="38">
        <v>-1.7</v>
      </c>
      <c r="O38" s="46">
        <f>_xlfn.NORM.DIST(tbl_StandardNormal[[#This Row],[x]], standard_normal_mean, standard_normal_std_dev, FALSE)</f>
        <v>9.4049077376886947E-2</v>
      </c>
      <c r="P38" s="46">
        <f>(
   1/(standard_normal_std_dev*(2*PI())^0.5)
 )
 * EXP(1)^(
    -0.5
    * ((tbl_StandardNormal[[#This Row],[x]]-standard_normal_mean)/standard_normal_std_dev) ^ 2
    )</f>
        <v>9.4049077376886933E-2</v>
      </c>
      <c r="Q38" s="46">
        <f>tbl_StandardNormal[[#This Row],[PDF =  f(x)]]-tbl_StandardNormal[[#This Row],[Manual check]]</f>
        <v>0</v>
      </c>
      <c r="R38" s="46">
        <f t="shared" si="0"/>
        <v>8.6499617838890624E-3</v>
      </c>
      <c r="S38" s="46">
        <f>SUM($R$21:R38)</f>
        <v>4.4358285787763053E-2</v>
      </c>
    </row>
    <row r="39" spans="9:19" x14ac:dyDescent="0.35">
      <c r="N39" s="38">
        <v>-1.6</v>
      </c>
      <c r="O39" s="46">
        <f>_xlfn.NORM.DIST(tbl_StandardNormal[[#This Row],[x]], standard_normal_mean, standard_normal_std_dev, FALSE)</f>
        <v>0.11092083467945554</v>
      </c>
      <c r="P39" s="46">
        <f>(
   1/(standard_normal_std_dev*(2*PI())^0.5)
 )
 * EXP(1)^(
    -0.5
    * ((tbl_StandardNormal[[#This Row],[x]]-standard_normal_mean)/standard_normal_std_dev) ^ 2
    )</f>
        <v>0.11092083467945553</v>
      </c>
      <c r="Q39" s="46">
        <f>tbl_StandardNormal[[#This Row],[PDF =  f(x)]]-tbl_StandardNormal[[#This Row],[Manual check]]</f>
        <v>0</v>
      </c>
      <c r="R39" s="46">
        <f t="shared" si="0"/>
        <v>1.024849560281711E-2</v>
      </c>
      <c r="S39" s="46">
        <f>SUM($R$21:R39)</f>
        <v>5.4606781390580166E-2</v>
      </c>
    </row>
    <row r="40" spans="9:19" x14ac:dyDescent="0.35">
      <c r="N40" s="38">
        <v>-1.5</v>
      </c>
      <c r="O40" s="46">
        <f>_xlfn.NORM.DIST(tbl_StandardNormal[[#This Row],[x]], standard_normal_mean, standard_normal_std_dev, FALSE)</f>
        <v>0.12951759566589174</v>
      </c>
      <c r="P40" s="46">
        <f>(
   1/(standard_normal_std_dev*(2*PI())^0.5)
 )
 * EXP(1)^(
    -0.5
    * ((tbl_StandardNormal[[#This Row],[x]]-standard_normal_mean)/standard_normal_std_dev) ^ 2
    )</f>
        <v>0.12951759566589174</v>
      </c>
      <c r="Q40" s="46">
        <f>tbl_StandardNormal[[#This Row],[PDF =  f(x)]]-tbl_StandardNormal[[#This Row],[Manual check]]</f>
        <v>0</v>
      </c>
      <c r="R40" s="46">
        <f t="shared" si="0"/>
        <v>1.2021921517267374E-2</v>
      </c>
      <c r="S40" s="46">
        <f>SUM($R$21:R40)</f>
        <v>6.6628702907847545E-2</v>
      </c>
    </row>
    <row r="41" spans="9:19" x14ac:dyDescent="0.35">
      <c r="N41" s="38">
        <v>-1.4</v>
      </c>
      <c r="O41" s="46">
        <f>_xlfn.NORM.DIST(tbl_StandardNormal[[#This Row],[x]], standard_normal_mean, standard_normal_std_dev, FALSE)</f>
        <v>0.14972746563574488</v>
      </c>
      <c r="P41" s="46">
        <f>(
   1/(standard_normal_std_dev*(2*PI())^0.5)
 )
 * EXP(1)^(
    -0.5
    * ((tbl_StandardNormal[[#This Row],[x]]-standard_normal_mean)/standard_normal_std_dev) ^ 2
    )</f>
        <v>0.14972746563574488</v>
      </c>
      <c r="Q41" s="46">
        <f>tbl_StandardNormal[[#This Row],[PDF =  f(x)]]-tbl_StandardNormal[[#This Row],[Manual check]]</f>
        <v>0</v>
      </c>
      <c r="R41" s="46">
        <f t="shared" si="0"/>
        <v>1.3962253065081844E-2</v>
      </c>
      <c r="S41" s="46">
        <f>SUM($R$21:R41)</f>
        <v>8.0590955972929396E-2</v>
      </c>
    </row>
    <row r="42" spans="9:19" x14ac:dyDescent="0.35">
      <c r="N42" s="38">
        <v>-1.3</v>
      </c>
      <c r="O42" s="46">
        <f>_xlfn.NORM.DIST(tbl_StandardNormal[[#This Row],[x]], standard_normal_mean, standard_normal_std_dev, FALSE)</f>
        <v>0.17136859204780736</v>
      </c>
      <c r="P42" s="46">
        <f>(
   1/(standard_normal_std_dev*(2*PI())^0.5)
 )
 * EXP(1)^(
    -0.5
    * ((tbl_StandardNormal[[#This Row],[x]]-standard_normal_mean)/standard_normal_std_dev) ^ 2
    )</f>
        <v>0.17136859204780736</v>
      </c>
      <c r="Q42" s="46">
        <f>tbl_StandardNormal[[#This Row],[PDF =  f(x)]]-tbl_StandardNormal[[#This Row],[Manual check]]</f>
        <v>0</v>
      </c>
      <c r="R42" s="46">
        <f t="shared" si="0"/>
        <v>1.6054802884177589E-2</v>
      </c>
      <c r="S42" s="46">
        <f>SUM($R$21:R42)</f>
        <v>9.6645758857106981E-2</v>
      </c>
    </row>
    <row r="43" spans="9:19" x14ac:dyDescent="0.35">
      <c r="N43" s="38">
        <v>-1.2</v>
      </c>
      <c r="O43" s="46">
        <f>_xlfn.NORM.DIST(tbl_StandardNormal[[#This Row],[x]], standard_normal_mean, standard_normal_std_dev, FALSE)</f>
        <v>0.19418605498321295</v>
      </c>
      <c r="P43" s="46">
        <f>(
   1/(standard_normal_std_dev*(2*PI())^0.5)
 )
 * EXP(1)^(
    -0.5
    * ((tbl_StandardNormal[[#This Row],[x]]-standard_normal_mean)/standard_normal_std_dev) ^ 2
    )</f>
        <v>0.19418605498321295</v>
      </c>
      <c r="Q43" s="46">
        <f>tbl_StandardNormal[[#This Row],[PDF =  f(x)]]-tbl_StandardNormal[[#This Row],[Manual check]]</f>
        <v>0</v>
      </c>
      <c r="R43" s="46">
        <f t="shared" si="0"/>
        <v>1.8277732351551033E-2</v>
      </c>
      <c r="S43" s="46">
        <f>SUM($R$21:R43)</f>
        <v>0.11492349120865801</v>
      </c>
    </row>
    <row r="44" spans="9:19" x14ac:dyDescent="0.35">
      <c r="N44" s="38">
        <v>-1.1000000000000001</v>
      </c>
      <c r="O44" s="46">
        <f>_xlfn.NORM.DIST(tbl_StandardNormal[[#This Row],[x]], standard_normal_mean, standard_normal_std_dev, FALSE)</f>
        <v>0.21785217703255053</v>
      </c>
      <c r="P44" s="46">
        <f>(
   1/(standard_normal_std_dev*(2*PI())^0.5)
 )
 * EXP(1)^(
    -0.5
    * ((tbl_StandardNormal[[#This Row],[x]]-standard_normal_mean)/standard_normal_std_dev) ^ 2
    )</f>
        <v>0.21785217703255053</v>
      </c>
      <c r="Q44" s="46">
        <f>tbl_StandardNormal[[#This Row],[PDF =  f(x)]]-tbl_StandardNormal[[#This Row],[Manual check]]</f>
        <v>0</v>
      </c>
      <c r="R44" s="46">
        <f t="shared" si="0"/>
        <v>2.0601911600788149E-2</v>
      </c>
      <c r="S44" s="46">
        <f>SUM($R$21:R44)</f>
        <v>0.13552540280944617</v>
      </c>
    </row>
    <row r="45" spans="9:19" x14ac:dyDescent="0.35">
      <c r="N45" s="38">
        <v>-1</v>
      </c>
      <c r="O45" s="46">
        <f>_xlfn.NORM.DIST(tbl_StandardNormal[[#This Row],[x]], standard_normal_mean, standard_normal_std_dev, FALSE)</f>
        <v>0.24197072451914337</v>
      </c>
      <c r="P45" s="46">
        <f>(
   1/(standard_normal_std_dev*(2*PI())^0.5)
 )
 * EXP(1)^(
    -0.5
    * ((tbl_StandardNormal[[#This Row],[x]]-standard_normal_mean)/standard_normal_std_dev) ^ 2
    )</f>
        <v>0.24197072451914337</v>
      </c>
      <c r="Q45" s="46">
        <f>tbl_StandardNormal[[#This Row],[PDF =  f(x)]]-tbl_StandardNormal[[#This Row],[Manual check]]</f>
        <v>0</v>
      </c>
      <c r="R45" s="46">
        <f t="shared" si="0"/>
        <v>2.2991145077584717E-2</v>
      </c>
      <c r="S45" s="46">
        <f>SUM($R$21:R45)</f>
        <v>0.15851654788703087</v>
      </c>
    </row>
    <row r="46" spans="9:19" x14ac:dyDescent="0.35">
      <c r="N46" s="38">
        <v>-0.9</v>
      </c>
      <c r="O46" s="46">
        <f>_xlfn.NORM.DIST(tbl_StandardNormal[[#This Row],[x]], standard_normal_mean, standard_normal_std_dev, FALSE)</f>
        <v>0.26608524989875482</v>
      </c>
      <c r="P46" s="46">
        <f>(
   1/(standard_normal_std_dev*(2*PI())^0.5)
 )
 * EXP(1)^(
    -0.5
    * ((tbl_StandardNormal[[#This Row],[x]]-standard_normal_mean)/standard_normal_std_dev) ^ 2
    )</f>
        <v>0.26608524989875482</v>
      </c>
      <c r="Q46" s="46">
        <f>tbl_StandardNormal[[#This Row],[PDF =  f(x)]]-tbl_StandardNormal[[#This Row],[Manual check]]</f>
        <v>0</v>
      </c>
      <c r="R46" s="46">
        <f t="shared" si="0"/>
        <v>2.5402798720894904E-2</v>
      </c>
      <c r="S46" s="46">
        <f>SUM($R$21:R46)</f>
        <v>0.18391934660792578</v>
      </c>
    </row>
    <row r="47" spans="9:19" x14ac:dyDescent="0.35">
      <c r="I47" s="4" t="str">
        <f>"F(" &amp; TEXT(standard_normal_start_value, "0.0") &amp; ") =  P(X &lt;= " &amp; TEXT(standard_normal_start_value, "0.0") &amp; "): "</f>
        <v xml:space="preserve">F(-2.0) =  P(X &lt;= -2.0): </v>
      </c>
      <c r="J47" s="29">
        <f>_xlfn.XLOOKUP(standard_normal_start_value, tbl_StandardNormal[x], tbl_StandardNormal[Integral (CDF) by trapezoid rule])</f>
        <v>2.2499686285702227E-2</v>
      </c>
      <c r="N47" s="38">
        <v>-0.8</v>
      </c>
      <c r="O47" s="46">
        <f>_xlfn.NORM.DIST(tbl_StandardNormal[[#This Row],[x]], standard_normal_mean, standard_normal_std_dev, FALSE)</f>
        <v>0.28969155276148273</v>
      </c>
      <c r="P47" s="46">
        <f>(
   1/(standard_normal_std_dev*(2*PI())^0.5)
 )
 * EXP(1)^(
    -0.5
    * ((tbl_StandardNormal[[#This Row],[x]]-standard_normal_mean)/standard_normal_std_dev) ^ 2
    )</f>
        <v>0.28969155276148273</v>
      </c>
      <c r="Q47" s="46">
        <f>tbl_StandardNormal[[#This Row],[PDF =  f(x)]]-tbl_StandardNormal[[#This Row],[Manual check]]</f>
        <v>0</v>
      </c>
      <c r="R47" s="46">
        <f t="shared" si="0"/>
        <v>2.7788840133011871E-2</v>
      </c>
      <c r="S47" s="46">
        <f>SUM($R$21:R47)</f>
        <v>0.21170818674093764</v>
      </c>
    </row>
    <row r="48" spans="9:19" x14ac:dyDescent="0.35">
      <c r="I48" s="4" t="str">
        <f>"F(" &amp; TEXT(standard_normal_end_value, "0.0") &amp; ") =  P(X &lt;= " &amp; TEXT(standard_normal_end_value, "0.0") &amp; "): "</f>
        <v xml:space="preserve">F(2.0) =  P(X &lt;= 2.0): </v>
      </c>
      <c r="J48" s="29">
        <f>_xlfn.XLOOKUP(standard_normal_end_value, tbl_StandardNormal[x], tbl_StandardNormal[Integral (CDF) by trapezoid rule])</f>
        <v>0.97681948256029971</v>
      </c>
      <c r="N48" s="38">
        <v>-0.7</v>
      </c>
      <c r="O48" s="46">
        <f>_xlfn.NORM.DIST(tbl_StandardNormal[[#This Row],[x]], standard_normal_mean, standard_normal_std_dev, FALSE)</f>
        <v>0.31225393336676127</v>
      </c>
      <c r="P48" s="46">
        <f>(
   1/(standard_normal_std_dev*(2*PI())^0.5)
 )
 * EXP(1)^(
    -0.5
    * ((tbl_StandardNormal[[#This Row],[x]]-standard_normal_mean)/standard_normal_std_dev) ^ 2
    )</f>
        <v>0.31225393336676127</v>
      </c>
      <c r="Q48" s="46">
        <f>tbl_StandardNormal[[#This Row],[PDF =  f(x)]]-tbl_StandardNormal[[#This Row],[Manual check]]</f>
        <v>0</v>
      </c>
      <c r="R48" s="46">
        <f t="shared" si="0"/>
        <v>3.0097274306412229E-2</v>
      </c>
      <c r="S48" s="46">
        <f>SUM($R$21:R48)</f>
        <v>0.24180546104734987</v>
      </c>
    </row>
    <row r="49" spans="9:19" x14ac:dyDescent="0.35">
      <c r="I49" s="4" t="str">
        <f>"P(" &amp; TEXT(standard_normal_start_value, "0.0") &amp; " &lt;= X &lt;= " &amp; TEXT(standard_normal_end_value, "0.0") &amp; ")"</f>
        <v>P(-2.0 &lt;= X &lt;= 2.0)</v>
      </c>
      <c r="J49" s="13">
        <f>J48-J47</f>
        <v>0.95431979627459751</v>
      </c>
      <c r="N49" s="38">
        <v>-0.6</v>
      </c>
      <c r="O49" s="46">
        <f>_xlfn.NORM.DIST(tbl_StandardNormal[[#This Row],[x]], standard_normal_mean, standard_normal_std_dev, FALSE)</f>
        <v>0.33322460289179967</v>
      </c>
      <c r="P49" s="46">
        <f>(
   1/(standard_normal_std_dev*(2*PI())^0.5)
 )
 * EXP(1)^(
    -0.5
    * ((tbl_StandardNormal[[#This Row],[x]]-standard_normal_mean)/standard_normal_std_dev) ^ 2
    )</f>
        <v>0.33322460289179967</v>
      </c>
      <c r="Q49" s="46">
        <f>tbl_StandardNormal[[#This Row],[PDF =  f(x)]]-tbl_StandardNormal[[#This Row],[Manual check]]</f>
        <v>0</v>
      </c>
      <c r="R49" s="46">
        <f t="shared" si="0"/>
        <v>3.2273926812928039E-2</v>
      </c>
      <c r="S49" s="46">
        <f>SUM($R$21:R49)</f>
        <v>0.27407938786027791</v>
      </c>
    </row>
    <row r="50" spans="9:19" x14ac:dyDescent="0.35">
      <c r="N50" s="38">
        <v>-0.5</v>
      </c>
      <c r="O50" s="46">
        <f>_xlfn.NORM.DIST(tbl_StandardNormal[[#This Row],[x]], standard_normal_mean, standard_normal_std_dev, FALSE)</f>
        <v>0.35206532676429952</v>
      </c>
      <c r="P50" s="46">
        <f>(
   1/(standard_normal_std_dev*(2*PI())^0.5)
 )
 * EXP(1)^(
    -0.5
    * ((tbl_StandardNormal[[#This Row],[x]]-standard_normal_mean)/standard_normal_std_dev) ^ 2
    )</f>
        <v>0.35206532676429947</v>
      </c>
      <c r="Q50" s="46">
        <f>tbl_StandardNormal[[#This Row],[PDF =  f(x)]]-tbl_StandardNormal[[#This Row],[Manual check]]</f>
        <v>0</v>
      </c>
      <c r="R50" s="46">
        <f t="shared" si="0"/>
        <v>3.4264496482804954E-2</v>
      </c>
      <c r="S50" s="46">
        <f>SUM($R$21:R50)</f>
        <v>0.30834388434308285</v>
      </c>
    </row>
    <row r="51" spans="9:19" x14ac:dyDescent="0.35">
      <c r="N51" s="38">
        <v>-0.4</v>
      </c>
      <c r="O51" s="46">
        <f>_xlfn.NORM.DIST(tbl_StandardNormal[[#This Row],[x]], standard_normal_mean, standard_normal_std_dev, FALSE)</f>
        <v>0.36827014030332333</v>
      </c>
      <c r="P51" s="46">
        <f>(
   1/(standard_normal_std_dev*(2*PI())^0.5)
 )
 * EXP(1)^(
    -0.5
    * ((tbl_StandardNormal[[#This Row],[x]]-standard_normal_mean)/standard_normal_std_dev) ^ 2
    )</f>
        <v>0.36827014030332333</v>
      </c>
      <c r="Q51" s="46">
        <f>tbl_StandardNormal[[#This Row],[PDF =  f(x)]]-tbl_StandardNormal[[#This Row],[Manual check]]</f>
        <v>0</v>
      </c>
      <c r="R51" s="46">
        <f t="shared" si="0"/>
        <v>3.6016773353381132E-2</v>
      </c>
      <c r="S51" s="46">
        <f>SUM($R$21:R51)</f>
        <v>0.34436065769646396</v>
      </c>
    </row>
    <row r="52" spans="9:19" x14ac:dyDescent="0.35">
      <c r="N52" s="38">
        <v>-0.3</v>
      </c>
      <c r="O52" s="46">
        <f>_xlfn.NORM.DIST(tbl_StandardNormal[[#This Row],[x]], standard_normal_mean, standard_normal_std_dev, FALSE)</f>
        <v>0.38138781546052414</v>
      </c>
      <c r="P52" s="46">
        <f>(
   1/(standard_normal_std_dev*(2*PI())^0.5)
 )
 * EXP(1)^(
    -0.5
    * ((tbl_StandardNormal[[#This Row],[x]]-standard_normal_mean)/standard_normal_std_dev) ^ 2
    )</f>
        <v>0.38138781546052414</v>
      </c>
      <c r="Q52" s="46">
        <f>tbl_StandardNormal[[#This Row],[PDF =  f(x)]]-tbl_StandardNormal[[#This Row],[Manual check]]</f>
        <v>0</v>
      </c>
      <c r="R52" s="46">
        <f t="shared" si="0"/>
        <v>3.7482897788192381E-2</v>
      </c>
      <c r="S52" s="46">
        <f>SUM($R$21:R52)</f>
        <v>0.38184355548465632</v>
      </c>
    </row>
    <row r="53" spans="9:19" x14ac:dyDescent="0.35">
      <c r="N53" s="38">
        <v>-0.2</v>
      </c>
      <c r="O53" s="46">
        <f>_xlfn.NORM.DIST(tbl_StandardNormal[[#This Row],[x]], standard_normal_mean, standard_normal_std_dev, FALSE)</f>
        <v>0.39104269397545588</v>
      </c>
      <c r="P53" s="46">
        <f>(
   1/(standard_normal_std_dev*(2*PI())^0.5)
 )
 * EXP(1)^(
    -0.5
    * ((tbl_StandardNormal[[#This Row],[x]]-standard_normal_mean)/standard_normal_std_dev) ^ 2
    )</f>
        <v>0.39104269397545594</v>
      </c>
      <c r="Q53" s="46">
        <f>tbl_StandardNormal[[#This Row],[PDF =  f(x)]]-tbl_StandardNormal[[#This Row],[Manual check]]</f>
        <v>0</v>
      </c>
      <c r="R53" s="46">
        <f t="shared" si="0"/>
        <v>3.8621525471798993E-2</v>
      </c>
      <c r="S53" s="46">
        <f>SUM($R$21:R53)</f>
        <v>0.42046508095645529</v>
      </c>
    </row>
    <row r="54" spans="9:19" x14ac:dyDescent="0.35">
      <c r="N54" s="38">
        <v>-0.1</v>
      </c>
      <c r="O54" s="46">
        <f>_xlfn.NORM.DIST(tbl_StandardNormal[[#This Row],[x]], standard_normal_mean, standard_normal_std_dev, FALSE)</f>
        <v>0.39695254747701181</v>
      </c>
      <c r="P54" s="46">
        <f>(
   1/(standard_normal_std_dev*(2*PI())^0.5)
 )
 * EXP(1)^(
    -0.5
    * ((tbl_StandardNormal[[#This Row],[x]]-standard_normal_mean)/standard_normal_std_dev) ^ 2
    )</f>
        <v>0.39695254747701186</v>
      </c>
      <c r="Q54" s="46">
        <f>tbl_StandardNormal[[#This Row],[PDF =  f(x)]]-tbl_StandardNormal[[#This Row],[Manual check]]</f>
        <v>0</v>
      </c>
      <c r="R54" s="46">
        <f t="shared" ref="R54:R89" si="1">(O54+O53)/2 * (N54-N53)</f>
        <v>3.9399762072623384E-2</v>
      </c>
      <c r="S54" s="46">
        <f>SUM($R$21:R54)</f>
        <v>0.45986484302907871</v>
      </c>
    </row>
    <row r="55" spans="9:19" x14ac:dyDescent="0.35">
      <c r="N55" s="38">
        <v>0</v>
      </c>
      <c r="O55" s="46">
        <f>_xlfn.NORM.DIST(tbl_StandardNormal[[#This Row],[x]], standard_normal_mean, standard_normal_std_dev, FALSE)</f>
        <v>0.3989422804014327</v>
      </c>
      <c r="P55" s="46">
        <f>(
   1/(standard_normal_std_dev*(2*PI())^0.5)
 )
 * EXP(1)^(
    -0.5
    * ((tbl_StandardNormal[[#This Row],[x]]-standard_normal_mean)/standard_normal_std_dev) ^ 2
    )</f>
        <v>0.3989422804014327</v>
      </c>
      <c r="Q55" s="46">
        <f>tbl_StandardNormal[[#This Row],[PDF =  f(x)]]-tbl_StandardNormal[[#This Row],[Manual check]]</f>
        <v>0</v>
      </c>
      <c r="R55" s="46">
        <f t="shared" si="1"/>
        <v>3.979474139392223E-2</v>
      </c>
      <c r="S55" s="46">
        <f>SUM($R$21:R55)</f>
        <v>0.49965958442300096</v>
      </c>
    </row>
    <row r="56" spans="9:19" x14ac:dyDescent="0.35">
      <c r="N56" s="38">
        <v>0.1</v>
      </c>
      <c r="O56" s="46">
        <f>_xlfn.NORM.DIST(tbl_StandardNormal[[#This Row],[x]], standard_normal_mean, standard_normal_std_dev, FALSE)</f>
        <v>0.39695254747701181</v>
      </c>
      <c r="P56" s="46">
        <f>(
   1/(standard_normal_std_dev*(2*PI())^0.5)
 )
 * EXP(1)^(
    -0.5
    * ((tbl_StandardNormal[[#This Row],[x]]-standard_normal_mean)/standard_normal_std_dev) ^ 2
    )</f>
        <v>0.39695254747701186</v>
      </c>
      <c r="Q56" s="46">
        <f>tbl_StandardNormal[[#This Row],[PDF =  f(x)]]-tbl_StandardNormal[[#This Row],[Manual check]]</f>
        <v>0</v>
      </c>
      <c r="R56" s="46">
        <f t="shared" si="1"/>
        <v>3.979474139392223E-2</v>
      </c>
      <c r="S56" s="46">
        <f>SUM($R$21:R56)</f>
        <v>0.53945432581692321</v>
      </c>
    </row>
    <row r="57" spans="9:19" x14ac:dyDescent="0.35">
      <c r="N57" s="38">
        <v>0.2</v>
      </c>
      <c r="O57" s="46">
        <f>_xlfn.NORM.DIST(tbl_StandardNormal[[#This Row],[x]], standard_normal_mean, standard_normal_std_dev, FALSE)</f>
        <v>0.39104269397545588</v>
      </c>
      <c r="P57" s="46">
        <f>(
   1/(standard_normal_std_dev*(2*PI())^0.5)
 )
 * EXP(1)^(
    -0.5
    * ((tbl_StandardNormal[[#This Row],[x]]-standard_normal_mean)/standard_normal_std_dev) ^ 2
    )</f>
        <v>0.39104269397545594</v>
      </c>
      <c r="Q57" s="46">
        <f>tbl_StandardNormal[[#This Row],[PDF =  f(x)]]-tbl_StandardNormal[[#This Row],[Manual check]]</f>
        <v>0</v>
      </c>
      <c r="R57" s="46">
        <f t="shared" si="1"/>
        <v>3.9399762072623384E-2</v>
      </c>
      <c r="S57" s="46">
        <f>SUM($R$21:R57)</f>
        <v>0.57885408788954662</v>
      </c>
    </row>
    <row r="58" spans="9:19" x14ac:dyDescent="0.35">
      <c r="N58" s="38">
        <v>0.3</v>
      </c>
      <c r="O58" s="46">
        <f>_xlfn.NORM.DIST(tbl_StandardNormal[[#This Row],[x]], standard_normal_mean, standard_normal_std_dev, FALSE)</f>
        <v>0.38138781546052414</v>
      </c>
      <c r="P58" s="46">
        <f>(
   1/(standard_normal_std_dev*(2*PI())^0.5)
 )
 * EXP(1)^(
    -0.5
    * ((tbl_StandardNormal[[#This Row],[x]]-standard_normal_mean)/standard_normal_std_dev) ^ 2
    )</f>
        <v>0.38138781546052414</v>
      </c>
      <c r="Q58" s="46">
        <f>tbl_StandardNormal[[#This Row],[PDF =  f(x)]]-tbl_StandardNormal[[#This Row],[Manual check]]</f>
        <v>0</v>
      </c>
      <c r="R58" s="46">
        <f t="shared" si="1"/>
        <v>3.8621525471798993E-2</v>
      </c>
      <c r="S58" s="46">
        <f>SUM($R$21:R58)</f>
        <v>0.6174756133613456</v>
      </c>
    </row>
    <row r="59" spans="9:19" x14ac:dyDescent="0.35">
      <c r="N59" s="38">
        <v>0.4</v>
      </c>
      <c r="O59" s="46">
        <f>_xlfn.NORM.DIST(tbl_StandardNormal[[#This Row],[x]], standard_normal_mean, standard_normal_std_dev, FALSE)</f>
        <v>0.36827014030332333</v>
      </c>
      <c r="P59" s="46">
        <f>(
   1/(standard_normal_std_dev*(2*PI())^0.5)
 )
 * EXP(1)^(
    -0.5
    * ((tbl_StandardNormal[[#This Row],[x]]-standard_normal_mean)/standard_normal_std_dev) ^ 2
    )</f>
        <v>0.36827014030332333</v>
      </c>
      <c r="Q59" s="46">
        <f>tbl_StandardNormal[[#This Row],[PDF =  f(x)]]-tbl_StandardNormal[[#This Row],[Manual check]]</f>
        <v>0</v>
      </c>
      <c r="R59" s="46">
        <f t="shared" si="1"/>
        <v>3.7482897788192381E-2</v>
      </c>
      <c r="S59" s="46">
        <f>SUM($R$21:R59)</f>
        <v>0.65495851114953796</v>
      </c>
    </row>
    <row r="60" spans="9:19" x14ac:dyDescent="0.35">
      <c r="N60" s="38">
        <v>0.5</v>
      </c>
      <c r="O60" s="46">
        <f>_xlfn.NORM.DIST(tbl_StandardNormal[[#This Row],[x]], standard_normal_mean, standard_normal_std_dev, FALSE)</f>
        <v>0.35206532676429952</v>
      </c>
      <c r="P60" s="46">
        <f>(
   1/(standard_normal_std_dev*(2*PI())^0.5)
 )
 * EXP(1)^(
    -0.5
    * ((tbl_StandardNormal[[#This Row],[x]]-standard_normal_mean)/standard_normal_std_dev) ^ 2
    )</f>
        <v>0.35206532676429947</v>
      </c>
      <c r="Q60" s="46">
        <f>tbl_StandardNormal[[#This Row],[PDF =  f(x)]]-tbl_StandardNormal[[#This Row],[Manual check]]</f>
        <v>0</v>
      </c>
      <c r="R60" s="46">
        <f t="shared" si="1"/>
        <v>3.6016773353381132E-2</v>
      </c>
      <c r="S60" s="46">
        <f>SUM($R$21:R60)</f>
        <v>0.69097528450291912</v>
      </c>
    </row>
    <row r="61" spans="9:19" x14ac:dyDescent="0.35">
      <c r="N61" s="38">
        <v>0.6</v>
      </c>
      <c r="O61" s="46">
        <f>_xlfn.NORM.DIST(tbl_StandardNormal[[#This Row],[x]], standard_normal_mean, standard_normal_std_dev, FALSE)</f>
        <v>0.33322460289179967</v>
      </c>
      <c r="P61" s="46">
        <f>(
   1/(standard_normal_std_dev*(2*PI())^0.5)
 )
 * EXP(1)^(
    -0.5
    * ((tbl_StandardNormal[[#This Row],[x]]-standard_normal_mean)/standard_normal_std_dev) ^ 2
    )</f>
        <v>0.33322460289179967</v>
      </c>
      <c r="Q61" s="46">
        <f>tbl_StandardNormal[[#This Row],[PDF =  f(x)]]-tbl_StandardNormal[[#This Row],[Manual check]]</f>
        <v>0</v>
      </c>
      <c r="R61" s="46">
        <f t="shared" si="1"/>
        <v>3.4264496482804954E-2</v>
      </c>
      <c r="S61" s="46">
        <f>SUM($R$21:R61)</f>
        <v>0.72523978098572406</v>
      </c>
    </row>
    <row r="62" spans="9:19" x14ac:dyDescent="0.35">
      <c r="N62" s="38">
        <v>0.7</v>
      </c>
      <c r="O62" s="46">
        <f>_xlfn.NORM.DIST(tbl_StandardNormal[[#This Row],[x]], standard_normal_mean, standard_normal_std_dev, FALSE)</f>
        <v>0.31225393336676127</v>
      </c>
      <c r="P62" s="46">
        <f>(
   1/(standard_normal_std_dev*(2*PI())^0.5)
 )
 * EXP(1)^(
    -0.5
    * ((tbl_StandardNormal[[#This Row],[x]]-standard_normal_mean)/standard_normal_std_dev) ^ 2
    )</f>
        <v>0.31225393336676127</v>
      </c>
      <c r="Q62" s="46">
        <f>tbl_StandardNormal[[#This Row],[PDF =  f(x)]]-tbl_StandardNormal[[#This Row],[Manual check]]</f>
        <v>0</v>
      </c>
      <c r="R62" s="46">
        <f t="shared" si="1"/>
        <v>3.2273926812928039E-2</v>
      </c>
      <c r="S62" s="46">
        <f>SUM($R$21:R62)</f>
        <v>0.75751370779865213</v>
      </c>
    </row>
    <row r="63" spans="9:19" x14ac:dyDescent="0.35">
      <c r="N63" s="38">
        <v>0.8</v>
      </c>
      <c r="O63" s="46">
        <f>_xlfn.NORM.DIST(tbl_StandardNormal[[#This Row],[x]], standard_normal_mean, standard_normal_std_dev, FALSE)</f>
        <v>0.28969155276148273</v>
      </c>
      <c r="P63" s="46">
        <f>(
   1/(standard_normal_std_dev*(2*PI())^0.5)
 )
 * EXP(1)^(
    -0.5
    * ((tbl_StandardNormal[[#This Row],[x]]-standard_normal_mean)/standard_normal_std_dev) ^ 2
    )</f>
        <v>0.28969155276148273</v>
      </c>
      <c r="Q63" s="46">
        <f>tbl_StandardNormal[[#This Row],[PDF =  f(x)]]-tbl_StandardNormal[[#This Row],[Manual check]]</f>
        <v>0</v>
      </c>
      <c r="R63" s="46">
        <f t="shared" si="1"/>
        <v>3.0097274306412229E-2</v>
      </c>
      <c r="S63" s="46">
        <f>SUM($R$21:R63)</f>
        <v>0.78761098210506431</v>
      </c>
    </row>
    <row r="64" spans="9:19" x14ac:dyDescent="0.35">
      <c r="N64" s="38">
        <v>0.9</v>
      </c>
      <c r="O64" s="46">
        <f>_xlfn.NORM.DIST(tbl_StandardNormal[[#This Row],[x]], standard_normal_mean, standard_normal_std_dev, FALSE)</f>
        <v>0.26608524989875482</v>
      </c>
      <c r="P64" s="46">
        <f>(
   1/(standard_normal_std_dev*(2*PI())^0.5)
 )
 * EXP(1)^(
    -0.5
    * ((tbl_StandardNormal[[#This Row],[x]]-standard_normal_mean)/standard_normal_std_dev) ^ 2
    )</f>
        <v>0.26608524989875482</v>
      </c>
      <c r="Q64" s="46">
        <f>tbl_StandardNormal[[#This Row],[PDF =  f(x)]]-tbl_StandardNormal[[#This Row],[Manual check]]</f>
        <v>0</v>
      </c>
      <c r="R64" s="46">
        <f t="shared" si="1"/>
        <v>2.7788840133011871E-2</v>
      </c>
      <c r="S64" s="46">
        <f>SUM($R$21:R64)</f>
        <v>0.81539982223807617</v>
      </c>
    </row>
    <row r="65" spans="14:19" x14ac:dyDescent="0.35">
      <c r="N65" s="38">
        <v>1</v>
      </c>
      <c r="O65" s="46">
        <f>_xlfn.NORM.DIST(tbl_StandardNormal[[#This Row],[x]], standard_normal_mean, standard_normal_std_dev, FALSE)</f>
        <v>0.24197072451914337</v>
      </c>
      <c r="P65" s="46">
        <f>(
   1/(standard_normal_std_dev*(2*PI())^0.5)
 )
 * EXP(1)^(
    -0.5
    * ((tbl_StandardNormal[[#This Row],[x]]-standard_normal_mean)/standard_normal_std_dev) ^ 2
    )</f>
        <v>0.24197072451914337</v>
      </c>
      <c r="Q65" s="46">
        <f>tbl_StandardNormal[[#This Row],[PDF =  f(x)]]-tbl_StandardNormal[[#This Row],[Manual check]]</f>
        <v>0</v>
      </c>
      <c r="R65" s="46">
        <f t="shared" si="1"/>
        <v>2.5402798720894904E-2</v>
      </c>
      <c r="S65" s="46">
        <f>SUM($R$21:R65)</f>
        <v>0.84080262095897107</v>
      </c>
    </row>
    <row r="66" spans="14:19" x14ac:dyDescent="0.35">
      <c r="N66" s="38">
        <v>1.1000000000000001</v>
      </c>
      <c r="O66" s="46">
        <f>_xlfn.NORM.DIST(tbl_StandardNormal[[#This Row],[x]], standard_normal_mean, standard_normal_std_dev, FALSE)</f>
        <v>0.21785217703255053</v>
      </c>
      <c r="P66" s="46">
        <f>(
   1/(standard_normal_std_dev*(2*PI())^0.5)
 )
 * EXP(1)^(
    -0.5
    * ((tbl_StandardNormal[[#This Row],[x]]-standard_normal_mean)/standard_normal_std_dev) ^ 2
    )</f>
        <v>0.21785217703255053</v>
      </c>
      <c r="Q66" s="46">
        <f>tbl_StandardNormal[[#This Row],[PDF =  f(x)]]-tbl_StandardNormal[[#This Row],[Manual check]]</f>
        <v>0</v>
      </c>
      <c r="R66" s="46">
        <f t="shared" si="1"/>
        <v>2.2991145077584717E-2</v>
      </c>
      <c r="S66" s="46">
        <f>SUM($R$21:R66)</f>
        <v>0.86379376603655578</v>
      </c>
    </row>
    <row r="67" spans="14:19" x14ac:dyDescent="0.35">
      <c r="N67" s="38">
        <v>1.2</v>
      </c>
      <c r="O67" s="46">
        <f>_xlfn.NORM.DIST(tbl_StandardNormal[[#This Row],[x]], standard_normal_mean, standard_normal_std_dev, FALSE)</f>
        <v>0.19418605498321295</v>
      </c>
      <c r="P67" s="46">
        <f>(
   1/(standard_normal_std_dev*(2*PI())^0.5)
 )
 * EXP(1)^(
    -0.5
    * ((tbl_StandardNormal[[#This Row],[x]]-standard_normal_mean)/standard_normal_std_dev) ^ 2
    )</f>
        <v>0.19418605498321295</v>
      </c>
      <c r="Q67" s="46">
        <f>tbl_StandardNormal[[#This Row],[PDF =  f(x)]]-tbl_StandardNormal[[#This Row],[Manual check]]</f>
        <v>0</v>
      </c>
      <c r="R67" s="46">
        <f t="shared" si="1"/>
        <v>2.0601911600788149E-2</v>
      </c>
      <c r="S67" s="46">
        <f>SUM($R$21:R67)</f>
        <v>0.88439567763734395</v>
      </c>
    </row>
    <row r="68" spans="14:19" x14ac:dyDescent="0.35">
      <c r="N68" s="38">
        <v>1.3</v>
      </c>
      <c r="O68" s="46">
        <f>_xlfn.NORM.DIST(tbl_StandardNormal[[#This Row],[x]], standard_normal_mean, standard_normal_std_dev, FALSE)</f>
        <v>0.17136859204780736</v>
      </c>
      <c r="P68" s="46">
        <f>(
   1/(standard_normal_std_dev*(2*PI())^0.5)
 )
 * EXP(1)^(
    -0.5
    * ((tbl_StandardNormal[[#This Row],[x]]-standard_normal_mean)/standard_normal_std_dev) ^ 2
    )</f>
        <v>0.17136859204780736</v>
      </c>
      <c r="Q68" s="46">
        <f>tbl_StandardNormal[[#This Row],[PDF =  f(x)]]-tbl_StandardNormal[[#This Row],[Manual check]]</f>
        <v>0</v>
      </c>
      <c r="R68" s="46">
        <f t="shared" si="1"/>
        <v>1.8277732351551033E-2</v>
      </c>
      <c r="S68" s="46">
        <f>SUM($R$21:R68)</f>
        <v>0.902673409988895</v>
      </c>
    </row>
    <row r="69" spans="14:19" x14ac:dyDescent="0.35">
      <c r="N69" s="38">
        <v>1.4</v>
      </c>
      <c r="O69" s="46">
        <f>_xlfn.NORM.DIST(tbl_StandardNormal[[#This Row],[x]], standard_normal_mean, standard_normal_std_dev, FALSE)</f>
        <v>0.14972746563574488</v>
      </c>
      <c r="P69" s="46">
        <f>(
   1/(standard_normal_std_dev*(2*PI())^0.5)
 )
 * EXP(1)^(
    -0.5
    * ((tbl_StandardNormal[[#This Row],[x]]-standard_normal_mean)/standard_normal_std_dev) ^ 2
    )</f>
        <v>0.14972746563574488</v>
      </c>
      <c r="Q69" s="46">
        <f>tbl_StandardNormal[[#This Row],[PDF =  f(x)]]-tbl_StandardNormal[[#This Row],[Manual check]]</f>
        <v>0</v>
      </c>
      <c r="R69" s="46">
        <f t="shared" si="1"/>
        <v>1.6054802884177589E-2</v>
      </c>
      <c r="S69" s="46">
        <f>SUM($R$21:R69)</f>
        <v>0.9187282128730726</v>
      </c>
    </row>
    <row r="70" spans="14:19" x14ac:dyDescent="0.35">
      <c r="N70" s="38">
        <v>1.5</v>
      </c>
      <c r="O70" s="46">
        <f>_xlfn.NORM.DIST(tbl_StandardNormal[[#This Row],[x]], standard_normal_mean, standard_normal_std_dev, FALSE)</f>
        <v>0.12951759566589174</v>
      </c>
      <c r="P70" s="46">
        <f>(
   1/(standard_normal_std_dev*(2*PI())^0.5)
 )
 * EXP(1)^(
    -0.5
    * ((tbl_StandardNormal[[#This Row],[x]]-standard_normal_mean)/standard_normal_std_dev) ^ 2
    )</f>
        <v>0.12951759566589174</v>
      </c>
      <c r="Q70" s="46">
        <f>tbl_StandardNormal[[#This Row],[PDF =  f(x)]]-tbl_StandardNormal[[#This Row],[Manual check]]</f>
        <v>0</v>
      </c>
      <c r="R70" s="46">
        <f t="shared" si="1"/>
        <v>1.3962253065081844E-2</v>
      </c>
      <c r="S70" s="46">
        <f>SUM($R$21:R70)</f>
        <v>0.93269046593815441</v>
      </c>
    </row>
    <row r="71" spans="14:19" x14ac:dyDescent="0.35">
      <c r="N71" s="38">
        <v>1.6</v>
      </c>
      <c r="O71" s="46">
        <f>_xlfn.NORM.DIST(tbl_StandardNormal[[#This Row],[x]], standard_normal_mean, standard_normal_std_dev, FALSE)</f>
        <v>0.11092083467945554</v>
      </c>
      <c r="P71" s="46">
        <f>(
   1/(standard_normal_std_dev*(2*PI())^0.5)
 )
 * EXP(1)^(
    -0.5
    * ((tbl_StandardNormal[[#This Row],[x]]-standard_normal_mean)/standard_normal_std_dev) ^ 2
    )</f>
        <v>0.11092083467945553</v>
      </c>
      <c r="Q71" s="46">
        <f>tbl_StandardNormal[[#This Row],[PDF =  f(x)]]-tbl_StandardNormal[[#This Row],[Manual check]]</f>
        <v>0</v>
      </c>
      <c r="R71" s="46">
        <f t="shared" si="1"/>
        <v>1.2021921517267374E-2</v>
      </c>
      <c r="S71" s="46">
        <f>SUM($R$21:R71)</f>
        <v>0.94471238745542174</v>
      </c>
    </row>
    <row r="72" spans="14:19" x14ac:dyDescent="0.35">
      <c r="N72" s="38">
        <v>1.7</v>
      </c>
      <c r="O72" s="46">
        <f>_xlfn.NORM.DIST(tbl_StandardNormal[[#This Row],[x]], standard_normal_mean, standard_normal_std_dev, FALSE)</f>
        <v>9.4049077376886947E-2</v>
      </c>
      <c r="P72" s="46">
        <f>(
   1/(standard_normal_std_dev*(2*PI())^0.5)
 )
 * EXP(1)^(
    -0.5
    * ((tbl_StandardNormal[[#This Row],[x]]-standard_normal_mean)/standard_normal_std_dev) ^ 2
    )</f>
        <v>9.4049077376886933E-2</v>
      </c>
      <c r="Q72" s="46">
        <f>tbl_StandardNormal[[#This Row],[PDF =  f(x)]]-tbl_StandardNormal[[#This Row],[Manual check]]</f>
        <v>0</v>
      </c>
      <c r="R72" s="46">
        <f t="shared" si="1"/>
        <v>1.024849560281711E-2</v>
      </c>
      <c r="S72" s="46">
        <f>SUM($R$21:R72)</f>
        <v>0.9549608830582389</v>
      </c>
    </row>
    <row r="73" spans="14:19" x14ac:dyDescent="0.35">
      <c r="N73" s="38">
        <v>1.8</v>
      </c>
      <c r="O73" s="46">
        <f>_xlfn.NORM.DIST(tbl_StandardNormal[[#This Row],[x]], standard_normal_mean, standard_normal_std_dev, FALSE)</f>
        <v>7.8950158300894149E-2</v>
      </c>
      <c r="P73" s="46">
        <f>(
   1/(standard_normal_std_dev*(2*PI())^0.5)
 )
 * EXP(1)^(
    -0.5
    * ((tbl_StandardNormal[[#This Row],[x]]-standard_normal_mean)/standard_normal_std_dev) ^ 2
    )</f>
        <v>7.8950158300894149E-2</v>
      </c>
      <c r="Q73" s="46">
        <f>tbl_StandardNormal[[#This Row],[PDF =  f(x)]]-tbl_StandardNormal[[#This Row],[Manual check]]</f>
        <v>0</v>
      </c>
      <c r="R73" s="46">
        <f t="shared" si="1"/>
        <v>8.6499617838890624E-3</v>
      </c>
      <c r="S73" s="46">
        <f>SUM($R$21:R73)</f>
        <v>0.963610844842128</v>
      </c>
    </row>
    <row r="74" spans="14:19" x14ac:dyDescent="0.35">
      <c r="N74" s="38">
        <v>1.9</v>
      </c>
      <c r="O74" s="46">
        <f>_xlfn.NORM.DIST(tbl_StandardNormal[[#This Row],[x]], standard_normal_mean, standard_normal_std_dev, FALSE)</f>
        <v>6.5615814774676595E-2</v>
      </c>
      <c r="P74" s="46">
        <f>(
   1/(standard_normal_std_dev*(2*PI())^0.5)
 )
 * EXP(1)^(
    -0.5
    * ((tbl_StandardNormal[[#This Row],[x]]-standard_normal_mean)/standard_normal_std_dev) ^ 2
    )</f>
        <v>6.5615814774676595E-2</v>
      </c>
      <c r="Q74" s="46">
        <f>tbl_StandardNormal[[#This Row],[PDF =  f(x)]]-tbl_StandardNormal[[#This Row],[Manual check]]</f>
        <v>0</v>
      </c>
      <c r="R74" s="46">
        <f t="shared" si="1"/>
        <v>7.2282986537785272E-3</v>
      </c>
      <c r="S74" s="46">
        <f>SUM($R$21:R74)</f>
        <v>0.9708391434959065</v>
      </c>
    </row>
    <row r="75" spans="14:19" x14ac:dyDescent="0.35">
      <c r="N75" s="38">
        <v>2</v>
      </c>
      <c r="O75" s="46">
        <f>_xlfn.NORM.DIST(tbl_StandardNormal[[#This Row],[x]], standard_normal_mean, standard_normal_std_dev, FALSE)</f>
        <v>5.3990966513188063E-2</v>
      </c>
      <c r="P75" s="46">
        <f>(
   1/(standard_normal_std_dev*(2*PI())^0.5)
 )
 * EXP(1)^(
    -0.5
    * ((tbl_StandardNormal[[#This Row],[x]]-standard_normal_mean)/standard_normal_std_dev) ^ 2
    )</f>
        <v>5.3990966513188063E-2</v>
      </c>
      <c r="Q75" s="46">
        <f>tbl_StandardNormal[[#This Row],[PDF =  f(x)]]-tbl_StandardNormal[[#This Row],[Manual check]]</f>
        <v>0</v>
      </c>
      <c r="R75" s="46">
        <f t="shared" si="1"/>
        <v>5.9803390643932385E-3</v>
      </c>
      <c r="S75" s="46">
        <f>SUM($R$21:R75)</f>
        <v>0.97681948256029971</v>
      </c>
    </row>
    <row r="76" spans="14:19" x14ac:dyDescent="0.35">
      <c r="N76" s="38">
        <v>2.1000000000000099</v>
      </c>
      <c r="O76" s="46">
        <f>_xlfn.NORM.DIST(tbl_StandardNormal[[#This Row],[x]], standard_normal_mean, standard_normal_std_dev, FALSE)</f>
        <v>4.3983595980426296E-2</v>
      </c>
      <c r="P76" s="46">
        <f>(
   1/(standard_normal_std_dev*(2*PI())^0.5)
 )
 * EXP(1)^(
    -0.5
    * ((tbl_StandardNormal[[#This Row],[x]]-standard_normal_mean)/standard_normal_std_dev) ^ 2
    )</f>
        <v>4.3983595980426296E-2</v>
      </c>
      <c r="Q76" s="46">
        <f>tbl_StandardNormal[[#This Row],[PDF =  f(x)]]-tbl_StandardNormal[[#This Row],[Manual check]]</f>
        <v>0</v>
      </c>
      <c r="R76" s="46">
        <f t="shared" si="1"/>
        <v>4.8987281246812009E-3</v>
      </c>
      <c r="S76" s="46">
        <f>SUM($R$21:R76)</f>
        <v>0.98171821068498089</v>
      </c>
    </row>
    <row r="77" spans="14:19" x14ac:dyDescent="0.35">
      <c r="N77" s="38">
        <v>2.2000000000000002</v>
      </c>
      <c r="O77" s="46">
        <f>_xlfn.NORM.DIST(tbl_StandardNormal[[#This Row],[x]], standard_normal_mean, standard_normal_std_dev, FALSE)</f>
        <v>3.5474592846231424E-2</v>
      </c>
      <c r="P77" s="46">
        <f>(
   1/(standard_normal_std_dev*(2*PI())^0.5)
 )
 * EXP(1)^(
    -0.5
    * ((tbl_StandardNormal[[#This Row],[x]]-standard_normal_mean)/standard_normal_std_dev) ^ 2
    )</f>
        <v>3.5474592846231424E-2</v>
      </c>
      <c r="Q77" s="46">
        <f>tbl_StandardNormal[[#This Row],[PDF =  f(x)]]-tbl_StandardNormal[[#This Row],[Manual check]]</f>
        <v>0</v>
      </c>
      <c r="R77" s="46">
        <f t="shared" si="1"/>
        <v>3.972909441332502E-3</v>
      </c>
      <c r="S77" s="46">
        <f>SUM($R$21:R77)</f>
        <v>0.98569112012631344</v>
      </c>
    </row>
    <row r="78" spans="14:19" x14ac:dyDescent="0.35">
      <c r="N78" s="38">
        <v>2.2999999999999998</v>
      </c>
      <c r="O78" s="46">
        <f>_xlfn.NORM.DIST(tbl_StandardNormal[[#This Row],[x]], standard_normal_mean, standard_normal_std_dev, FALSE)</f>
        <v>2.8327037741601186E-2</v>
      </c>
      <c r="P78" s="46">
        <f>(
   1/(standard_normal_std_dev*(2*PI())^0.5)
 )
 * EXP(1)^(
    -0.5
    * ((tbl_StandardNormal[[#This Row],[x]]-standard_normal_mean)/standard_normal_std_dev) ^ 2
    )</f>
        <v>2.8327037741601186E-2</v>
      </c>
      <c r="Q78" s="46">
        <f>tbl_StandardNormal[[#This Row],[PDF =  f(x)]]-tbl_StandardNormal[[#This Row],[Manual check]]</f>
        <v>0</v>
      </c>
      <c r="R78" s="46">
        <f t="shared" si="1"/>
        <v>3.1900815293916195E-3</v>
      </c>
      <c r="S78" s="46">
        <f>SUM($R$21:R78)</f>
        <v>0.98888120165570503</v>
      </c>
    </row>
    <row r="79" spans="14:19" x14ac:dyDescent="0.35">
      <c r="N79" s="38">
        <v>2.4000000000000101</v>
      </c>
      <c r="O79" s="46">
        <f>_xlfn.NORM.DIST(tbl_StandardNormal[[#This Row],[x]], standard_normal_mean, standard_normal_std_dev, FALSE)</f>
        <v>2.2394530294842355E-2</v>
      </c>
      <c r="P79" s="46">
        <f>(
   1/(standard_normal_std_dev*(2*PI())^0.5)
 )
 * EXP(1)^(
    -0.5
    * ((tbl_StandardNormal[[#This Row],[x]]-standard_normal_mean)/standard_normal_std_dev) ^ 2
    )</f>
        <v>2.2394530294842355E-2</v>
      </c>
      <c r="Q79" s="46">
        <f>tbl_StandardNormal[[#This Row],[PDF =  f(x)]]-tbl_StandardNormal[[#This Row],[Manual check]]</f>
        <v>0</v>
      </c>
      <c r="R79" s="46">
        <f t="shared" si="1"/>
        <v>2.5360784018224379E-3</v>
      </c>
      <c r="S79" s="46">
        <f>SUM($R$21:R79)</f>
        <v>0.99141728005752749</v>
      </c>
    </row>
    <row r="80" spans="14:19" x14ac:dyDescent="0.35">
      <c r="N80" s="38">
        <v>2.5000000000000102</v>
      </c>
      <c r="O80" s="46">
        <f>_xlfn.NORM.DIST(tbl_StandardNormal[[#This Row],[x]], standard_normal_mean, standard_normal_std_dev, FALSE)</f>
        <v>1.7528300493568086E-2</v>
      </c>
      <c r="P80" s="46">
        <f>(
   1/(standard_normal_std_dev*(2*PI())^0.5)
 )
 * EXP(1)^(
    -0.5
    * ((tbl_StandardNormal[[#This Row],[x]]-standard_normal_mean)/standard_normal_std_dev) ^ 2
    )</f>
        <v>1.7528300493568086E-2</v>
      </c>
      <c r="Q80" s="46">
        <f>tbl_StandardNormal[[#This Row],[PDF =  f(x)]]-tbl_StandardNormal[[#This Row],[Manual check]]</f>
        <v>0</v>
      </c>
      <c r="R80" s="46">
        <f t="shared" si="1"/>
        <v>1.9961415394205238E-3</v>
      </c>
      <c r="S80" s="46">
        <f>SUM($R$21:R80)</f>
        <v>0.99341342159694801</v>
      </c>
    </row>
    <row r="81" spans="14:19" x14ac:dyDescent="0.35">
      <c r="N81" s="38">
        <v>2.6000000000000099</v>
      </c>
      <c r="O81" s="46">
        <f>_xlfn.NORM.DIST(tbl_StandardNormal[[#This Row],[x]], standard_normal_mean, standard_normal_std_dev, FALSE)</f>
        <v>1.3582969233685271E-2</v>
      </c>
      <c r="P81" s="46">
        <f>(
   1/(standard_normal_std_dev*(2*PI())^0.5)
 )
 * EXP(1)^(
    -0.5
    * ((tbl_StandardNormal[[#This Row],[x]]-standard_normal_mean)/standard_normal_std_dev) ^ 2
    )</f>
        <v>1.3582969233685271E-2</v>
      </c>
      <c r="Q81" s="46">
        <f>tbl_StandardNormal[[#This Row],[PDF =  f(x)]]-tbl_StandardNormal[[#This Row],[Manual check]]</f>
        <v>0</v>
      </c>
      <c r="R81" s="46">
        <f t="shared" si="1"/>
        <v>1.5555634863626624E-3</v>
      </c>
      <c r="S81" s="46">
        <f>SUM($R$21:R81)</f>
        <v>0.99496898508331066</v>
      </c>
    </row>
    <row r="82" spans="14:19" x14ac:dyDescent="0.35">
      <c r="N82" s="38">
        <v>2.7</v>
      </c>
      <c r="O82" s="46">
        <f>_xlfn.NORM.DIST(tbl_StandardNormal[[#This Row],[x]], standard_normal_mean, standard_normal_std_dev, FALSE)</f>
        <v>1.0420934814422592E-2</v>
      </c>
      <c r="P82" s="46">
        <f>(
   1/(standard_normal_std_dev*(2*PI())^0.5)
 )
 * EXP(1)^(
    -0.5
    * ((tbl_StandardNormal[[#This Row],[x]]-standard_normal_mean)/standard_normal_std_dev) ^ 2
    )</f>
        <v>1.0420934814422592E-2</v>
      </c>
      <c r="Q82" s="46">
        <f>tbl_StandardNormal[[#This Row],[PDF =  f(x)]]-tbl_StandardNormal[[#This Row],[Manual check]]</f>
        <v>0</v>
      </c>
      <c r="R82" s="46">
        <f t="shared" si="1"/>
        <v>1.200195202405277E-3</v>
      </c>
      <c r="S82" s="46">
        <f>SUM($R$21:R82)</f>
        <v>0.99616918028571599</v>
      </c>
    </row>
    <row r="83" spans="14:19" x14ac:dyDescent="0.35">
      <c r="N83" s="38">
        <v>2.80000000000001</v>
      </c>
      <c r="O83" s="46">
        <f>_xlfn.NORM.DIST(tbl_StandardNormal[[#This Row],[x]], standard_normal_mean, standard_normal_std_dev, FALSE)</f>
        <v>7.915451582979743E-3</v>
      </c>
      <c r="P83" s="46">
        <f>(
   1/(standard_normal_std_dev*(2*PI())^0.5)
 )
 * EXP(1)^(
    -0.5
    * ((tbl_StandardNormal[[#This Row],[x]]-standard_normal_mean)/standard_normal_std_dev) ^ 2
    )</f>
        <v>7.915451582979743E-3</v>
      </c>
      <c r="Q83" s="46">
        <f>tbl_StandardNormal[[#This Row],[PDF =  f(x)]]-tbl_StandardNormal[[#This Row],[Manual check]]</f>
        <v>0</v>
      </c>
      <c r="R83" s="46">
        <f t="shared" si="1"/>
        <v>9.1681931987020718E-4</v>
      </c>
      <c r="S83" s="46">
        <f>SUM($R$21:R83)</f>
        <v>0.99708599960558619</v>
      </c>
    </row>
    <row r="84" spans="14:19" x14ac:dyDescent="0.35">
      <c r="N84" s="38">
        <v>2.9000000000000101</v>
      </c>
      <c r="O84" s="46">
        <f>_xlfn.NORM.DIST(tbl_StandardNormal[[#This Row],[x]], standard_normal_mean, standard_normal_std_dev, FALSE)</f>
        <v>5.9525324197756795E-3</v>
      </c>
      <c r="P84" s="46">
        <f>(
   1/(standard_normal_std_dev*(2*PI())^0.5)
 )
 * EXP(1)^(
    -0.5
    * ((tbl_StandardNormal[[#This Row],[x]]-standard_normal_mean)/standard_normal_std_dev) ^ 2
    )</f>
        <v>5.9525324197756795E-3</v>
      </c>
      <c r="Q84" s="46">
        <f>tbl_StandardNormal[[#This Row],[PDF =  f(x)]]-tbl_StandardNormal[[#This Row],[Manual check]]</f>
        <v>0</v>
      </c>
      <c r="R84" s="46">
        <f t="shared" si="1"/>
        <v>6.9339920013777173E-4</v>
      </c>
      <c r="S84" s="46">
        <f>SUM($R$21:R84)</f>
        <v>0.99777939880572397</v>
      </c>
    </row>
    <row r="85" spans="14:19" x14ac:dyDescent="0.35">
      <c r="N85" s="38">
        <v>3.0000000000000102</v>
      </c>
      <c r="O85" s="46">
        <f>_xlfn.NORM.DIST(tbl_StandardNormal[[#This Row],[x]], standard_normal_mean, standard_normal_std_dev, FALSE)</f>
        <v>4.431848411937874E-3</v>
      </c>
      <c r="P85" s="46">
        <f>(
   1/(standard_normal_std_dev*(2*PI())^0.5)
 )
 * EXP(1)^(
    -0.5
    * ((tbl_StandardNormal[[#This Row],[x]]-standard_normal_mean)/standard_normal_std_dev) ^ 2
    )</f>
        <v>4.431848411937874E-3</v>
      </c>
      <c r="Q85" s="46">
        <f>tbl_StandardNormal[[#This Row],[PDF =  f(x)]]-tbl_StandardNormal[[#This Row],[Manual check]]</f>
        <v>0</v>
      </c>
      <c r="R85" s="46">
        <f t="shared" si="1"/>
        <v>5.1921904158567817E-4</v>
      </c>
      <c r="S85" s="46">
        <f>SUM($R$21:R85)</f>
        <v>0.99829861784730967</v>
      </c>
    </row>
    <row r="86" spans="14:19" x14ac:dyDescent="0.35">
      <c r="N86" s="38">
        <v>3.1000000000000099</v>
      </c>
      <c r="O86" s="46">
        <f>_xlfn.NORM.DIST(tbl_StandardNormal[[#This Row],[x]], standard_normal_mean, standard_normal_std_dev, FALSE)</f>
        <v>3.2668190561998202E-3</v>
      </c>
      <c r="P86" s="46">
        <f>(
   1/(standard_normal_std_dev*(2*PI())^0.5)
 )
 * EXP(1)^(
    -0.5
    * ((tbl_StandardNormal[[#This Row],[x]]-standard_normal_mean)/standard_normal_std_dev) ^ 2
    )</f>
        <v>3.2668190561998202E-3</v>
      </c>
      <c r="Q86" s="46">
        <f>tbl_StandardNormal[[#This Row],[PDF =  f(x)]]-tbl_StandardNormal[[#This Row],[Manual check]]</f>
        <v>0</v>
      </c>
      <c r="R86" s="46">
        <f t="shared" si="1"/>
        <v>3.8493337340688339E-4</v>
      </c>
      <c r="S86" s="46">
        <f>SUM($R$21:R86)</f>
        <v>0.9986835512207165</v>
      </c>
    </row>
    <row r="87" spans="14:19" x14ac:dyDescent="0.35">
      <c r="N87" s="38">
        <v>3.2000000000000099</v>
      </c>
      <c r="O87" s="46">
        <f>_xlfn.NORM.DIST(tbl_StandardNormal[[#This Row],[x]], standard_normal_mean, standard_normal_std_dev, FALSE)</f>
        <v>2.3840882014647662E-3</v>
      </c>
      <c r="P87" s="46">
        <f>(
   1/(standard_normal_std_dev*(2*PI())^0.5)
 )
 * EXP(1)^(
    -0.5
    * ((tbl_StandardNormal[[#This Row],[x]]-standard_normal_mean)/standard_normal_std_dev) ^ 2
    )</f>
        <v>2.3840882014647662E-3</v>
      </c>
      <c r="Q87" s="46">
        <f>tbl_StandardNormal[[#This Row],[PDF =  f(x)]]-tbl_StandardNormal[[#This Row],[Manual check]]</f>
        <v>0</v>
      </c>
      <c r="R87" s="46">
        <f t="shared" si="1"/>
        <v>2.8254536288322953E-4</v>
      </c>
      <c r="S87" s="46">
        <f>SUM($R$21:R87)</f>
        <v>0.99896609658359969</v>
      </c>
    </row>
    <row r="88" spans="14:19" x14ac:dyDescent="0.35">
      <c r="N88" s="38">
        <v>3.30000000000001</v>
      </c>
      <c r="O88" s="46">
        <f>_xlfn.NORM.DIST(tbl_StandardNormal[[#This Row],[x]], standard_normal_mean, standard_normal_std_dev, FALSE)</f>
        <v>1.7225689390536229E-3</v>
      </c>
      <c r="P88" s="46">
        <f>(
   1/(standard_normal_std_dev*(2*PI())^0.5)
 )
 * EXP(1)^(
    -0.5
    * ((tbl_StandardNormal[[#This Row],[x]]-standard_normal_mean)/standard_normal_std_dev) ^ 2
    )</f>
        <v>1.7225689390536229E-3</v>
      </c>
      <c r="Q88" s="46">
        <f>tbl_StandardNormal[[#This Row],[PDF =  f(x)]]-tbl_StandardNormal[[#This Row],[Manual check]]</f>
        <v>0</v>
      </c>
      <c r="R88" s="46">
        <f t="shared" si="1"/>
        <v>2.0533285702591965E-4</v>
      </c>
      <c r="S88" s="46">
        <f>SUM($R$21:R88)</f>
        <v>0.99917142944062565</v>
      </c>
    </row>
    <row r="89" spans="14:19" x14ac:dyDescent="0.35">
      <c r="N89" s="38">
        <v>3.4000000000000101</v>
      </c>
      <c r="O89" s="46">
        <f>_xlfn.NORM.DIST(tbl_StandardNormal[[#This Row],[x]], standard_normal_mean, standard_normal_std_dev, FALSE)</f>
        <v>1.2322191684729772E-3</v>
      </c>
      <c r="P89" s="46">
        <f>(
   1/(standard_normal_std_dev*(2*PI())^0.5)
 )
 * EXP(1)^(
    -0.5
    * ((tbl_StandardNormal[[#This Row],[x]]-standard_normal_mean)/standard_normal_std_dev) ^ 2
    )</f>
        <v>1.2322191684729772E-3</v>
      </c>
      <c r="Q89" s="46">
        <f>tbl_StandardNormal[[#This Row],[PDF =  f(x)]]-tbl_StandardNormal[[#This Row],[Manual check]]</f>
        <v>0</v>
      </c>
      <c r="R89" s="46">
        <f t="shared" si="1"/>
        <v>1.4773940537633014E-4</v>
      </c>
      <c r="S89" s="46">
        <f>SUM($R$21:R89)</f>
        <v>0.99931916884600203</v>
      </c>
    </row>
  </sheetData>
  <phoneticPr fontId="17" type="noConversion"/>
  <conditionalFormatting sqref="G1:J1">
    <cfRule type="expression" dxfId="0" priority="1">
      <formula>NOT(ISERROR(FIND("ERROR", UPPER($G$1))))</formula>
    </cfRule>
  </conditionalFormatting>
  <dataValidations count="1">
    <dataValidation type="list" allowBlank="1" showInputMessage="1" showErrorMessage="1" sqref="C12:C13" xr:uid="{9D6878AC-3D7D-44E0-9727-4E84C43A216F}">
      <formula1>standard_normal_selector_values</formula1>
    </dataValidation>
  </dataValidations>
  <hyperlinks>
    <hyperlink ref="B3" location="TableOfContents!B3" display="Return to table of contents" xr:uid="{E88F0061-E20B-4C0B-B4E7-695A01636E94}"/>
  </hyperlink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90730-B941-4AB2-AEFB-15EBF317781F}">
  <dimension ref="B2:O81"/>
  <sheetViews>
    <sheetView showGridLines="0" topLeftCell="A3" zoomScale="80" zoomScaleNormal="80" workbookViewId="0">
      <selection activeCell="H14" sqref="H14"/>
    </sheetView>
  </sheetViews>
  <sheetFormatPr defaultRowHeight="14.5" x14ac:dyDescent="0.35"/>
  <cols>
    <col min="3" max="3" width="27.26953125" customWidth="1"/>
    <col min="5" max="5" width="8.7265625" style="39"/>
    <col min="10" max="10" width="34.54296875" style="14" customWidth="1"/>
    <col min="11" max="11" width="28.08984375" customWidth="1"/>
    <col min="15" max="15" width="10.453125" bestFit="1" customWidth="1"/>
  </cols>
  <sheetData>
    <row r="2" spans="2:14" x14ac:dyDescent="0.35">
      <c r="B2" s="5" t="s">
        <v>14</v>
      </c>
      <c r="F2" s="5" t="s">
        <v>9</v>
      </c>
      <c r="L2" s="5" t="s">
        <v>8</v>
      </c>
    </row>
    <row r="3" spans="2:14" x14ac:dyDescent="0.35">
      <c r="F3" t="s">
        <v>10</v>
      </c>
      <c r="L3" s="16" t="s">
        <v>7</v>
      </c>
    </row>
    <row r="6" spans="2:14" x14ac:dyDescent="0.35">
      <c r="B6" s="48" cm="1">
        <f t="array" ref="B6:B74">tbl_StandardNormal[x]</f>
        <v>-3.4</v>
      </c>
      <c r="F6" t="s">
        <v>11</v>
      </c>
      <c r="L6" t="s">
        <v>5</v>
      </c>
      <c r="N6" s="17">
        <v>10000</v>
      </c>
    </row>
    <row r="7" spans="2:14" x14ac:dyDescent="0.35">
      <c r="B7" s="48">
        <v>-3.3</v>
      </c>
      <c r="F7" t="s">
        <v>12</v>
      </c>
    </row>
    <row r="8" spans="2:14" x14ac:dyDescent="0.35">
      <c r="B8" s="48">
        <v>-3.2</v>
      </c>
      <c r="F8" t="s">
        <v>13</v>
      </c>
      <c r="L8" t="s">
        <v>18</v>
      </c>
      <c r="N8">
        <v>-4</v>
      </c>
    </row>
    <row r="9" spans="2:14" x14ac:dyDescent="0.35">
      <c r="B9" s="48">
        <v>-3.1</v>
      </c>
      <c r="L9" t="s">
        <v>19</v>
      </c>
      <c r="N9">
        <v>4</v>
      </c>
    </row>
    <row r="10" spans="2:14" x14ac:dyDescent="0.35">
      <c r="B10" s="48">
        <v>-3</v>
      </c>
    </row>
    <row r="11" spans="2:14" x14ac:dyDescent="0.35">
      <c r="B11" s="48">
        <v>-2.9</v>
      </c>
      <c r="L11" t="s">
        <v>22</v>
      </c>
    </row>
    <row r="12" spans="2:14" x14ac:dyDescent="0.35">
      <c r="B12" s="48">
        <v>-2.8</v>
      </c>
      <c r="F12" t="str">
        <f>"F(X&lt;=" &amp; TEXT(standard_normal_start_value, "0.0") &amp; ") = "</f>
        <v xml:space="preserve">F(X&lt;=-2.0) = </v>
      </c>
      <c r="H12" t="str">
        <f>"F(X&lt;=" &amp; TEXT(standard_normal_end_value, "0.0") &amp; ") = "</f>
        <v xml:space="preserve">F(X&lt;=2.0) = </v>
      </c>
      <c r="L12" t="s">
        <v>23</v>
      </c>
    </row>
    <row r="13" spans="2:14" x14ac:dyDescent="0.35">
      <c r="B13" s="48">
        <v>-2.7</v>
      </c>
      <c r="F13" t="e" cm="1">
        <f t="array" ref="F13:F81">IF(
    tbl_StandardNormal[x] = standard_normal_start_value,
    tbl_StandardNormal[Integral (CDF) by trapezoid rule],
    NA()
)</f>
        <v>#N/A</v>
      </c>
      <c r="H13" t="e" cm="1">
        <f t="array" ref="H13:H81">IF(
    tbl_StandardNormal[x] = standard_normal_end_value,
    tbl_StandardNormal[Integral (CDF) by trapezoid rule],
    NA()
)</f>
        <v>#N/A</v>
      </c>
    </row>
    <row r="14" spans="2:14" x14ac:dyDescent="0.35">
      <c r="B14" s="48">
        <v>-2.6</v>
      </c>
      <c r="F14" t="e">
        <v>#N/A</v>
      </c>
      <c r="H14" t="e">
        <v>#N/A</v>
      </c>
    </row>
    <row r="15" spans="2:14" x14ac:dyDescent="0.35">
      <c r="B15" s="48">
        <v>-2.5</v>
      </c>
      <c r="F15" t="e">
        <v>#N/A</v>
      </c>
      <c r="H15" t="e">
        <v>#N/A</v>
      </c>
    </row>
    <row r="16" spans="2:14" x14ac:dyDescent="0.35">
      <c r="B16" s="48">
        <v>-2.4</v>
      </c>
      <c r="F16" t="e">
        <v>#N/A</v>
      </c>
      <c r="H16" t="e">
        <v>#N/A</v>
      </c>
    </row>
    <row r="17" spans="2:15" x14ac:dyDescent="0.35">
      <c r="B17" s="48">
        <v>-2.2999999999999998</v>
      </c>
      <c r="F17" t="e">
        <v>#N/A</v>
      </c>
      <c r="H17" t="e">
        <v>#N/A</v>
      </c>
      <c r="N17" t="s">
        <v>20</v>
      </c>
      <c r="O17" t="s">
        <v>6</v>
      </c>
    </row>
    <row r="18" spans="2:15" x14ac:dyDescent="0.35">
      <c r="B18" s="48">
        <v>-2.2000000000000002</v>
      </c>
      <c r="F18" t="e">
        <v>#N/A</v>
      </c>
      <c r="H18" t="e">
        <v>#N/A</v>
      </c>
      <c r="M18" s="18">
        <f>MIN(tbl_StandardNormal[x])</f>
        <v>-3.4</v>
      </c>
      <c r="N18" s="17">
        <f t="shared" ref="N18:N72" si="0">(M18-$N$8) / ($N$9- $N$8) * $N$6</f>
        <v>750.00000000000011</v>
      </c>
      <c r="O18" s="40">
        <v>0</v>
      </c>
    </row>
    <row r="19" spans="2:15" x14ac:dyDescent="0.35">
      <c r="B19" s="48">
        <v>-2.1</v>
      </c>
      <c r="F19" t="e">
        <v>#N/A</v>
      </c>
      <c r="H19" t="e">
        <v>#N/A</v>
      </c>
      <c r="M19" s="20">
        <f>standard_normal_start_value</f>
        <v>-2</v>
      </c>
      <c r="N19" s="17">
        <f t="shared" si="0"/>
        <v>2500</v>
      </c>
      <c r="O19" s="40">
        <v>0</v>
      </c>
    </row>
    <row r="20" spans="2:15" x14ac:dyDescent="0.35">
      <c r="B20" s="48">
        <v>-2</v>
      </c>
      <c r="F20" t="e">
        <v>#N/A</v>
      </c>
      <c r="H20" t="e">
        <v>#N/A</v>
      </c>
      <c r="L20" cm="1">
        <f t="array" ref="L20:L70">_xlfn.SEQUENCE(51,1,0,0.02)</f>
        <v>0</v>
      </c>
      <c r="M20" s="20">
        <f>standard_normal_start_value</f>
        <v>-2</v>
      </c>
      <c r="N20" s="17">
        <f t="shared" si="0"/>
        <v>2500</v>
      </c>
      <c r="O20" s="50">
        <f t="shared" ref="O20:O51" si="1">_xlfn.NORM.DIST(M20, standard_normal_mean, standard_normal_std_dev, FALSE)</f>
        <v>5.3990966513188063E-2</v>
      </c>
    </row>
    <row r="21" spans="2:15" x14ac:dyDescent="0.35">
      <c r="B21" s="48">
        <v>-1.9</v>
      </c>
      <c r="F21" t="e">
        <v>#N/A</v>
      </c>
      <c r="H21" t="e">
        <v>#N/A</v>
      </c>
      <c r="L21">
        <v>0.02</v>
      </c>
      <c r="M21">
        <f t="shared" ref="M21:M52" si="2">standard_normal_start_value + (standard_normal_end_value-standard_normal_start_value)*L21</f>
        <v>-1.92</v>
      </c>
      <c r="N21" s="17">
        <f t="shared" si="0"/>
        <v>2600</v>
      </c>
      <c r="O21" s="50">
        <f t="shared" si="1"/>
        <v>6.3156561435198655E-2</v>
      </c>
    </row>
    <row r="22" spans="2:15" x14ac:dyDescent="0.35">
      <c r="B22" s="48">
        <v>-1.8</v>
      </c>
      <c r="F22" t="e">
        <v>#N/A</v>
      </c>
      <c r="H22" t="e">
        <v>#N/A</v>
      </c>
      <c r="L22">
        <v>0.04</v>
      </c>
      <c r="M22">
        <f t="shared" si="2"/>
        <v>-1.84</v>
      </c>
      <c r="N22" s="17">
        <f t="shared" si="0"/>
        <v>2700</v>
      </c>
      <c r="O22" s="50">
        <f t="shared" si="1"/>
        <v>7.3406812581656891E-2</v>
      </c>
    </row>
    <row r="23" spans="2:15" x14ac:dyDescent="0.35">
      <c r="B23" s="48">
        <v>-1.7</v>
      </c>
      <c r="F23" t="e">
        <v>#N/A</v>
      </c>
      <c r="H23" t="e">
        <v>#N/A</v>
      </c>
      <c r="L23">
        <v>0.06</v>
      </c>
      <c r="M23">
        <f t="shared" si="2"/>
        <v>-1.76</v>
      </c>
      <c r="N23" s="17">
        <f t="shared" si="0"/>
        <v>2800.0000000000005</v>
      </c>
      <c r="O23" s="50">
        <f t="shared" si="1"/>
        <v>8.4776361308022227E-2</v>
      </c>
    </row>
    <row r="24" spans="2:15" x14ac:dyDescent="0.35">
      <c r="B24" s="48">
        <v>-1.6</v>
      </c>
      <c r="F24" t="e">
        <v>#N/A</v>
      </c>
      <c r="H24" t="e">
        <v>#N/A</v>
      </c>
      <c r="L24">
        <v>0.08</v>
      </c>
      <c r="M24">
        <f t="shared" si="2"/>
        <v>-1.68</v>
      </c>
      <c r="N24" s="17">
        <f t="shared" si="0"/>
        <v>2900.0000000000005</v>
      </c>
      <c r="O24" s="50">
        <f t="shared" si="1"/>
        <v>9.7282269331467511E-2</v>
      </c>
    </row>
    <row r="25" spans="2:15" x14ac:dyDescent="0.35">
      <c r="B25" s="48">
        <v>-1.5</v>
      </c>
      <c r="F25" t="e">
        <v>#N/A</v>
      </c>
      <c r="H25" t="e">
        <v>#N/A</v>
      </c>
      <c r="L25">
        <v>0.1</v>
      </c>
      <c r="M25">
        <f t="shared" si="2"/>
        <v>-1.6</v>
      </c>
      <c r="N25" s="17">
        <f t="shared" si="0"/>
        <v>3000</v>
      </c>
      <c r="O25" s="50">
        <f t="shared" si="1"/>
        <v>0.11092083467945554</v>
      </c>
    </row>
    <row r="26" spans="2:15" x14ac:dyDescent="0.35">
      <c r="B26" s="48">
        <v>-1.4</v>
      </c>
      <c r="F26" t="e">
        <v>#N/A</v>
      </c>
      <c r="H26" t="e">
        <v>#N/A</v>
      </c>
      <c r="L26">
        <v>0.12000000000000001</v>
      </c>
      <c r="M26">
        <f t="shared" si="2"/>
        <v>-1.52</v>
      </c>
      <c r="N26" s="17">
        <f t="shared" si="0"/>
        <v>3100</v>
      </c>
      <c r="O26" s="50">
        <f t="shared" si="1"/>
        <v>0.12566463678908815</v>
      </c>
    </row>
    <row r="27" spans="2:15" x14ac:dyDescent="0.35">
      <c r="B27" s="48">
        <v>-1.3</v>
      </c>
      <c r="F27">
        <v>2.2499686285702227E-2</v>
      </c>
      <c r="H27" t="e">
        <v>#N/A</v>
      </c>
      <c r="L27">
        <v>0.14000000000000001</v>
      </c>
      <c r="M27">
        <f t="shared" si="2"/>
        <v>-1.44</v>
      </c>
      <c r="N27" s="17">
        <f t="shared" si="0"/>
        <v>3200</v>
      </c>
      <c r="O27" s="50">
        <f t="shared" si="1"/>
        <v>0.14145996522483878</v>
      </c>
    </row>
    <row r="28" spans="2:15" x14ac:dyDescent="0.35">
      <c r="B28" s="48">
        <v>-1.2</v>
      </c>
      <c r="F28" t="e">
        <v>#N/A</v>
      </c>
      <c r="H28" t="e">
        <v>#N/A</v>
      </c>
      <c r="L28">
        <v>0.16</v>
      </c>
      <c r="M28">
        <f t="shared" si="2"/>
        <v>-1.3599999999999999</v>
      </c>
      <c r="N28" s="17">
        <f t="shared" si="0"/>
        <v>3300</v>
      </c>
      <c r="O28" s="50">
        <f t="shared" si="1"/>
        <v>0.15822479037038306</v>
      </c>
    </row>
    <row r="29" spans="2:15" x14ac:dyDescent="0.35">
      <c r="B29" s="48">
        <v>-1.1000000000000001</v>
      </c>
      <c r="F29" t="e">
        <v>#N/A</v>
      </c>
      <c r="H29" t="e">
        <v>#N/A</v>
      </c>
      <c r="L29">
        <v>0.18</v>
      </c>
      <c r="M29">
        <f t="shared" si="2"/>
        <v>-1.28</v>
      </c>
      <c r="N29" s="17">
        <f t="shared" si="0"/>
        <v>3399.9999999999995</v>
      </c>
      <c r="O29" s="50">
        <f t="shared" si="1"/>
        <v>0.17584743029766237</v>
      </c>
    </row>
    <row r="30" spans="2:15" x14ac:dyDescent="0.35">
      <c r="B30" s="48">
        <v>-1</v>
      </c>
      <c r="F30" t="e">
        <v>#N/A</v>
      </c>
      <c r="H30" t="e">
        <v>#N/A</v>
      </c>
      <c r="L30">
        <v>0.19999999999999998</v>
      </c>
      <c r="M30">
        <f t="shared" si="2"/>
        <v>-1.2000000000000002</v>
      </c>
      <c r="N30" s="17">
        <f t="shared" si="0"/>
        <v>3500</v>
      </c>
      <c r="O30" s="50">
        <f t="shared" si="1"/>
        <v>0.19418605498321292</v>
      </c>
    </row>
    <row r="31" spans="2:15" x14ac:dyDescent="0.35">
      <c r="B31" s="48">
        <v>-0.9</v>
      </c>
      <c r="F31" t="e">
        <v>#N/A</v>
      </c>
      <c r="H31" t="e">
        <v>#N/A</v>
      </c>
      <c r="L31">
        <v>0.21999999999999997</v>
      </c>
      <c r="M31">
        <f t="shared" si="2"/>
        <v>-1.1200000000000001</v>
      </c>
      <c r="N31" s="17">
        <f t="shared" si="0"/>
        <v>3600</v>
      </c>
      <c r="O31" s="50">
        <f t="shared" si="1"/>
        <v>0.21306914677571784</v>
      </c>
    </row>
    <row r="32" spans="2:15" x14ac:dyDescent="0.35">
      <c r="B32" s="48">
        <v>-0.8</v>
      </c>
      <c r="F32" t="e">
        <v>#N/A</v>
      </c>
      <c r="H32" t="e">
        <v>#N/A</v>
      </c>
      <c r="L32">
        <v>0.23999999999999996</v>
      </c>
      <c r="M32">
        <f t="shared" si="2"/>
        <v>-1.04</v>
      </c>
      <c r="N32" s="17">
        <f t="shared" si="0"/>
        <v>3700</v>
      </c>
      <c r="O32" s="50">
        <f t="shared" si="1"/>
        <v>0.2322970047433662</v>
      </c>
    </row>
    <row r="33" spans="2:15" x14ac:dyDescent="0.35">
      <c r="B33" s="48">
        <v>-0.7</v>
      </c>
      <c r="F33" t="e">
        <v>#N/A</v>
      </c>
      <c r="H33" t="e">
        <v>#N/A</v>
      </c>
      <c r="L33">
        <v>0.25999999999999995</v>
      </c>
      <c r="M33">
        <f t="shared" si="2"/>
        <v>-0.96000000000000019</v>
      </c>
      <c r="N33" s="17">
        <f t="shared" si="0"/>
        <v>3800</v>
      </c>
      <c r="O33" s="50">
        <f t="shared" si="1"/>
        <v>0.25164434109811712</v>
      </c>
    </row>
    <row r="34" spans="2:15" x14ac:dyDescent="0.35">
      <c r="B34" s="48">
        <v>-0.6</v>
      </c>
      <c r="F34" t="e">
        <v>#N/A</v>
      </c>
      <c r="H34" t="e">
        <v>#N/A</v>
      </c>
      <c r="L34">
        <v>0.27999999999999997</v>
      </c>
      <c r="M34">
        <f t="shared" si="2"/>
        <v>-0.88000000000000012</v>
      </c>
      <c r="N34" s="17">
        <f t="shared" si="0"/>
        <v>3900</v>
      </c>
      <c r="O34" s="50">
        <f t="shared" si="1"/>
        <v>0.27086397179833799</v>
      </c>
    </row>
    <row r="35" spans="2:15" x14ac:dyDescent="0.35">
      <c r="B35" s="48">
        <v>-0.5</v>
      </c>
      <c r="F35" t="e">
        <v>#N/A</v>
      </c>
      <c r="H35" t="e">
        <v>#N/A</v>
      </c>
      <c r="L35">
        <v>0.3</v>
      </c>
      <c r="M35">
        <f t="shared" si="2"/>
        <v>-0.8</v>
      </c>
      <c r="N35" s="17">
        <f t="shared" si="0"/>
        <v>4000</v>
      </c>
      <c r="O35" s="50">
        <f t="shared" si="1"/>
        <v>0.28969155276148273</v>
      </c>
    </row>
    <row r="36" spans="2:15" x14ac:dyDescent="0.35">
      <c r="B36" s="48">
        <v>-0.4</v>
      </c>
      <c r="F36" t="e">
        <v>#N/A</v>
      </c>
      <c r="H36" t="e">
        <v>#N/A</v>
      </c>
      <c r="L36">
        <v>0.32</v>
      </c>
      <c r="M36">
        <f t="shared" si="2"/>
        <v>-0.72</v>
      </c>
      <c r="N36" s="17">
        <f t="shared" si="0"/>
        <v>4100</v>
      </c>
      <c r="O36" s="50">
        <f t="shared" si="1"/>
        <v>0.30785126046985295</v>
      </c>
    </row>
    <row r="37" spans="2:15" x14ac:dyDescent="0.35">
      <c r="B37" s="48">
        <v>-0.3</v>
      </c>
      <c r="F37" t="e">
        <v>#N/A</v>
      </c>
      <c r="H37" t="e">
        <v>#N/A</v>
      </c>
      <c r="L37">
        <v>0.34</v>
      </c>
      <c r="M37">
        <f t="shared" si="2"/>
        <v>-0.6399999999999999</v>
      </c>
      <c r="N37" s="17">
        <f t="shared" si="0"/>
        <v>4200</v>
      </c>
      <c r="O37" s="50">
        <f t="shared" si="1"/>
        <v>0.32506226408408218</v>
      </c>
    </row>
    <row r="38" spans="2:15" x14ac:dyDescent="0.35">
      <c r="B38" s="48">
        <v>-0.2</v>
      </c>
      <c r="F38" t="e">
        <v>#N/A</v>
      </c>
      <c r="H38" t="e">
        <v>#N/A</v>
      </c>
      <c r="L38">
        <v>0.36000000000000004</v>
      </c>
      <c r="M38">
        <f t="shared" si="2"/>
        <v>-0.55999999999999983</v>
      </c>
      <c r="N38" s="17">
        <f t="shared" si="0"/>
        <v>4300.0000000000009</v>
      </c>
      <c r="O38" s="50">
        <f t="shared" si="1"/>
        <v>0.34104578863035256</v>
      </c>
    </row>
    <row r="39" spans="2:15" x14ac:dyDescent="0.35">
      <c r="B39" s="48">
        <v>-0.1</v>
      </c>
      <c r="F39" t="e">
        <v>#N/A</v>
      </c>
      <c r="H39" t="e">
        <v>#N/A</v>
      </c>
      <c r="L39">
        <v>0.38000000000000006</v>
      </c>
      <c r="M39">
        <f t="shared" si="2"/>
        <v>-0.47999999999999976</v>
      </c>
      <c r="N39" s="17">
        <f t="shared" si="0"/>
        <v>4400.0000000000009</v>
      </c>
      <c r="O39" s="50">
        <f t="shared" si="1"/>
        <v>0.35553252850599715</v>
      </c>
    </row>
    <row r="40" spans="2:15" x14ac:dyDescent="0.35">
      <c r="B40" s="48">
        <v>0</v>
      </c>
      <c r="F40" t="e">
        <v>#N/A</v>
      </c>
      <c r="H40" t="e">
        <v>#N/A</v>
      </c>
      <c r="L40">
        <v>0.40000000000000008</v>
      </c>
      <c r="M40">
        <f t="shared" si="2"/>
        <v>-0.39999999999999969</v>
      </c>
      <c r="N40" s="17">
        <f t="shared" si="0"/>
        <v>4500.0000000000009</v>
      </c>
      <c r="O40" s="50">
        <f t="shared" si="1"/>
        <v>0.36827014030332339</v>
      </c>
    </row>
    <row r="41" spans="2:15" x14ac:dyDescent="0.35">
      <c r="B41" s="48">
        <v>0.1</v>
      </c>
      <c r="F41" t="e">
        <v>#N/A</v>
      </c>
      <c r="H41" t="e">
        <v>#N/A</v>
      </c>
      <c r="L41">
        <v>0.4200000000000001</v>
      </c>
      <c r="M41">
        <f t="shared" si="2"/>
        <v>-0.31999999999999962</v>
      </c>
      <c r="N41" s="17">
        <f t="shared" si="0"/>
        <v>4600.0000000000009</v>
      </c>
      <c r="O41" s="50">
        <f t="shared" si="1"/>
        <v>0.37903052615270172</v>
      </c>
    </row>
    <row r="42" spans="2:15" x14ac:dyDescent="0.35">
      <c r="B42" s="48">
        <v>0.2</v>
      </c>
      <c r="F42" t="e">
        <v>#N/A</v>
      </c>
      <c r="H42" t="e">
        <v>#N/A</v>
      </c>
      <c r="L42">
        <v>0.44000000000000011</v>
      </c>
      <c r="M42">
        <f t="shared" si="2"/>
        <v>-0.23999999999999955</v>
      </c>
      <c r="N42" s="17">
        <f t="shared" si="0"/>
        <v>4700.0000000000009</v>
      </c>
      <c r="O42" s="50">
        <f t="shared" si="1"/>
        <v>0.38761661512501422</v>
      </c>
    </row>
    <row r="43" spans="2:15" x14ac:dyDescent="0.35">
      <c r="B43" s="48">
        <v>0.3</v>
      </c>
      <c r="F43" t="e">
        <v>#N/A</v>
      </c>
      <c r="H43" t="e">
        <v>#N/A</v>
      </c>
      <c r="L43">
        <v>0.46000000000000013</v>
      </c>
      <c r="M43">
        <f t="shared" si="2"/>
        <v>-0.15999999999999948</v>
      </c>
      <c r="N43" s="17">
        <f t="shared" si="0"/>
        <v>4800.0000000000009</v>
      </c>
      <c r="O43" s="50">
        <f t="shared" si="1"/>
        <v>0.39386836156854088</v>
      </c>
    </row>
    <row r="44" spans="2:15" x14ac:dyDescent="0.35">
      <c r="B44" s="48">
        <v>0.4</v>
      </c>
      <c r="F44" t="e">
        <v>#N/A</v>
      </c>
      <c r="H44" t="e">
        <v>#N/A</v>
      </c>
      <c r="L44">
        <v>0.48000000000000015</v>
      </c>
      <c r="M44">
        <f t="shared" si="2"/>
        <v>-7.9999999999999405E-2</v>
      </c>
      <c r="N44" s="17">
        <f t="shared" si="0"/>
        <v>4900.0000000000009</v>
      </c>
      <c r="O44" s="50">
        <f t="shared" si="1"/>
        <v>0.3976677055116089</v>
      </c>
    </row>
    <row r="45" spans="2:15" x14ac:dyDescent="0.35">
      <c r="B45" s="48">
        <v>0.5</v>
      </c>
      <c r="F45" t="e">
        <v>#N/A</v>
      </c>
      <c r="H45" t="e">
        <v>#N/A</v>
      </c>
      <c r="L45">
        <v>0.50000000000000011</v>
      </c>
      <c r="M45">
        <f t="shared" si="2"/>
        <v>0</v>
      </c>
      <c r="N45" s="17">
        <f t="shared" si="0"/>
        <v>5000</v>
      </c>
      <c r="O45" s="50">
        <f t="shared" si="1"/>
        <v>0.3989422804014327</v>
      </c>
    </row>
    <row r="46" spans="2:15" x14ac:dyDescent="0.35">
      <c r="B46" s="48">
        <v>0.6</v>
      </c>
      <c r="F46" t="e">
        <v>#N/A</v>
      </c>
      <c r="H46" t="e">
        <v>#N/A</v>
      </c>
      <c r="L46">
        <v>0.52000000000000013</v>
      </c>
      <c r="M46">
        <f t="shared" si="2"/>
        <v>8.0000000000000515E-2</v>
      </c>
      <c r="N46" s="17">
        <f t="shared" si="0"/>
        <v>5100</v>
      </c>
      <c r="O46" s="50">
        <f t="shared" si="1"/>
        <v>0.39766770551160885</v>
      </c>
    </row>
    <row r="47" spans="2:15" x14ac:dyDescent="0.35">
      <c r="B47" s="48">
        <v>0.7</v>
      </c>
      <c r="F47" t="e">
        <v>#N/A</v>
      </c>
      <c r="H47" t="e">
        <v>#N/A</v>
      </c>
      <c r="L47">
        <v>0.54000000000000015</v>
      </c>
      <c r="M47">
        <f t="shared" si="2"/>
        <v>0.16000000000000059</v>
      </c>
      <c r="N47" s="17">
        <f t="shared" si="0"/>
        <v>5200</v>
      </c>
      <c r="O47" s="50">
        <f t="shared" si="1"/>
        <v>0.39386836156854077</v>
      </c>
    </row>
    <row r="48" spans="2:15" x14ac:dyDescent="0.35">
      <c r="B48" s="48">
        <v>0.8</v>
      </c>
      <c r="F48" t="e">
        <v>#N/A</v>
      </c>
      <c r="H48" t="e">
        <v>#N/A</v>
      </c>
      <c r="L48">
        <v>0.56000000000000016</v>
      </c>
      <c r="M48">
        <f t="shared" si="2"/>
        <v>0.24000000000000066</v>
      </c>
      <c r="N48" s="17">
        <f t="shared" si="0"/>
        <v>5300</v>
      </c>
      <c r="O48" s="50">
        <f t="shared" si="1"/>
        <v>0.38761661512501405</v>
      </c>
    </row>
    <row r="49" spans="2:15" x14ac:dyDescent="0.35">
      <c r="B49" s="48">
        <v>0.9</v>
      </c>
      <c r="F49" t="e">
        <v>#N/A</v>
      </c>
      <c r="H49" t="e">
        <v>#N/A</v>
      </c>
      <c r="L49">
        <v>0.58000000000000018</v>
      </c>
      <c r="M49">
        <f t="shared" si="2"/>
        <v>0.32000000000000073</v>
      </c>
      <c r="N49" s="17">
        <f t="shared" si="0"/>
        <v>5400</v>
      </c>
      <c r="O49" s="50">
        <f t="shared" si="1"/>
        <v>0.37903052615270161</v>
      </c>
    </row>
    <row r="50" spans="2:15" x14ac:dyDescent="0.35">
      <c r="B50" s="48">
        <v>1</v>
      </c>
      <c r="F50" t="e">
        <v>#N/A</v>
      </c>
      <c r="H50" t="e">
        <v>#N/A</v>
      </c>
      <c r="L50">
        <v>0.6000000000000002</v>
      </c>
      <c r="M50">
        <f t="shared" si="2"/>
        <v>0.4000000000000008</v>
      </c>
      <c r="N50" s="17">
        <f t="shared" si="0"/>
        <v>5500</v>
      </c>
      <c r="O50" s="50">
        <f t="shared" si="1"/>
        <v>0.36827014030332322</v>
      </c>
    </row>
    <row r="51" spans="2:15" x14ac:dyDescent="0.35">
      <c r="B51" s="48">
        <v>1.1000000000000001</v>
      </c>
      <c r="F51" t="e">
        <v>#N/A</v>
      </c>
      <c r="H51" t="e">
        <v>#N/A</v>
      </c>
      <c r="L51">
        <v>0.62000000000000022</v>
      </c>
      <c r="M51">
        <f t="shared" si="2"/>
        <v>0.48000000000000087</v>
      </c>
      <c r="N51" s="17">
        <f t="shared" si="0"/>
        <v>5600.0000000000009</v>
      </c>
      <c r="O51" s="50">
        <f t="shared" si="1"/>
        <v>0.35553252850599693</v>
      </c>
    </row>
    <row r="52" spans="2:15" x14ac:dyDescent="0.35">
      <c r="B52" s="48">
        <v>1.2</v>
      </c>
      <c r="F52" t="e">
        <v>#N/A</v>
      </c>
      <c r="H52" t="e">
        <v>#N/A</v>
      </c>
      <c r="L52">
        <v>0.64000000000000024</v>
      </c>
      <c r="M52">
        <f t="shared" si="2"/>
        <v>0.56000000000000094</v>
      </c>
      <c r="N52" s="17">
        <f t="shared" si="0"/>
        <v>5700.0000000000009</v>
      </c>
      <c r="O52" s="50">
        <f t="shared" ref="O52:O70" si="3">_xlfn.NORM.DIST(M52, standard_normal_mean, standard_normal_std_dev, FALSE)</f>
        <v>0.3410457886303524</v>
      </c>
    </row>
    <row r="53" spans="2:15" x14ac:dyDescent="0.35">
      <c r="B53" s="48">
        <v>1.3</v>
      </c>
      <c r="F53" t="e">
        <v>#N/A</v>
      </c>
      <c r="H53" t="e">
        <v>#N/A</v>
      </c>
      <c r="L53">
        <v>0.66000000000000025</v>
      </c>
      <c r="M53">
        <f t="shared" ref="M53:M69" si="4">standard_normal_start_value + (standard_normal_end_value-standard_normal_start_value)*L53</f>
        <v>0.64000000000000101</v>
      </c>
      <c r="N53" s="17">
        <f t="shared" si="0"/>
        <v>5800.0000000000009</v>
      </c>
      <c r="O53" s="50">
        <f t="shared" si="3"/>
        <v>0.32506226408408195</v>
      </c>
    </row>
    <row r="54" spans="2:15" x14ac:dyDescent="0.35">
      <c r="B54" s="48">
        <v>1.4</v>
      </c>
      <c r="F54" t="e">
        <v>#N/A</v>
      </c>
      <c r="H54" t="e">
        <v>#N/A</v>
      </c>
      <c r="L54">
        <v>0.68000000000000027</v>
      </c>
      <c r="M54">
        <f t="shared" si="4"/>
        <v>0.72000000000000108</v>
      </c>
      <c r="N54" s="17">
        <f t="shared" si="0"/>
        <v>5900.0000000000009</v>
      </c>
      <c r="O54" s="50">
        <f t="shared" si="3"/>
        <v>0.30785126046985267</v>
      </c>
    </row>
    <row r="55" spans="2:15" x14ac:dyDescent="0.35">
      <c r="B55" s="48">
        <v>1.5</v>
      </c>
      <c r="F55" t="e">
        <v>#N/A</v>
      </c>
      <c r="H55" t="e">
        <v>#N/A</v>
      </c>
      <c r="L55">
        <v>0.70000000000000029</v>
      </c>
      <c r="M55">
        <f t="shared" si="4"/>
        <v>0.80000000000000115</v>
      </c>
      <c r="N55" s="17">
        <f t="shared" si="0"/>
        <v>6000.0000000000009</v>
      </c>
      <c r="O55" s="50">
        <f t="shared" si="3"/>
        <v>0.28969155276148251</v>
      </c>
    </row>
    <row r="56" spans="2:15" x14ac:dyDescent="0.35">
      <c r="B56" s="48">
        <v>1.6</v>
      </c>
      <c r="F56" t="e">
        <v>#N/A</v>
      </c>
      <c r="H56" t="e">
        <v>#N/A</v>
      </c>
      <c r="L56">
        <v>0.72000000000000031</v>
      </c>
      <c r="M56">
        <f t="shared" si="4"/>
        <v>0.88000000000000123</v>
      </c>
      <c r="N56" s="17">
        <f t="shared" si="0"/>
        <v>6100.0000000000009</v>
      </c>
      <c r="O56" s="50">
        <f t="shared" si="3"/>
        <v>0.27086397179833777</v>
      </c>
    </row>
    <row r="57" spans="2:15" x14ac:dyDescent="0.35">
      <c r="B57" s="48">
        <v>1.7</v>
      </c>
      <c r="F57" t="e">
        <v>#N/A</v>
      </c>
      <c r="H57" t="e">
        <v>#N/A</v>
      </c>
      <c r="L57">
        <v>0.74000000000000032</v>
      </c>
      <c r="M57">
        <f t="shared" si="4"/>
        <v>0.9600000000000013</v>
      </c>
      <c r="N57" s="17">
        <f t="shared" si="0"/>
        <v>6200.0000000000009</v>
      </c>
      <c r="O57" s="50">
        <f t="shared" si="3"/>
        <v>0.25164434109811679</v>
      </c>
    </row>
    <row r="58" spans="2:15" x14ac:dyDescent="0.35">
      <c r="B58" s="48">
        <v>1.8</v>
      </c>
      <c r="F58" t="e">
        <v>#N/A</v>
      </c>
      <c r="H58" t="e">
        <v>#N/A</v>
      </c>
      <c r="L58">
        <v>0.76000000000000034</v>
      </c>
      <c r="M58">
        <f t="shared" si="4"/>
        <v>1.0400000000000014</v>
      </c>
      <c r="N58" s="17">
        <f t="shared" si="0"/>
        <v>6300.0000000000009</v>
      </c>
      <c r="O58" s="50">
        <f t="shared" si="3"/>
        <v>0.23229700474336587</v>
      </c>
    </row>
    <row r="59" spans="2:15" x14ac:dyDescent="0.35">
      <c r="B59" s="48">
        <v>1.9</v>
      </c>
      <c r="F59" t="e">
        <v>#N/A</v>
      </c>
      <c r="H59" t="e">
        <v>#N/A</v>
      </c>
      <c r="L59">
        <v>0.78000000000000036</v>
      </c>
      <c r="M59">
        <f t="shared" si="4"/>
        <v>1.1200000000000014</v>
      </c>
      <c r="N59" s="17">
        <f t="shared" si="0"/>
        <v>6400.0000000000009</v>
      </c>
      <c r="O59" s="50">
        <f t="shared" si="3"/>
        <v>0.21306914677571753</v>
      </c>
    </row>
    <row r="60" spans="2:15" x14ac:dyDescent="0.35">
      <c r="B60" s="48">
        <v>2</v>
      </c>
      <c r="F60" t="e">
        <v>#N/A</v>
      </c>
      <c r="H60" t="e">
        <v>#N/A</v>
      </c>
      <c r="L60">
        <v>0.80000000000000038</v>
      </c>
      <c r="M60">
        <f t="shared" si="4"/>
        <v>1.2000000000000015</v>
      </c>
      <c r="N60" s="17">
        <f t="shared" si="0"/>
        <v>6500.0000000000009</v>
      </c>
      <c r="O60" s="50">
        <f t="shared" si="3"/>
        <v>0.19418605498321259</v>
      </c>
    </row>
    <row r="61" spans="2:15" x14ac:dyDescent="0.35">
      <c r="B61" s="48">
        <v>2.1000000000000099</v>
      </c>
      <c r="F61" t="e">
        <v>#N/A</v>
      </c>
      <c r="H61" t="e">
        <v>#N/A</v>
      </c>
      <c r="L61">
        <v>0.8200000000000004</v>
      </c>
      <c r="M61">
        <f t="shared" si="4"/>
        <v>1.2800000000000016</v>
      </c>
      <c r="N61" s="17">
        <f t="shared" si="0"/>
        <v>6600.0000000000018</v>
      </c>
      <c r="O61" s="50">
        <f t="shared" si="3"/>
        <v>0.17584743029766201</v>
      </c>
    </row>
    <row r="62" spans="2:15" x14ac:dyDescent="0.35">
      <c r="B62" s="48">
        <v>2.2000000000000002</v>
      </c>
      <c r="F62" t="e">
        <v>#N/A</v>
      </c>
      <c r="H62" t="e">
        <v>#N/A</v>
      </c>
      <c r="L62">
        <v>0.84000000000000041</v>
      </c>
      <c r="M62">
        <f t="shared" si="4"/>
        <v>1.3600000000000017</v>
      </c>
      <c r="N62" s="17">
        <f t="shared" si="0"/>
        <v>6700.0000000000018</v>
      </c>
      <c r="O62" s="50">
        <f t="shared" si="3"/>
        <v>0.1582247903703827</v>
      </c>
    </row>
    <row r="63" spans="2:15" x14ac:dyDescent="0.35">
      <c r="B63" s="48">
        <v>2.2999999999999998</v>
      </c>
      <c r="F63" t="e">
        <v>#N/A</v>
      </c>
      <c r="H63" t="e">
        <v>#N/A</v>
      </c>
      <c r="L63">
        <v>0.86000000000000043</v>
      </c>
      <c r="M63">
        <f t="shared" si="4"/>
        <v>1.4400000000000017</v>
      </c>
      <c r="N63" s="17">
        <f t="shared" si="0"/>
        <v>6800.0000000000018</v>
      </c>
      <c r="O63" s="50">
        <f t="shared" si="3"/>
        <v>0.14145996522483845</v>
      </c>
    </row>
    <row r="64" spans="2:15" x14ac:dyDescent="0.35">
      <c r="B64" s="48">
        <v>2.4000000000000101</v>
      </c>
      <c r="F64" t="e">
        <v>#N/A</v>
      </c>
      <c r="H64" t="e">
        <v>#N/A</v>
      </c>
      <c r="L64">
        <v>0.88000000000000045</v>
      </c>
      <c r="M64">
        <f t="shared" si="4"/>
        <v>1.5200000000000018</v>
      </c>
      <c r="N64" s="17">
        <f t="shared" si="0"/>
        <v>6900.0000000000018</v>
      </c>
      <c r="O64" s="50">
        <f t="shared" si="3"/>
        <v>0.12566463678908782</v>
      </c>
    </row>
    <row r="65" spans="2:15" x14ac:dyDescent="0.35">
      <c r="B65" s="48">
        <v>2.5000000000000102</v>
      </c>
      <c r="F65" t="e">
        <v>#N/A</v>
      </c>
      <c r="H65" t="e">
        <v>#N/A</v>
      </c>
      <c r="L65">
        <v>0.90000000000000047</v>
      </c>
      <c r="M65">
        <f t="shared" si="4"/>
        <v>1.6000000000000019</v>
      </c>
      <c r="N65" s="17">
        <f t="shared" si="0"/>
        <v>7000.0000000000018</v>
      </c>
      <c r="O65" s="50">
        <f t="shared" si="3"/>
        <v>0.11092083467945524</v>
      </c>
    </row>
    <row r="66" spans="2:15" x14ac:dyDescent="0.35">
      <c r="B66" s="48">
        <v>2.6000000000000099</v>
      </c>
      <c r="F66" t="e">
        <v>#N/A</v>
      </c>
      <c r="H66" t="e">
        <v>#N/A</v>
      </c>
      <c r="L66">
        <v>0.92000000000000048</v>
      </c>
      <c r="M66">
        <f t="shared" si="4"/>
        <v>1.6800000000000019</v>
      </c>
      <c r="N66" s="17">
        <f t="shared" si="0"/>
        <v>7100.0000000000018</v>
      </c>
      <c r="O66" s="50">
        <f t="shared" si="3"/>
        <v>9.7282269331467178E-2</v>
      </c>
    </row>
    <row r="67" spans="2:15" x14ac:dyDescent="0.35">
      <c r="B67" s="48">
        <v>2.7</v>
      </c>
      <c r="F67" t="e">
        <v>#N/A</v>
      </c>
      <c r="H67">
        <v>0.97681948256029971</v>
      </c>
      <c r="L67">
        <v>0.9400000000000005</v>
      </c>
      <c r="M67">
        <f t="shared" si="4"/>
        <v>1.760000000000002</v>
      </c>
      <c r="N67" s="17">
        <f t="shared" si="0"/>
        <v>7200.0000000000018</v>
      </c>
      <c r="O67" s="50">
        <f t="shared" si="3"/>
        <v>8.4776361308021936E-2</v>
      </c>
    </row>
    <row r="68" spans="2:15" x14ac:dyDescent="0.35">
      <c r="B68" s="48">
        <v>2.80000000000001</v>
      </c>
      <c r="F68" t="e">
        <v>#N/A</v>
      </c>
      <c r="H68" t="e">
        <v>#N/A</v>
      </c>
      <c r="L68">
        <v>0.96000000000000052</v>
      </c>
      <c r="M68">
        <f t="shared" si="4"/>
        <v>1.8400000000000021</v>
      </c>
      <c r="N68" s="17">
        <f t="shared" si="0"/>
        <v>7300.0000000000018</v>
      </c>
      <c r="O68" s="50">
        <f t="shared" si="3"/>
        <v>7.3406812581656614E-2</v>
      </c>
    </row>
    <row r="69" spans="2:15" x14ac:dyDescent="0.35">
      <c r="B69" s="48">
        <v>2.9000000000000101</v>
      </c>
      <c r="F69" t="e">
        <v>#N/A</v>
      </c>
      <c r="H69" t="e">
        <v>#N/A</v>
      </c>
      <c r="L69">
        <v>0.98000000000000054</v>
      </c>
      <c r="M69">
        <f t="shared" si="4"/>
        <v>1.9200000000000021</v>
      </c>
      <c r="N69" s="17">
        <f t="shared" si="0"/>
        <v>7400.0000000000018</v>
      </c>
      <c r="O69" s="50">
        <f t="shared" si="3"/>
        <v>6.3156561435198391E-2</v>
      </c>
    </row>
    <row r="70" spans="2:15" x14ac:dyDescent="0.35">
      <c r="B70" s="48">
        <v>3.0000000000000102</v>
      </c>
      <c r="F70" t="e">
        <v>#N/A</v>
      </c>
      <c r="H70" t="e">
        <v>#N/A</v>
      </c>
      <c r="L70">
        <v>1.0000000000000004</v>
      </c>
      <c r="M70" s="20">
        <f>standard_normal_end_value</f>
        <v>2</v>
      </c>
      <c r="N70" s="17">
        <f t="shared" si="0"/>
        <v>7500</v>
      </c>
      <c r="O70" s="50">
        <f t="shared" si="3"/>
        <v>5.3990966513188063E-2</v>
      </c>
    </row>
    <row r="71" spans="2:15" x14ac:dyDescent="0.35">
      <c r="B71" s="48">
        <v>3.1000000000000099</v>
      </c>
      <c r="F71" t="e">
        <v>#N/A</v>
      </c>
      <c r="H71" t="e">
        <v>#N/A</v>
      </c>
      <c r="M71" s="20">
        <f>standard_normal_end_value</f>
        <v>2</v>
      </c>
      <c r="N71" s="17">
        <f t="shared" si="0"/>
        <v>7500</v>
      </c>
      <c r="O71" s="40">
        <v>0</v>
      </c>
    </row>
    <row r="72" spans="2:15" x14ac:dyDescent="0.35">
      <c r="B72" s="48">
        <v>3.2000000000000099</v>
      </c>
      <c r="F72" t="e">
        <v>#N/A</v>
      </c>
      <c r="H72" t="e">
        <v>#N/A</v>
      </c>
      <c r="M72" s="18">
        <f>MAX(tbl_StandardNormal[x])</f>
        <v>3.4000000000000101</v>
      </c>
      <c r="N72" s="17">
        <f t="shared" si="0"/>
        <v>9250.0000000000127</v>
      </c>
      <c r="O72" s="40">
        <v>0</v>
      </c>
    </row>
    <row r="73" spans="2:15" x14ac:dyDescent="0.35">
      <c r="B73" s="48">
        <v>3.30000000000001</v>
      </c>
      <c r="F73" t="e">
        <v>#N/A</v>
      </c>
      <c r="H73" t="e">
        <v>#N/A</v>
      </c>
    </row>
    <row r="74" spans="2:15" x14ac:dyDescent="0.35">
      <c r="B74" s="48">
        <v>3.4000000000000101</v>
      </c>
      <c r="F74" t="e">
        <v>#N/A</v>
      </c>
      <c r="H74" t="e">
        <v>#N/A</v>
      </c>
    </row>
    <row r="75" spans="2:15" x14ac:dyDescent="0.35">
      <c r="F75" t="e">
        <v>#N/A</v>
      </c>
      <c r="H75" t="e">
        <v>#N/A</v>
      </c>
    </row>
    <row r="76" spans="2:15" x14ac:dyDescent="0.35">
      <c r="F76" t="e">
        <v>#N/A</v>
      </c>
      <c r="H76" t="e">
        <v>#N/A</v>
      </c>
    </row>
    <row r="77" spans="2:15" x14ac:dyDescent="0.35">
      <c r="F77" t="e">
        <v>#N/A</v>
      </c>
      <c r="H77" t="e">
        <v>#N/A</v>
      </c>
    </row>
    <row r="78" spans="2:15" x14ac:dyDescent="0.35">
      <c r="F78" t="e">
        <v>#N/A</v>
      </c>
      <c r="H78" t="e">
        <v>#N/A</v>
      </c>
    </row>
    <row r="79" spans="2:15" x14ac:dyDescent="0.35">
      <c r="F79" t="e">
        <v>#N/A</v>
      </c>
      <c r="H79" t="e">
        <v>#N/A</v>
      </c>
    </row>
    <row r="80" spans="2:15" x14ac:dyDescent="0.35">
      <c r="F80" t="e">
        <v>#N/A</v>
      </c>
      <c r="H80" t="e">
        <v>#N/A</v>
      </c>
    </row>
    <row r="81" spans="6:8" x14ac:dyDescent="0.35">
      <c r="F81" t="e">
        <v>#N/A</v>
      </c>
      <c r="H81" t="e">
        <v>#N/A</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D8E8-433D-4C8D-B382-2A378B23C650}">
  <dimension ref="B2:O72"/>
  <sheetViews>
    <sheetView showGridLines="0" zoomScale="80" zoomScaleNormal="80" workbookViewId="0">
      <selection activeCell="H14" sqref="H14"/>
    </sheetView>
  </sheetViews>
  <sheetFormatPr defaultRowHeight="14.5" x14ac:dyDescent="0.35"/>
  <cols>
    <col min="2" max="2" width="13.36328125" customWidth="1"/>
    <col min="3" max="3" width="27" customWidth="1"/>
    <col min="4" max="4" width="8.7265625" style="14"/>
    <col min="9" max="9" width="41.26953125" customWidth="1"/>
    <col min="10" max="10" width="9.6328125" customWidth="1"/>
    <col min="11" max="11" width="8.7265625" style="39"/>
    <col min="15" max="15" width="13.08984375" bestFit="1" customWidth="1"/>
  </cols>
  <sheetData>
    <row r="2" spans="2:14" ht="18.5" x14ac:dyDescent="0.45">
      <c r="B2" s="5" t="s">
        <v>14</v>
      </c>
      <c r="F2" s="5" t="s">
        <v>9</v>
      </c>
      <c r="L2" s="3" t="s">
        <v>8</v>
      </c>
    </row>
    <row r="3" spans="2:14" x14ac:dyDescent="0.35">
      <c r="F3" t="s">
        <v>10</v>
      </c>
      <c r="L3" s="16" t="s">
        <v>7</v>
      </c>
    </row>
    <row r="6" spans="2:14" x14ac:dyDescent="0.35">
      <c r="B6" s="33" cm="1">
        <f t="array" ref="B6:B36">tbl_Quadratic[x]</f>
        <v>1</v>
      </c>
      <c r="F6" t="s">
        <v>11</v>
      </c>
      <c r="L6" t="s">
        <v>5</v>
      </c>
      <c r="N6" s="17">
        <v>10000</v>
      </c>
    </row>
    <row r="7" spans="2:14" x14ac:dyDescent="0.35">
      <c r="B7" s="33">
        <v>1.1000000000000001</v>
      </c>
      <c r="F7" t="s">
        <v>12</v>
      </c>
      <c r="M7" s="17"/>
    </row>
    <row r="8" spans="2:14" x14ac:dyDescent="0.35">
      <c r="B8" s="33">
        <v>1.2000000000000002</v>
      </c>
      <c r="F8" t="s">
        <v>13</v>
      </c>
      <c r="L8" t="s">
        <v>18</v>
      </c>
      <c r="M8" s="17"/>
      <c r="N8">
        <v>0</v>
      </c>
    </row>
    <row r="9" spans="2:14" x14ac:dyDescent="0.35">
      <c r="B9" s="33">
        <v>1.3</v>
      </c>
      <c r="L9" t="s">
        <v>19</v>
      </c>
      <c r="M9" s="17"/>
      <c r="N9">
        <v>5</v>
      </c>
    </row>
    <row r="10" spans="2:14" x14ac:dyDescent="0.35">
      <c r="B10" s="33">
        <v>1.4</v>
      </c>
      <c r="M10" s="17"/>
    </row>
    <row r="11" spans="2:14" x14ac:dyDescent="0.35">
      <c r="B11" s="33">
        <v>1.5</v>
      </c>
      <c r="L11" t="s">
        <v>22</v>
      </c>
      <c r="M11" s="17"/>
    </row>
    <row r="12" spans="2:14" x14ac:dyDescent="0.35">
      <c r="B12" s="33">
        <v>1.6</v>
      </c>
      <c r="F12" t="str">
        <f>"F(X&lt;=" &amp; quadratic_start_value &amp; ") = "</f>
        <v xml:space="preserve">F(X&lt;=1.2) = </v>
      </c>
      <c r="H12" t="str">
        <f>"F(X&lt;=" &amp; quadratic_end_value &amp; ") = "</f>
        <v xml:space="preserve">F(X&lt;=3.1) = </v>
      </c>
      <c r="L12" t="s">
        <v>23</v>
      </c>
      <c r="M12" s="17"/>
    </row>
    <row r="13" spans="2:14" x14ac:dyDescent="0.35">
      <c r="B13" s="33">
        <v>1.7</v>
      </c>
      <c r="F13" t="e" cm="1">
        <f t="array" ref="F13:F43">IF(
    tbl_Quadratic[x] = quadratic_start_value,
    tbl_Quadratic[CDF = F(x)],
    NA()
)</f>
        <v>#N/A</v>
      </c>
      <c r="H13" t="e" cm="1">
        <f t="array" ref="H13:H43">IF(
    tbl_Quadratic[x] = quadratic_end_value,
    tbl_Quadratic[CDF = F(x)],
    NA()
)</f>
        <v>#N/A</v>
      </c>
    </row>
    <row r="14" spans="2:14" x14ac:dyDescent="0.35">
      <c r="B14" s="33">
        <v>1.8</v>
      </c>
      <c r="F14" t="e">
        <v>#N/A</v>
      </c>
      <c r="H14" t="e">
        <v>#N/A</v>
      </c>
    </row>
    <row r="15" spans="2:14" x14ac:dyDescent="0.35">
      <c r="B15" s="33">
        <v>1.9</v>
      </c>
      <c r="F15">
        <v>1.1555555555555565E-2</v>
      </c>
      <c r="H15" t="e">
        <v>#N/A</v>
      </c>
    </row>
    <row r="16" spans="2:14" x14ac:dyDescent="0.35">
      <c r="B16" s="33">
        <v>2</v>
      </c>
      <c r="F16" t="e">
        <v>#N/A</v>
      </c>
      <c r="H16" t="e">
        <v>#N/A</v>
      </c>
    </row>
    <row r="17" spans="2:15" x14ac:dyDescent="0.35">
      <c r="B17" s="33">
        <v>2.1</v>
      </c>
      <c r="F17" t="e">
        <v>#N/A</v>
      </c>
      <c r="H17" t="e">
        <v>#N/A</v>
      </c>
      <c r="N17" t="s">
        <v>20</v>
      </c>
      <c r="O17" t="s">
        <v>6</v>
      </c>
    </row>
    <row r="18" spans="2:15" x14ac:dyDescent="0.35">
      <c r="B18" s="33">
        <v>2.2000000000000002</v>
      </c>
      <c r="F18" t="e">
        <v>#N/A</v>
      </c>
      <c r="H18" t="e">
        <v>#N/A</v>
      </c>
      <c r="M18" s="18">
        <f>MIN(tbl_Quadratic[x])</f>
        <v>1</v>
      </c>
      <c r="N18" s="17">
        <f t="shared" ref="N18:N49" si="0">(M18-$N$8) / ($N$9- $N$8) * $N$6</f>
        <v>2000</v>
      </c>
      <c r="O18" s="40">
        <v>0</v>
      </c>
    </row>
    <row r="19" spans="2:15" x14ac:dyDescent="0.35">
      <c r="B19" s="33">
        <v>2.2999999999999998</v>
      </c>
      <c r="F19" t="e">
        <v>#N/A</v>
      </c>
      <c r="H19" t="e">
        <v>#N/A</v>
      </c>
      <c r="M19" s="20">
        <f>quadratic_start_value</f>
        <v>1.2000000000000002</v>
      </c>
      <c r="N19" s="17">
        <f t="shared" si="0"/>
        <v>2400.0000000000005</v>
      </c>
      <c r="O19" s="40">
        <v>0</v>
      </c>
    </row>
    <row r="20" spans="2:15" x14ac:dyDescent="0.35">
      <c r="B20" s="33">
        <v>2.4</v>
      </c>
      <c r="F20" t="e">
        <v>#N/A</v>
      </c>
      <c r="H20" t="e">
        <v>#N/A</v>
      </c>
      <c r="L20" cm="1">
        <f t="array" ref="L20:L70">_xlfn.SEQUENCE(51,1,0,0.02)</f>
        <v>0</v>
      </c>
      <c r="M20" s="20">
        <f>quadratic_start_value</f>
        <v>1.2000000000000002</v>
      </c>
      <c r="N20" s="17">
        <f t="shared" si="0"/>
        <v>2400.0000000000005</v>
      </c>
      <c r="O20" s="34">
        <f>N20^2/21</f>
        <v>274285.71428571438</v>
      </c>
    </row>
    <row r="21" spans="2:15" x14ac:dyDescent="0.35">
      <c r="B21" s="33">
        <v>2.5</v>
      </c>
      <c r="F21" t="e">
        <v>#N/A</v>
      </c>
      <c r="H21" t="e">
        <v>#N/A</v>
      </c>
      <c r="L21">
        <v>0.02</v>
      </c>
      <c r="M21">
        <f t="shared" ref="M21:M52" si="1">quadratic_start_value + (quadratic_end_value-quadratic_start_value)*L21</f>
        <v>1.2380000000000002</v>
      </c>
      <c r="N21" s="17">
        <f t="shared" si="0"/>
        <v>2476.0000000000005</v>
      </c>
      <c r="O21" s="34">
        <f t="shared" ref="O21:O70" si="2">N21^2/21</f>
        <v>291932.19047619059</v>
      </c>
    </row>
    <row r="22" spans="2:15" x14ac:dyDescent="0.35">
      <c r="B22" s="33">
        <v>2.6</v>
      </c>
      <c r="F22" t="e">
        <v>#N/A</v>
      </c>
      <c r="H22" t="e">
        <v>#N/A</v>
      </c>
      <c r="L22">
        <v>0.04</v>
      </c>
      <c r="M22">
        <f t="shared" si="1"/>
        <v>1.2760000000000002</v>
      </c>
      <c r="N22" s="17">
        <f t="shared" si="0"/>
        <v>2552.0000000000005</v>
      </c>
      <c r="O22" s="34">
        <f t="shared" si="2"/>
        <v>310128.76190476201</v>
      </c>
    </row>
    <row r="23" spans="2:15" x14ac:dyDescent="0.35">
      <c r="B23" s="33">
        <v>2.7</v>
      </c>
      <c r="F23" t="e">
        <v>#N/A</v>
      </c>
      <c r="H23" t="e">
        <v>#N/A</v>
      </c>
      <c r="L23">
        <v>0.06</v>
      </c>
      <c r="M23">
        <f t="shared" si="1"/>
        <v>1.3140000000000001</v>
      </c>
      <c r="N23" s="17">
        <f t="shared" si="0"/>
        <v>2628.0000000000005</v>
      </c>
      <c r="O23" s="34">
        <f t="shared" si="2"/>
        <v>328875.4285714287</v>
      </c>
    </row>
    <row r="24" spans="2:15" x14ac:dyDescent="0.35">
      <c r="B24" s="33">
        <v>2.8</v>
      </c>
      <c r="F24" t="e">
        <v>#N/A</v>
      </c>
      <c r="H24" t="e">
        <v>#N/A</v>
      </c>
      <c r="L24">
        <v>0.08</v>
      </c>
      <c r="M24">
        <f t="shared" si="1"/>
        <v>1.3520000000000001</v>
      </c>
      <c r="N24" s="17">
        <f t="shared" si="0"/>
        <v>2704.0000000000005</v>
      </c>
      <c r="O24" s="34">
        <f t="shared" si="2"/>
        <v>348172.19047619059</v>
      </c>
    </row>
    <row r="25" spans="2:15" x14ac:dyDescent="0.35">
      <c r="B25" s="33">
        <v>2.9</v>
      </c>
      <c r="F25" t="e">
        <v>#N/A</v>
      </c>
      <c r="H25" t="e">
        <v>#N/A</v>
      </c>
      <c r="L25">
        <v>0.1</v>
      </c>
      <c r="M25">
        <f t="shared" si="1"/>
        <v>1.3900000000000001</v>
      </c>
      <c r="N25" s="17">
        <f t="shared" si="0"/>
        <v>2780.0000000000005</v>
      </c>
      <c r="O25" s="34">
        <f t="shared" si="2"/>
        <v>368019.04761904775</v>
      </c>
    </row>
    <row r="26" spans="2:15" x14ac:dyDescent="0.35">
      <c r="B26" s="33">
        <v>3</v>
      </c>
      <c r="F26" t="e">
        <v>#N/A</v>
      </c>
      <c r="H26" t="e">
        <v>#N/A</v>
      </c>
      <c r="L26">
        <v>0.12000000000000001</v>
      </c>
      <c r="M26">
        <f t="shared" si="1"/>
        <v>1.4280000000000002</v>
      </c>
      <c r="N26" s="17">
        <f t="shared" si="0"/>
        <v>2856</v>
      </c>
      <c r="O26" s="34">
        <f t="shared" si="2"/>
        <v>388416</v>
      </c>
    </row>
    <row r="27" spans="2:15" x14ac:dyDescent="0.35">
      <c r="B27" s="33">
        <v>3.1</v>
      </c>
      <c r="F27" t="e">
        <v>#N/A</v>
      </c>
      <c r="H27" t="e">
        <v>#N/A</v>
      </c>
      <c r="L27">
        <v>0.14000000000000001</v>
      </c>
      <c r="M27">
        <f t="shared" si="1"/>
        <v>1.4660000000000002</v>
      </c>
      <c r="N27" s="17">
        <f t="shared" si="0"/>
        <v>2932</v>
      </c>
      <c r="O27" s="34">
        <f t="shared" si="2"/>
        <v>409363.04761904763</v>
      </c>
    </row>
    <row r="28" spans="2:15" x14ac:dyDescent="0.35">
      <c r="B28" s="33">
        <v>3.2</v>
      </c>
      <c r="F28" t="e">
        <v>#N/A</v>
      </c>
      <c r="H28" t="e">
        <v>#N/A</v>
      </c>
      <c r="L28">
        <v>0.16</v>
      </c>
      <c r="M28">
        <f t="shared" si="1"/>
        <v>1.5040000000000002</v>
      </c>
      <c r="N28" s="17">
        <f t="shared" si="0"/>
        <v>3008.0000000000005</v>
      </c>
      <c r="O28" s="34">
        <f t="shared" si="2"/>
        <v>430860.19047619059</v>
      </c>
    </row>
    <row r="29" spans="2:15" x14ac:dyDescent="0.35">
      <c r="B29" s="33">
        <v>3.3</v>
      </c>
      <c r="F29" t="e">
        <v>#N/A</v>
      </c>
      <c r="H29" t="e">
        <v>#N/A</v>
      </c>
      <c r="L29">
        <v>0.18</v>
      </c>
      <c r="M29">
        <f t="shared" si="1"/>
        <v>1.5420000000000003</v>
      </c>
      <c r="N29" s="17">
        <f t="shared" si="0"/>
        <v>3084.0000000000005</v>
      </c>
      <c r="O29" s="34">
        <f t="shared" si="2"/>
        <v>452907.42857142875</v>
      </c>
    </row>
    <row r="30" spans="2:15" x14ac:dyDescent="0.35">
      <c r="B30" s="33">
        <v>3.4</v>
      </c>
      <c r="F30" t="e">
        <v>#N/A</v>
      </c>
      <c r="H30" t="e">
        <v>#N/A</v>
      </c>
      <c r="L30">
        <v>0.19999999999999998</v>
      </c>
      <c r="M30">
        <f t="shared" si="1"/>
        <v>1.58</v>
      </c>
      <c r="N30" s="17">
        <f t="shared" si="0"/>
        <v>3160</v>
      </c>
      <c r="O30" s="34">
        <f t="shared" si="2"/>
        <v>475504.76190476189</v>
      </c>
    </row>
    <row r="31" spans="2:15" x14ac:dyDescent="0.35">
      <c r="B31" s="33">
        <v>3.5</v>
      </c>
      <c r="F31" t="e">
        <v>#N/A</v>
      </c>
      <c r="H31" t="e">
        <v>#N/A</v>
      </c>
      <c r="L31">
        <v>0.21999999999999997</v>
      </c>
      <c r="M31">
        <f t="shared" si="1"/>
        <v>1.6180000000000001</v>
      </c>
      <c r="N31" s="17">
        <f t="shared" si="0"/>
        <v>3236</v>
      </c>
      <c r="O31" s="34">
        <f t="shared" si="2"/>
        <v>498652.19047619047</v>
      </c>
    </row>
    <row r="32" spans="2:15" x14ac:dyDescent="0.35">
      <c r="B32" s="33">
        <v>3.6</v>
      </c>
      <c r="F32" t="e">
        <v>#N/A</v>
      </c>
      <c r="H32" t="e">
        <v>#N/A</v>
      </c>
      <c r="L32">
        <v>0.23999999999999996</v>
      </c>
      <c r="M32">
        <f t="shared" si="1"/>
        <v>1.6560000000000001</v>
      </c>
      <c r="N32" s="17">
        <f t="shared" si="0"/>
        <v>3312.0000000000005</v>
      </c>
      <c r="O32" s="34">
        <f t="shared" si="2"/>
        <v>522349.71428571444</v>
      </c>
    </row>
    <row r="33" spans="2:15" x14ac:dyDescent="0.35">
      <c r="B33" s="33">
        <v>3.7</v>
      </c>
      <c r="F33" t="e">
        <v>#N/A</v>
      </c>
      <c r="H33" t="e">
        <v>#N/A</v>
      </c>
      <c r="L33">
        <v>0.25999999999999995</v>
      </c>
      <c r="M33">
        <f t="shared" si="1"/>
        <v>1.694</v>
      </c>
      <c r="N33" s="17">
        <f t="shared" si="0"/>
        <v>3388</v>
      </c>
      <c r="O33" s="34">
        <f t="shared" si="2"/>
        <v>546597.33333333337</v>
      </c>
    </row>
    <row r="34" spans="2:15" x14ac:dyDescent="0.35">
      <c r="B34" s="33">
        <v>3.8</v>
      </c>
      <c r="F34" t="e">
        <v>#N/A</v>
      </c>
      <c r="H34">
        <v>0.45700000000000007</v>
      </c>
      <c r="L34">
        <v>0.27999999999999997</v>
      </c>
      <c r="M34">
        <f t="shared" si="1"/>
        <v>1.7320000000000002</v>
      </c>
      <c r="N34" s="17">
        <f t="shared" si="0"/>
        <v>3464.0000000000005</v>
      </c>
      <c r="O34" s="34">
        <f t="shared" si="2"/>
        <v>571395.04761904781</v>
      </c>
    </row>
    <row r="35" spans="2:15" x14ac:dyDescent="0.35">
      <c r="B35" s="33">
        <v>3.9</v>
      </c>
      <c r="F35" t="e">
        <v>#N/A</v>
      </c>
      <c r="H35" t="e">
        <v>#N/A</v>
      </c>
      <c r="L35">
        <v>0.3</v>
      </c>
      <c r="M35">
        <f t="shared" si="1"/>
        <v>1.77</v>
      </c>
      <c r="N35" s="17">
        <f t="shared" si="0"/>
        <v>3540</v>
      </c>
      <c r="O35" s="34">
        <f t="shared" si="2"/>
        <v>596742.85714285716</v>
      </c>
    </row>
    <row r="36" spans="2:15" x14ac:dyDescent="0.35">
      <c r="B36" s="33">
        <v>4</v>
      </c>
      <c r="F36" t="e">
        <v>#N/A</v>
      </c>
      <c r="H36" t="e">
        <v>#N/A</v>
      </c>
      <c r="L36">
        <v>0.32</v>
      </c>
      <c r="M36">
        <f t="shared" si="1"/>
        <v>1.8080000000000003</v>
      </c>
      <c r="N36" s="17">
        <f t="shared" si="0"/>
        <v>3616.0000000000005</v>
      </c>
      <c r="O36" s="34">
        <f t="shared" si="2"/>
        <v>622640.76190476213</v>
      </c>
    </row>
    <row r="37" spans="2:15" x14ac:dyDescent="0.35">
      <c r="F37" t="e">
        <v>#N/A</v>
      </c>
      <c r="H37" t="e">
        <v>#N/A</v>
      </c>
      <c r="L37">
        <v>0.34</v>
      </c>
      <c r="M37">
        <f t="shared" si="1"/>
        <v>1.8460000000000001</v>
      </c>
      <c r="N37" s="17">
        <f t="shared" si="0"/>
        <v>3692.0000000000005</v>
      </c>
      <c r="O37" s="34">
        <f t="shared" si="2"/>
        <v>649088.76190476213</v>
      </c>
    </row>
    <row r="38" spans="2:15" x14ac:dyDescent="0.35">
      <c r="F38" t="e">
        <v>#N/A</v>
      </c>
      <c r="H38" t="e">
        <v>#N/A</v>
      </c>
      <c r="L38">
        <v>0.36000000000000004</v>
      </c>
      <c r="M38">
        <f t="shared" si="1"/>
        <v>1.8840000000000003</v>
      </c>
      <c r="N38" s="17">
        <f t="shared" si="0"/>
        <v>3768.0000000000009</v>
      </c>
      <c r="O38" s="34">
        <f t="shared" si="2"/>
        <v>676086.85714285751</v>
      </c>
    </row>
    <row r="39" spans="2:15" x14ac:dyDescent="0.35">
      <c r="F39" t="e">
        <v>#N/A</v>
      </c>
      <c r="H39" t="e">
        <v>#N/A</v>
      </c>
      <c r="L39">
        <v>0.38000000000000006</v>
      </c>
      <c r="M39">
        <f t="shared" si="1"/>
        <v>1.9220000000000002</v>
      </c>
      <c r="N39" s="17">
        <f t="shared" si="0"/>
        <v>3844</v>
      </c>
      <c r="O39" s="34">
        <f t="shared" si="2"/>
        <v>703635.04761904757</v>
      </c>
    </row>
    <row r="40" spans="2:15" x14ac:dyDescent="0.35">
      <c r="F40" t="e">
        <v>#N/A</v>
      </c>
      <c r="H40" t="e">
        <v>#N/A</v>
      </c>
      <c r="L40">
        <v>0.40000000000000008</v>
      </c>
      <c r="M40">
        <f t="shared" si="1"/>
        <v>1.9600000000000004</v>
      </c>
      <c r="N40" s="17">
        <f t="shared" si="0"/>
        <v>3920.0000000000009</v>
      </c>
      <c r="O40" s="34">
        <f t="shared" si="2"/>
        <v>731733.33333333372</v>
      </c>
    </row>
    <row r="41" spans="2:15" x14ac:dyDescent="0.35">
      <c r="F41" t="e">
        <v>#N/A</v>
      </c>
      <c r="H41" t="e">
        <v>#N/A</v>
      </c>
      <c r="L41">
        <v>0.4200000000000001</v>
      </c>
      <c r="M41">
        <f t="shared" si="1"/>
        <v>1.9980000000000002</v>
      </c>
      <c r="N41" s="17">
        <f t="shared" si="0"/>
        <v>3996.0000000000005</v>
      </c>
      <c r="O41" s="34">
        <f t="shared" si="2"/>
        <v>760381.71428571444</v>
      </c>
    </row>
    <row r="42" spans="2:15" x14ac:dyDescent="0.35">
      <c r="F42" t="e">
        <v>#N/A</v>
      </c>
      <c r="H42" t="e">
        <v>#N/A</v>
      </c>
      <c r="L42">
        <v>0.44000000000000011</v>
      </c>
      <c r="M42">
        <f t="shared" si="1"/>
        <v>2.0360000000000005</v>
      </c>
      <c r="N42" s="17">
        <f t="shared" si="0"/>
        <v>4072.0000000000014</v>
      </c>
      <c r="O42" s="34">
        <f t="shared" si="2"/>
        <v>789580.190476191</v>
      </c>
    </row>
    <row r="43" spans="2:15" x14ac:dyDescent="0.35">
      <c r="F43" t="e">
        <v>#N/A</v>
      </c>
      <c r="H43" t="e">
        <v>#N/A</v>
      </c>
      <c r="L43">
        <v>0.46000000000000013</v>
      </c>
      <c r="M43">
        <f t="shared" si="1"/>
        <v>2.0740000000000003</v>
      </c>
      <c r="N43" s="17">
        <f t="shared" si="0"/>
        <v>4148.0000000000009</v>
      </c>
      <c r="O43" s="34">
        <f t="shared" si="2"/>
        <v>819328.76190476224</v>
      </c>
    </row>
    <row r="44" spans="2:15" x14ac:dyDescent="0.35">
      <c r="L44">
        <v>0.48000000000000015</v>
      </c>
      <c r="M44">
        <f t="shared" si="1"/>
        <v>2.1120000000000005</v>
      </c>
      <c r="N44" s="17">
        <f t="shared" si="0"/>
        <v>4224.0000000000009</v>
      </c>
      <c r="O44" s="34">
        <f t="shared" si="2"/>
        <v>849627.42857142887</v>
      </c>
    </row>
    <row r="45" spans="2:15" x14ac:dyDescent="0.35">
      <c r="L45">
        <v>0.50000000000000011</v>
      </c>
      <c r="M45">
        <f t="shared" si="1"/>
        <v>2.1500000000000004</v>
      </c>
      <c r="N45" s="17">
        <f t="shared" si="0"/>
        <v>4300.0000000000009</v>
      </c>
      <c r="O45" s="34">
        <f t="shared" si="2"/>
        <v>880476.19047619088</v>
      </c>
    </row>
    <row r="46" spans="2:15" x14ac:dyDescent="0.35">
      <c r="L46">
        <v>0.52000000000000013</v>
      </c>
      <c r="M46">
        <f t="shared" si="1"/>
        <v>2.1880000000000006</v>
      </c>
      <c r="N46" s="17">
        <f t="shared" si="0"/>
        <v>4376.0000000000009</v>
      </c>
      <c r="O46" s="34">
        <f t="shared" si="2"/>
        <v>911875.04761904792</v>
      </c>
    </row>
    <row r="47" spans="2:15" x14ac:dyDescent="0.35">
      <c r="L47">
        <v>0.54000000000000015</v>
      </c>
      <c r="M47">
        <f t="shared" si="1"/>
        <v>2.2260000000000004</v>
      </c>
      <c r="N47" s="17">
        <f t="shared" si="0"/>
        <v>4452.0000000000009</v>
      </c>
      <c r="O47" s="34">
        <f t="shared" si="2"/>
        <v>943824.00000000035</v>
      </c>
    </row>
    <row r="48" spans="2:15" x14ac:dyDescent="0.35">
      <c r="L48">
        <v>0.56000000000000016</v>
      </c>
      <c r="M48">
        <f t="shared" si="1"/>
        <v>2.2640000000000002</v>
      </c>
      <c r="N48" s="17">
        <f t="shared" si="0"/>
        <v>4528</v>
      </c>
      <c r="O48" s="34">
        <f t="shared" si="2"/>
        <v>976323.04761904757</v>
      </c>
    </row>
    <row r="49" spans="12:15" x14ac:dyDescent="0.35">
      <c r="L49">
        <v>0.58000000000000018</v>
      </c>
      <c r="M49">
        <f t="shared" si="1"/>
        <v>2.3020000000000005</v>
      </c>
      <c r="N49" s="17">
        <f t="shared" si="0"/>
        <v>4604.0000000000009</v>
      </c>
      <c r="O49" s="34">
        <f t="shared" si="2"/>
        <v>1009372.1904761909</v>
      </c>
    </row>
    <row r="50" spans="12:15" x14ac:dyDescent="0.35">
      <c r="L50">
        <v>0.6000000000000002</v>
      </c>
      <c r="M50">
        <f t="shared" si="1"/>
        <v>2.3400000000000007</v>
      </c>
      <c r="N50" s="17">
        <f t="shared" ref="N50:N72" si="3">(M50-$N$8) / ($N$9- $N$8) * $N$6</f>
        <v>4680.0000000000018</v>
      </c>
      <c r="O50" s="34">
        <f t="shared" si="2"/>
        <v>1042971.4285714295</v>
      </c>
    </row>
    <row r="51" spans="12:15" x14ac:dyDescent="0.35">
      <c r="L51">
        <v>0.62000000000000022</v>
      </c>
      <c r="M51">
        <f t="shared" si="1"/>
        <v>2.3780000000000006</v>
      </c>
      <c r="N51" s="17">
        <f t="shared" si="3"/>
        <v>4756.0000000000009</v>
      </c>
      <c r="O51" s="34">
        <f t="shared" si="2"/>
        <v>1077120.7619047624</v>
      </c>
    </row>
    <row r="52" spans="12:15" x14ac:dyDescent="0.35">
      <c r="L52">
        <v>0.64000000000000024</v>
      </c>
      <c r="M52">
        <f t="shared" si="1"/>
        <v>2.4160000000000004</v>
      </c>
      <c r="N52" s="17">
        <f t="shared" si="3"/>
        <v>4832.0000000000009</v>
      </c>
      <c r="O52" s="34">
        <f t="shared" si="2"/>
        <v>1111820.1904761908</v>
      </c>
    </row>
    <row r="53" spans="12:15" x14ac:dyDescent="0.35">
      <c r="L53">
        <v>0.66000000000000025</v>
      </c>
      <c r="M53">
        <f t="shared" ref="M53:M69" si="4">quadratic_start_value + (quadratic_end_value-quadratic_start_value)*L53</f>
        <v>2.4540000000000006</v>
      </c>
      <c r="N53" s="17">
        <f t="shared" si="3"/>
        <v>4908.0000000000009</v>
      </c>
      <c r="O53" s="34">
        <f t="shared" si="2"/>
        <v>1147069.7142857146</v>
      </c>
    </row>
    <row r="54" spans="12:15" x14ac:dyDescent="0.35">
      <c r="L54">
        <v>0.68000000000000027</v>
      </c>
      <c r="M54">
        <f t="shared" si="4"/>
        <v>2.4920000000000009</v>
      </c>
      <c r="N54" s="17">
        <f t="shared" si="3"/>
        <v>4984.0000000000018</v>
      </c>
      <c r="O54" s="34">
        <f t="shared" si="2"/>
        <v>1182869.3333333342</v>
      </c>
    </row>
    <row r="55" spans="12:15" x14ac:dyDescent="0.35">
      <c r="L55">
        <v>0.70000000000000029</v>
      </c>
      <c r="M55">
        <f t="shared" si="4"/>
        <v>2.5300000000000007</v>
      </c>
      <c r="N55" s="17">
        <f t="shared" si="3"/>
        <v>5060.0000000000009</v>
      </c>
      <c r="O55" s="34">
        <f t="shared" si="2"/>
        <v>1219219.047619048</v>
      </c>
    </row>
    <row r="56" spans="12:15" x14ac:dyDescent="0.35">
      <c r="L56">
        <v>0.72000000000000031</v>
      </c>
      <c r="M56">
        <f t="shared" si="4"/>
        <v>2.5680000000000005</v>
      </c>
      <c r="N56" s="17">
        <f t="shared" si="3"/>
        <v>5136.0000000000009</v>
      </c>
      <c r="O56" s="34">
        <f t="shared" si="2"/>
        <v>1256118.8571428577</v>
      </c>
    </row>
    <row r="57" spans="12:15" x14ac:dyDescent="0.35">
      <c r="L57">
        <v>0.74000000000000032</v>
      </c>
      <c r="M57">
        <f t="shared" si="4"/>
        <v>2.6060000000000008</v>
      </c>
      <c r="N57" s="17">
        <f t="shared" si="3"/>
        <v>5212.0000000000009</v>
      </c>
      <c r="O57" s="34">
        <f t="shared" si="2"/>
        <v>1293568.7619047624</v>
      </c>
    </row>
    <row r="58" spans="12:15" x14ac:dyDescent="0.35">
      <c r="L58">
        <v>0.76000000000000034</v>
      </c>
      <c r="M58">
        <f t="shared" si="4"/>
        <v>2.644000000000001</v>
      </c>
      <c r="N58" s="17">
        <f t="shared" si="3"/>
        <v>5288.0000000000018</v>
      </c>
      <c r="O58" s="34">
        <f t="shared" si="2"/>
        <v>1331568.7619047628</v>
      </c>
    </row>
    <row r="59" spans="12:15" x14ac:dyDescent="0.35">
      <c r="L59">
        <v>0.78000000000000036</v>
      </c>
      <c r="M59">
        <f t="shared" si="4"/>
        <v>2.6820000000000008</v>
      </c>
      <c r="N59" s="17">
        <f t="shared" si="3"/>
        <v>5364.0000000000018</v>
      </c>
      <c r="O59" s="34">
        <f t="shared" si="2"/>
        <v>1370118.857142858</v>
      </c>
    </row>
    <row r="60" spans="12:15" x14ac:dyDescent="0.35">
      <c r="L60">
        <v>0.80000000000000038</v>
      </c>
      <c r="M60">
        <f t="shared" si="4"/>
        <v>2.7200000000000006</v>
      </c>
      <c r="N60" s="17">
        <f t="shared" si="3"/>
        <v>5440.0000000000018</v>
      </c>
      <c r="O60" s="34">
        <f t="shared" si="2"/>
        <v>1409219.0476190485</v>
      </c>
    </row>
    <row r="61" spans="12:15" x14ac:dyDescent="0.35">
      <c r="L61">
        <v>0.8200000000000004</v>
      </c>
      <c r="M61">
        <f t="shared" si="4"/>
        <v>2.7580000000000009</v>
      </c>
      <c r="N61" s="17">
        <f t="shared" si="3"/>
        <v>5516.0000000000018</v>
      </c>
      <c r="O61" s="34">
        <f t="shared" si="2"/>
        <v>1448869.3333333342</v>
      </c>
    </row>
    <row r="62" spans="12:15" x14ac:dyDescent="0.35">
      <c r="L62">
        <v>0.84000000000000041</v>
      </c>
      <c r="M62">
        <f t="shared" si="4"/>
        <v>2.7960000000000012</v>
      </c>
      <c r="N62" s="17">
        <f t="shared" si="3"/>
        <v>5592.0000000000027</v>
      </c>
      <c r="O62" s="34">
        <f t="shared" si="2"/>
        <v>1489069.7142857157</v>
      </c>
    </row>
    <row r="63" spans="12:15" x14ac:dyDescent="0.35">
      <c r="L63">
        <v>0.86000000000000043</v>
      </c>
      <c r="M63">
        <f t="shared" si="4"/>
        <v>2.834000000000001</v>
      </c>
      <c r="N63" s="17">
        <f t="shared" si="3"/>
        <v>5668.0000000000018</v>
      </c>
      <c r="O63" s="34">
        <f t="shared" si="2"/>
        <v>1529820.1904761915</v>
      </c>
    </row>
    <row r="64" spans="12:15" x14ac:dyDescent="0.35">
      <c r="L64">
        <v>0.88000000000000045</v>
      </c>
      <c r="M64">
        <f t="shared" si="4"/>
        <v>2.8720000000000008</v>
      </c>
      <c r="N64" s="17">
        <f t="shared" si="3"/>
        <v>5744.0000000000009</v>
      </c>
      <c r="O64" s="34">
        <f t="shared" si="2"/>
        <v>1571120.7619047624</v>
      </c>
    </row>
    <row r="65" spans="12:15" x14ac:dyDescent="0.35">
      <c r="L65">
        <v>0.90000000000000047</v>
      </c>
      <c r="M65">
        <f t="shared" si="4"/>
        <v>2.910000000000001</v>
      </c>
      <c r="N65" s="17">
        <f t="shared" si="3"/>
        <v>5820.0000000000018</v>
      </c>
      <c r="O65" s="34">
        <f t="shared" si="2"/>
        <v>1612971.4285714296</v>
      </c>
    </row>
    <row r="66" spans="12:15" x14ac:dyDescent="0.35">
      <c r="L66">
        <v>0.92000000000000048</v>
      </c>
      <c r="M66">
        <f t="shared" si="4"/>
        <v>2.9480000000000013</v>
      </c>
      <c r="N66" s="17">
        <f t="shared" si="3"/>
        <v>5896.0000000000027</v>
      </c>
      <c r="O66" s="34">
        <f t="shared" si="2"/>
        <v>1655372.1904761919</v>
      </c>
    </row>
    <row r="67" spans="12:15" x14ac:dyDescent="0.35">
      <c r="L67">
        <v>0.9400000000000005</v>
      </c>
      <c r="M67">
        <f t="shared" si="4"/>
        <v>2.9860000000000011</v>
      </c>
      <c r="N67" s="17">
        <f t="shared" si="3"/>
        <v>5972.0000000000018</v>
      </c>
      <c r="O67" s="34">
        <f t="shared" si="2"/>
        <v>1698323.0476190487</v>
      </c>
    </row>
    <row r="68" spans="12:15" x14ac:dyDescent="0.35">
      <c r="L68">
        <v>0.96000000000000052</v>
      </c>
      <c r="M68">
        <f t="shared" si="4"/>
        <v>3.0240000000000009</v>
      </c>
      <c r="N68" s="17">
        <f t="shared" si="3"/>
        <v>6048.0000000000018</v>
      </c>
      <c r="O68" s="34">
        <f t="shared" si="2"/>
        <v>1741824.0000000012</v>
      </c>
    </row>
    <row r="69" spans="12:15" x14ac:dyDescent="0.35">
      <c r="L69">
        <v>0.98000000000000054</v>
      </c>
      <c r="M69">
        <f t="shared" si="4"/>
        <v>3.0620000000000012</v>
      </c>
      <c r="N69" s="17">
        <f t="shared" si="3"/>
        <v>6124.0000000000027</v>
      </c>
      <c r="O69" s="34">
        <f t="shared" si="2"/>
        <v>1785875.047619049</v>
      </c>
    </row>
    <row r="70" spans="12:15" x14ac:dyDescent="0.35">
      <c r="L70">
        <v>1.0000000000000004</v>
      </c>
      <c r="M70" s="20">
        <f>quadratic_end_value</f>
        <v>3.1</v>
      </c>
      <c r="N70" s="17">
        <f t="shared" si="3"/>
        <v>6200</v>
      </c>
      <c r="O70" s="34">
        <f t="shared" si="2"/>
        <v>1830476.1904761905</v>
      </c>
    </row>
    <row r="71" spans="12:15" x14ac:dyDescent="0.35">
      <c r="M71" s="20">
        <f>quadratic_end_value</f>
        <v>3.1</v>
      </c>
      <c r="N71" s="17">
        <f t="shared" si="3"/>
        <v>6200</v>
      </c>
      <c r="O71" s="40">
        <v>0</v>
      </c>
    </row>
    <row r="72" spans="12:15" x14ac:dyDescent="0.35">
      <c r="M72" s="18">
        <f>MAX(tbl_Quadratic[x])</f>
        <v>4</v>
      </c>
      <c r="N72" s="17">
        <f t="shared" si="3"/>
        <v>8000</v>
      </c>
      <c r="O72" s="40">
        <v>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6748-E168-4993-9BD7-CFE9FC7871A5}">
  <dimension ref="A2:Q72"/>
  <sheetViews>
    <sheetView showGridLines="0" zoomScale="80" zoomScaleNormal="80" workbookViewId="0">
      <selection activeCell="H14" sqref="H14"/>
    </sheetView>
  </sheetViews>
  <sheetFormatPr defaultRowHeight="14.5" x14ac:dyDescent="0.35"/>
  <cols>
    <col min="3" max="3" width="32.36328125" customWidth="1"/>
    <col min="4" max="4" width="5.08984375" style="14" customWidth="1"/>
    <col min="6" max="6" width="11" customWidth="1"/>
    <col min="9" max="9" width="42.54296875" customWidth="1"/>
    <col min="10" max="10" width="4.08984375" style="14" customWidth="1"/>
    <col min="12" max="12" width="12.54296875" customWidth="1"/>
    <col min="14" max="14" width="11.26953125" customWidth="1"/>
    <col min="16" max="16" width="22.81640625" customWidth="1"/>
    <col min="17" max="17" width="5.54296875" style="14" customWidth="1"/>
  </cols>
  <sheetData>
    <row r="2" spans="1:14" ht="18.5" x14ac:dyDescent="0.45">
      <c r="B2" s="5" t="s">
        <v>14</v>
      </c>
      <c r="F2" s="5" t="s">
        <v>9</v>
      </c>
      <c r="L2" s="3" t="s">
        <v>8</v>
      </c>
    </row>
    <row r="3" spans="1:14" x14ac:dyDescent="0.35">
      <c r="F3" t="s">
        <v>10</v>
      </c>
      <c r="L3" s="16" t="s">
        <v>7</v>
      </c>
    </row>
    <row r="4" spans="1:14" ht="9" customHeight="1" x14ac:dyDescent="0.35"/>
    <row r="5" spans="1:14" x14ac:dyDescent="0.35">
      <c r="B5" s="15" cm="1">
        <f t="array" ref="B5:B35">tbl_Uniform[x]</f>
        <v>1</v>
      </c>
      <c r="F5" t="s">
        <v>11</v>
      </c>
    </row>
    <row r="6" spans="1:14" x14ac:dyDescent="0.35">
      <c r="B6" s="15">
        <v>1.1000000000000001</v>
      </c>
      <c r="F6" t="s">
        <v>12</v>
      </c>
      <c r="L6" t="s">
        <v>5</v>
      </c>
      <c r="N6" s="17">
        <v>10000</v>
      </c>
    </row>
    <row r="7" spans="1:14" x14ac:dyDescent="0.35">
      <c r="B7" s="15">
        <v>1.2000000000000002</v>
      </c>
      <c r="F7" s="12" t="s">
        <v>13</v>
      </c>
      <c r="M7" s="17"/>
    </row>
    <row r="8" spans="1:14" x14ac:dyDescent="0.35">
      <c r="B8" s="15">
        <v>1.3000000000000003</v>
      </c>
      <c r="L8" t="s">
        <v>18</v>
      </c>
      <c r="M8" s="17"/>
      <c r="N8">
        <v>0</v>
      </c>
    </row>
    <row r="9" spans="1:14" x14ac:dyDescent="0.35">
      <c r="B9" s="15">
        <v>1.4000000000000004</v>
      </c>
      <c r="L9" t="s">
        <v>19</v>
      </c>
      <c r="M9" s="17"/>
      <c r="N9">
        <v>5</v>
      </c>
    </row>
    <row r="10" spans="1:14" x14ac:dyDescent="0.35">
      <c r="B10" s="15">
        <v>1.5000000000000004</v>
      </c>
      <c r="F10" s="12"/>
      <c r="M10" s="17"/>
    </row>
    <row r="11" spans="1:14" x14ac:dyDescent="0.35">
      <c r="A11" s="12"/>
      <c r="B11" s="15">
        <v>1.6000000000000005</v>
      </c>
      <c r="F11" t="str">
        <f>"F(X&lt;=" &amp; uniform_start_value &amp; ") = "</f>
        <v xml:space="preserve">F(X&lt;=2.6) = </v>
      </c>
      <c r="H11" t="str">
        <f>"F(X&lt;=" &amp; uniform_end_value &amp; ") = "</f>
        <v xml:space="preserve">F(X&lt;=3.8) = </v>
      </c>
      <c r="L11" t="s">
        <v>22</v>
      </c>
      <c r="M11" s="17"/>
    </row>
    <row r="12" spans="1:14" x14ac:dyDescent="0.35">
      <c r="A12" s="12"/>
      <c r="B12" s="15">
        <v>1.7000000000000006</v>
      </c>
      <c r="E12" s="12"/>
      <c r="F12" s="12" t="e" cm="1">
        <f t="array" ref="F12:F42">IF(
    tbl_Uniform[x] = uniform_start_value,
    tbl_Uniform[CDF = F(x)],
    NA()
)</f>
        <v>#N/A</v>
      </c>
      <c r="H12" s="12" t="e" cm="1">
        <f t="array" ref="H12:H42">IF(
    tbl_Uniform[x] = uniform_end_value,
    tbl_Uniform[CDF = F(x)],
    NA()
)</f>
        <v>#N/A</v>
      </c>
      <c r="I12" s="12"/>
      <c r="L12" t="s">
        <v>23</v>
      </c>
      <c r="M12" s="17"/>
    </row>
    <row r="13" spans="1:14" x14ac:dyDescent="0.35">
      <c r="A13" s="12"/>
      <c r="B13" s="15">
        <v>1.8000000000000007</v>
      </c>
      <c r="F13" t="e">
        <v>#N/A</v>
      </c>
      <c r="H13" t="e">
        <v>#N/A</v>
      </c>
      <c r="M13" s="17"/>
    </row>
    <row r="14" spans="1:14" x14ac:dyDescent="0.35">
      <c r="A14" s="12"/>
      <c r="B14" s="15">
        <v>1.9000000000000008</v>
      </c>
      <c r="F14" t="e">
        <v>#N/A</v>
      </c>
      <c r="H14" t="e">
        <v>#N/A</v>
      </c>
      <c r="M14" s="17"/>
    </row>
    <row r="15" spans="1:14" x14ac:dyDescent="0.35">
      <c r="A15" s="12"/>
      <c r="B15" s="15">
        <v>2.0000000000000009</v>
      </c>
      <c r="F15" t="e">
        <v>#N/A</v>
      </c>
      <c r="H15" t="e">
        <v>#N/A</v>
      </c>
      <c r="M15" s="17"/>
    </row>
    <row r="16" spans="1:14" x14ac:dyDescent="0.35">
      <c r="A16" s="12"/>
      <c r="B16" s="15">
        <v>2.100000000000001</v>
      </c>
      <c r="F16" t="e">
        <v>#N/A</v>
      </c>
      <c r="H16" t="e">
        <v>#N/A</v>
      </c>
      <c r="M16" s="17"/>
    </row>
    <row r="17" spans="2:17" x14ac:dyDescent="0.35">
      <c r="B17" s="15">
        <v>2.2000000000000011</v>
      </c>
      <c r="F17" t="e">
        <v>#N/A</v>
      </c>
      <c r="H17" t="e">
        <v>#N/A</v>
      </c>
      <c r="N17" t="s">
        <v>20</v>
      </c>
      <c r="O17" t="s">
        <v>6</v>
      </c>
    </row>
    <row r="18" spans="2:17" x14ac:dyDescent="0.35">
      <c r="B18" s="15">
        <v>2.3000000000000012</v>
      </c>
      <c r="F18" s="12" t="e">
        <v>#N/A</v>
      </c>
      <c r="H18" s="12" t="e">
        <v>#N/A</v>
      </c>
      <c r="M18" s="18">
        <f>MIN(tbl_Uniform[x])</f>
        <v>1</v>
      </c>
      <c r="N18" s="17">
        <f t="shared" ref="N18:N49" si="0">(M18-$N$8) / ($N$9- $N$8) * $N$6</f>
        <v>2000</v>
      </c>
      <c r="O18" s="19">
        <v>0</v>
      </c>
      <c r="Q18" s="28"/>
    </row>
    <row r="19" spans="2:17" x14ac:dyDescent="0.35">
      <c r="B19" s="15">
        <v>2.4000000000000012</v>
      </c>
      <c r="F19" s="12" t="e">
        <v>#N/A</v>
      </c>
      <c r="H19" s="12" t="e">
        <v>#N/A</v>
      </c>
      <c r="M19" s="20">
        <f>uniform_start_value</f>
        <v>2.6000000000000014</v>
      </c>
      <c r="N19" s="17">
        <f t="shared" si="0"/>
        <v>5200.0000000000027</v>
      </c>
      <c r="O19" s="19">
        <v>0</v>
      </c>
      <c r="Q19" s="28"/>
    </row>
    <row r="20" spans="2:17" x14ac:dyDescent="0.35">
      <c r="B20" s="15">
        <v>2.5000000000000013</v>
      </c>
      <c r="F20" s="12" t="e">
        <v>#N/A</v>
      </c>
      <c r="H20" s="12" t="e">
        <v>#N/A</v>
      </c>
      <c r="L20" cm="1">
        <f t="array" ref="L20:L70">_xlfn.SEQUENCE(51,1,0,0.02)</f>
        <v>0</v>
      </c>
      <c r="M20" s="20">
        <f>uniform_start_value</f>
        <v>2.6000000000000014</v>
      </c>
      <c r="N20" s="17">
        <f t="shared" si="0"/>
        <v>5200.0000000000027</v>
      </c>
      <c r="O20">
        <f t="shared" ref="O20:O51" si="1">1/3</f>
        <v>0.33333333333333331</v>
      </c>
      <c r="Q20" s="28"/>
    </row>
    <row r="21" spans="2:17" x14ac:dyDescent="0.35">
      <c r="B21" s="15">
        <v>2.6000000000000014</v>
      </c>
      <c r="F21" s="12" t="e">
        <v>#N/A</v>
      </c>
      <c r="H21" s="12" t="e">
        <v>#N/A</v>
      </c>
      <c r="L21">
        <v>0.02</v>
      </c>
      <c r="M21">
        <f t="shared" ref="M21:M52" si="2">uniform_start_value + (uniform_end_value-uniform_start_value)*L21</f>
        <v>2.6240000000000014</v>
      </c>
      <c r="N21" s="17">
        <f t="shared" si="0"/>
        <v>5248.0000000000027</v>
      </c>
      <c r="O21">
        <f t="shared" si="1"/>
        <v>0.33333333333333331</v>
      </c>
      <c r="Q21" s="28"/>
    </row>
    <row r="22" spans="2:17" x14ac:dyDescent="0.35">
      <c r="B22" s="15">
        <v>2.7000000000000015</v>
      </c>
      <c r="F22" s="12" t="e">
        <v>#N/A</v>
      </c>
      <c r="H22" s="12" t="e">
        <v>#N/A</v>
      </c>
      <c r="L22">
        <v>0.04</v>
      </c>
      <c r="M22">
        <f t="shared" si="2"/>
        <v>2.6480000000000015</v>
      </c>
      <c r="N22" s="17">
        <f t="shared" si="0"/>
        <v>5296.0000000000027</v>
      </c>
      <c r="O22">
        <f t="shared" si="1"/>
        <v>0.33333333333333331</v>
      </c>
      <c r="Q22" s="28"/>
    </row>
    <row r="23" spans="2:17" x14ac:dyDescent="0.35">
      <c r="B23" s="15">
        <v>2.8000000000000016</v>
      </c>
      <c r="F23" s="12" t="e">
        <v>#N/A</v>
      </c>
      <c r="H23" s="12" t="e">
        <v>#N/A</v>
      </c>
      <c r="L23">
        <v>0.06</v>
      </c>
      <c r="M23">
        <f t="shared" si="2"/>
        <v>2.6720000000000015</v>
      </c>
      <c r="N23" s="17">
        <f t="shared" si="0"/>
        <v>5344.0000000000036</v>
      </c>
      <c r="O23">
        <f t="shared" si="1"/>
        <v>0.33333333333333331</v>
      </c>
      <c r="Q23" s="28"/>
    </row>
    <row r="24" spans="2:17" x14ac:dyDescent="0.35">
      <c r="B24" s="15">
        <v>2.9000000000000017</v>
      </c>
      <c r="F24" s="12" t="e">
        <v>#N/A</v>
      </c>
      <c r="H24" s="12" t="e">
        <v>#N/A</v>
      </c>
      <c r="L24">
        <v>0.08</v>
      </c>
      <c r="M24">
        <f t="shared" si="2"/>
        <v>2.6960000000000015</v>
      </c>
      <c r="N24" s="17">
        <f t="shared" si="0"/>
        <v>5392.0000000000036</v>
      </c>
      <c r="O24">
        <f>1/3</f>
        <v>0.33333333333333331</v>
      </c>
      <c r="Q24" s="28"/>
    </row>
    <row r="25" spans="2:17" x14ac:dyDescent="0.35">
      <c r="B25" s="15">
        <v>3.0000000000000018</v>
      </c>
      <c r="F25" s="12" t="e">
        <v>#N/A</v>
      </c>
      <c r="H25" s="12" t="e">
        <v>#N/A</v>
      </c>
      <c r="L25">
        <v>0.1</v>
      </c>
      <c r="M25">
        <f t="shared" si="2"/>
        <v>2.7200000000000015</v>
      </c>
      <c r="N25" s="17">
        <f t="shared" si="0"/>
        <v>5440.0000000000027</v>
      </c>
      <c r="O25">
        <f t="shared" si="1"/>
        <v>0.33333333333333331</v>
      </c>
      <c r="Q25" s="28"/>
    </row>
    <row r="26" spans="2:17" x14ac:dyDescent="0.35">
      <c r="B26" s="15">
        <v>3.1000000000000019</v>
      </c>
      <c r="F26" s="12" t="e">
        <v>#N/A</v>
      </c>
      <c r="H26" s="12" t="e">
        <v>#N/A</v>
      </c>
      <c r="L26">
        <v>0.12000000000000001</v>
      </c>
      <c r="M26">
        <f t="shared" si="2"/>
        <v>2.7440000000000015</v>
      </c>
      <c r="N26" s="17">
        <f t="shared" si="0"/>
        <v>5488.0000000000027</v>
      </c>
      <c r="O26">
        <f t="shared" si="1"/>
        <v>0.33333333333333331</v>
      </c>
      <c r="Q26" s="28"/>
    </row>
    <row r="27" spans="2:17" x14ac:dyDescent="0.35">
      <c r="B27" s="15">
        <v>3.200000000000002</v>
      </c>
      <c r="F27" s="12" t="e">
        <v>#N/A</v>
      </c>
      <c r="H27" s="12" t="e">
        <v>#N/A</v>
      </c>
      <c r="L27">
        <v>0.14000000000000001</v>
      </c>
      <c r="M27">
        <f>uniform_start_value + (uniform_end_value-uniform_start_value)*L27</f>
        <v>2.7680000000000016</v>
      </c>
      <c r="N27" s="17">
        <f t="shared" si="0"/>
        <v>5536.0000000000027</v>
      </c>
      <c r="O27">
        <f t="shared" si="1"/>
        <v>0.33333333333333331</v>
      </c>
      <c r="Q27" s="28"/>
    </row>
    <row r="28" spans="2:17" x14ac:dyDescent="0.35">
      <c r="B28" s="15">
        <v>3.300000000000002</v>
      </c>
      <c r="F28" s="12">
        <v>0.53333333333333388</v>
      </c>
      <c r="H28" s="12" t="e">
        <v>#N/A</v>
      </c>
      <c r="L28">
        <v>0.16</v>
      </c>
      <c r="M28">
        <f>uniform_start_value + (uniform_end_value-uniform_start_value)*L28</f>
        <v>2.7920000000000016</v>
      </c>
      <c r="N28" s="17">
        <f t="shared" si="0"/>
        <v>5584.0000000000036</v>
      </c>
      <c r="O28">
        <f t="shared" si="1"/>
        <v>0.33333333333333331</v>
      </c>
      <c r="Q28" s="28"/>
    </row>
    <row r="29" spans="2:17" x14ac:dyDescent="0.35">
      <c r="B29" s="15">
        <v>3.4000000000000021</v>
      </c>
      <c r="F29" s="12" t="e">
        <v>#N/A</v>
      </c>
      <c r="H29" s="12" t="e">
        <v>#N/A</v>
      </c>
      <c r="L29">
        <v>0.18</v>
      </c>
      <c r="M29">
        <f t="shared" si="2"/>
        <v>2.8160000000000016</v>
      </c>
      <c r="N29" s="17">
        <f t="shared" si="0"/>
        <v>5632.0000000000036</v>
      </c>
      <c r="O29">
        <f t="shared" si="1"/>
        <v>0.33333333333333331</v>
      </c>
      <c r="Q29" s="28"/>
    </row>
    <row r="30" spans="2:17" x14ac:dyDescent="0.35">
      <c r="B30" s="15">
        <v>3.5000000000000022</v>
      </c>
      <c r="F30" s="12" t="e">
        <v>#N/A</v>
      </c>
      <c r="H30" s="12" t="e">
        <v>#N/A</v>
      </c>
      <c r="L30">
        <v>0.19999999999999998</v>
      </c>
      <c r="M30">
        <f t="shared" si="2"/>
        <v>2.8400000000000016</v>
      </c>
      <c r="N30" s="17">
        <f t="shared" si="0"/>
        <v>5680.0000000000027</v>
      </c>
      <c r="O30">
        <f t="shared" si="1"/>
        <v>0.33333333333333331</v>
      </c>
      <c r="Q30" s="28"/>
    </row>
    <row r="31" spans="2:17" x14ac:dyDescent="0.35">
      <c r="B31" s="15">
        <v>3.6000000000000023</v>
      </c>
      <c r="F31" s="12" t="e">
        <v>#N/A</v>
      </c>
      <c r="H31" s="12" t="e">
        <v>#N/A</v>
      </c>
      <c r="L31">
        <v>0.21999999999999997</v>
      </c>
      <c r="M31">
        <f t="shared" si="2"/>
        <v>2.8640000000000017</v>
      </c>
      <c r="N31" s="17">
        <f t="shared" si="0"/>
        <v>5728.0000000000027</v>
      </c>
      <c r="O31">
        <f t="shared" si="1"/>
        <v>0.33333333333333331</v>
      </c>
      <c r="Q31" s="28"/>
    </row>
    <row r="32" spans="2:17" x14ac:dyDescent="0.35">
      <c r="B32" s="15">
        <v>3.7000000000000024</v>
      </c>
      <c r="F32" s="12" t="e">
        <v>#N/A</v>
      </c>
      <c r="H32" s="12" t="e">
        <v>#N/A</v>
      </c>
      <c r="L32">
        <v>0.23999999999999996</v>
      </c>
      <c r="M32">
        <f t="shared" si="2"/>
        <v>2.8880000000000017</v>
      </c>
      <c r="N32" s="17">
        <f t="shared" si="0"/>
        <v>5776.0000000000036</v>
      </c>
      <c r="O32">
        <f t="shared" si="1"/>
        <v>0.33333333333333331</v>
      </c>
      <c r="Q32" s="28"/>
    </row>
    <row r="33" spans="2:17" x14ac:dyDescent="0.35">
      <c r="B33" s="15">
        <v>3.8000000000000025</v>
      </c>
      <c r="F33" s="12" t="e">
        <v>#N/A</v>
      </c>
      <c r="H33" s="12" t="e">
        <v>#N/A</v>
      </c>
      <c r="L33">
        <v>0.25999999999999995</v>
      </c>
      <c r="M33">
        <f t="shared" si="2"/>
        <v>2.9120000000000017</v>
      </c>
      <c r="N33" s="17">
        <f t="shared" si="0"/>
        <v>5824.0000000000036</v>
      </c>
      <c r="O33">
        <f t="shared" si="1"/>
        <v>0.33333333333333331</v>
      </c>
      <c r="Q33" s="28"/>
    </row>
    <row r="34" spans="2:17" x14ac:dyDescent="0.35">
      <c r="B34" s="15">
        <v>3.9000000000000026</v>
      </c>
      <c r="F34" s="12" t="e">
        <v>#N/A</v>
      </c>
      <c r="H34" s="12" t="e">
        <v>#N/A</v>
      </c>
      <c r="L34">
        <v>0.27999999999999997</v>
      </c>
      <c r="M34">
        <f t="shared" si="2"/>
        <v>2.9360000000000017</v>
      </c>
      <c r="N34" s="17">
        <f t="shared" si="0"/>
        <v>5872.0000000000036</v>
      </c>
      <c r="O34">
        <f t="shared" si="1"/>
        <v>0.33333333333333331</v>
      </c>
      <c r="Q34" s="28"/>
    </row>
    <row r="35" spans="2:17" x14ac:dyDescent="0.35">
      <c r="B35" s="15">
        <v>4.0000000000000027</v>
      </c>
      <c r="F35" s="12" t="e">
        <v>#N/A</v>
      </c>
      <c r="H35" s="12" t="e">
        <v>#N/A</v>
      </c>
      <c r="L35">
        <v>0.3</v>
      </c>
      <c r="M35">
        <f t="shared" si="2"/>
        <v>2.9600000000000017</v>
      </c>
      <c r="N35" s="17">
        <f t="shared" si="0"/>
        <v>5920.0000000000027</v>
      </c>
      <c r="O35">
        <f t="shared" si="1"/>
        <v>0.33333333333333331</v>
      </c>
      <c r="Q35" s="28"/>
    </row>
    <row r="36" spans="2:17" x14ac:dyDescent="0.35">
      <c r="B36" s="15"/>
      <c r="F36" s="12" t="e">
        <v>#N/A</v>
      </c>
      <c r="H36" s="12" t="e">
        <v>#N/A</v>
      </c>
      <c r="L36">
        <v>0.32</v>
      </c>
      <c r="M36">
        <f t="shared" si="2"/>
        <v>2.9840000000000018</v>
      </c>
      <c r="N36" s="17">
        <f t="shared" si="0"/>
        <v>5968.0000000000036</v>
      </c>
      <c r="O36">
        <f t="shared" si="1"/>
        <v>0.33333333333333331</v>
      </c>
      <c r="Q36" s="28"/>
    </row>
    <row r="37" spans="2:17" x14ac:dyDescent="0.35">
      <c r="B37" s="15"/>
      <c r="F37" s="12" t="e">
        <v>#N/A</v>
      </c>
      <c r="H37" s="12" t="e">
        <v>#N/A</v>
      </c>
      <c r="L37">
        <v>0.34</v>
      </c>
      <c r="M37">
        <f t="shared" si="2"/>
        <v>3.0080000000000018</v>
      </c>
      <c r="N37" s="17">
        <f t="shared" si="0"/>
        <v>6016.0000000000036</v>
      </c>
      <c r="O37">
        <f t="shared" si="1"/>
        <v>0.33333333333333331</v>
      </c>
      <c r="Q37" s="28"/>
    </row>
    <row r="38" spans="2:17" x14ac:dyDescent="0.35">
      <c r="B38" s="15"/>
      <c r="F38" s="12" t="e">
        <v>#N/A</v>
      </c>
      <c r="H38" s="12" t="e">
        <v>#N/A</v>
      </c>
      <c r="L38">
        <v>0.36000000000000004</v>
      </c>
      <c r="M38">
        <f t="shared" si="2"/>
        <v>3.0320000000000018</v>
      </c>
      <c r="N38" s="17">
        <f t="shared" si="0"/>
        <v>6064.0000000000036</v>
      </c>
      <c r="O38">
        <f t="shared" si="1"/>
        <v>0.33333333333333331</v>
      </c>
      <c r="Q38" s="28"/>
    </row>
    <row r="39" spans="2:17" x14ac:dyDescent="0.35">
      <c r="B39" s="15"/>
      <c r="F39" s="12" t="e">
        <v>#N/A</v>
      </c>
      <c r="H39" s="12" t="e">
        <v>#N/A</v>
      </c>
      <c r="L39">
        <v>0.38000000000000006</v>
      </c>
      <c r="M39">
        <f t="shared" si="2"/>
        <v>3.0560000000000018</v>
      </c>
      <c r="N39" s="17">
        <f t="shared" si="0"/>
        <v>6112.0000000000045</v>
      </c>
      <c r="O39">
        <f t="shared" si="1"/>
        <v>0.33333333333333331</v>
      </c>
      <c r="Q39" s="28"/>
    </row>
    <row r="40" spans="2:17" x14ac:dyDescent="0.35">
      <c r="B40" s="15"/>
      <c r="F40" s="12" t="e">
        <v>#N/A</v>
      </c>
      <c r="H40" s="12">
        <v>0.93333333333333424</v>
      </c>
      <c r="L40">
        <v>0.40000000000000008</v>
      </c>
      <c r="M40">
        <f t="shared" si="2"/>
        <v>3.0800000000000018</v>
      </c>
      <c r="N40" s="17">
        <f t="shared" si="0"/>
        <v>6160.0000000000036</v>
      </c>
      <c r="O40">
        <f t="shared" si="1"/>
        <v>0.33333333333333331</v>
      </c>
      <c r="Q40" s="28"/>
    </row>
    <row r="41" spans="2:17" x14ac:dyDescent="0.35">
      <c r="F41" s="12" t="e">
        <v>#N/A</v>
      </c>
      <c r="H41" s="12" t="e">
        <v>#N/A</v>
      </c>
      <c r="L41">
        <v>0.4200000000000001</v>
      </c>
      <c r="M41">
        <f t="shared" si="2"/>
        <v>3.1040000000000019</v>
      </c>
      <c r="N41" s="17">
        <f t="shared" si="0"/>
        <v>6208.0000000000036</v>
      </c>
      <c r="O41">
        <f t="shared" si="1"/>
        <v>0.33333333333333331</v>
      </c>
      <c r="Q41" s="28"/>
    </row>
    <row r="42" spans="2:17" x14ac:dyDescent="0.35">
      <c r="F42" s="12" t="e">
        <v>#N/A</v>
      </c>
      <c r="H42" s="12" t="e">
        <v>#N/A</v>
      </c>
      <c r="L42">
        <v>0.44000000000000011</v>
      </c>
      <c r="M42">
        <f t="shared" si="2"/>
        <v>3.1280000000000019</v>
      </c>
      <c r="N42" s="17">
        <f t="shared" si="0"/>
        <v>6256.0000000000036</v>
      </c>
      <c r="O42">
        <f t="shared" si="1"/>
        <v>0.33333333333333331</v>
      </c>
      <c r="Q42" s="28"/>
    </row>
    <row r="43" spans="2:17" x14ac:dyDescent="0.35">
      <c r="L43">
        <v>0.46000000000000013</v>
      </c>
      <c r="M43">
        <f t="shared" si="2"/>
        <v>3.1520000000000019</v>
      </c>
      <c r="N43" s="17">
        <f t="shared" si="0"/>
        <v>6304.0000000000036</v>
      </c>
      <c r="O43">
        <f t="shared" si="1"/>
        <v>0.33333333333333331</v>
      </c>
      <c r="Q43" s="28"/>
    </row>
    <row r="44" spans="2:17" x14ac:dyDescent="0.35">
      <c r="L44">
        <v>0.48000000000000015</v>
      </c>
      <c r="M44">
        <f t="shared" si="2"/>
        <v>3.1760000000000019</v>
      </c>
      <c r="N44" s="17">
        <f t="shared" si="0"/>
        <v>6352.0000000000045</v>
      </c>
      <c r="O44">
        <f t="shared" si="1"/>
        <v>0.33333333333333331</v>
      </c>
      <c r="Q44" s="28"/>
    </row>
    <row r="45" spans="2:17" x14ac:dyDescent="0.35">
      <c r="L45">
        <v>0.50000000000000011</v>
      </c>
      <c r="M45">
        <f t="shared" si="2"/>
        <v>3.200000000000002</v>
      </c>
      <c r="N45" s="17">
        <f t="shared" si="0"/>
        <v>6400.0000000000036</v>
      </c>
      <c r="O45">
        <f t="shared" si="1"/>
        <v>0.33333333333333331</v>
      </c>
      <c r="Q45" s="28"/>
    </row>
    <row r="46" spans="2:17" x14ac:dyDescent="0.35">
      <c r="L46">
        <v>0.52000000000000013</v>
      </c>
      <c r="M46">
        <f t="shared" si="2"/>
        <v>3.224000000000002</v>
      </c>
      <c r="N46" s="17">
        <f t="shared" si="0"/>
        <v>6448.0000000000036</v>
      </c>
      <c r="O46">
        <f t="shared" si="1"/>
        <v>0.33333333333333331</v>
      </c>
      <c r="Q46" s="28"/>
    </row>
    <row r="47" spans="2:17" x14ac:dyDescent="0.35">
      <c r="L47">
        <v>0.54000000000000015</v>
      </c>
      <c r="M47">
        <f t="shared" si="2"/>
        <v>3.248000000000002</v>
      </c>
      <c r="N47" s="17">
        <f t="shared" si="0"/>
        <v>6496.0000000000036</v>
      </c>
      <c r="O47">
        <f t="shared" si="1"/>
        <v>0.33333333333333331</v>
      </c>
      <c r="Q47" s="28"/>
    </row>
    <row r="48" spans="2:17" x14ac:dyDescent="0.35">
      <c r="L48">
        <v>0.56000000000000016</v>
      </c>
      <c r="M48">
        <f t="shared" si="2"/>
        <v>3.272000000000002</v>
      </c>
      <c r="N48" s="17">
        <f t="shared" si="0"/>
        <v>6544.0000000000045</v>
      </c>
      <c r="O48">
        <f t="shared" si="1"/>
        <v>0.33333333333333331</v>
      </c>
      <c r="Q48" s="28"/>
    </row>
    <row r="49" spans="12:17" x14ac:dyDescent="0.35">
      <c r="L49">
        <v>0.58000000000000018</v>
      </c>
      <c r="M49">
        <f t="shared" si="2"/>
        <v>3.296000000000002</v>
      </c>
      <c r="N49" s="17">
        <f t="shared" si="0"/>
        <v>6592.0000000000045</v>
      </c>
      <c r="O49">
        <f t="shared" si="1"/>
        <v>0.33333333333333331</v>
      </c>
      <c r="Q49" s="28"/>
    </row>
    <row r="50" spans="12:17" x14ac:dyDescent="0.35">
      <c r="L50">
        <v>0.6000000000000002</v>
      </c>
      <c r="M50">
        <f t="shared" si="2"/>
        <v>3.3200000000000021</v>
      </c>
      <c r="N50" s="17">
        <f t="shared" ref="N50:N72" si="3">(M50-$N$8) / ($N$9- $N$8) * $N$6</f>
        <v>6640.0000000000036</v>
      </c>
      <c r="O50">
        <f t="shared" si="1"/>
        <v>0.33333333333333331</v>
      </c>
      <c r="Q50" s="28"/>
    </row>
    <row r="51" spans="12:17" x14ac:dyDescent="0.35">
      <c r="L51">
        <v>0.62000000000000022</v>
      </c>
      <c r="M51">
        <f t="shared" si="2"/>
        <v>3.3440000000000021</v>
      </c>
      <c r="N51" s="17">
        <f t="shared" si="3"/>
        <v>6688.0000000000036</v>
      </c>
      <c r="O51">
        <f t="shared" si="1"/>
        <v>0.33333333333333331</v>
      </c>
      <c r="Q51" s="28"/>
    </row>
    <row r="52" spans="12:17" x14ac:dyDescent="0.35">
      <c r="L52">
        <v>0.64000000000000024</v>
      </c>
      <c r="M52">
        <f t="shared" si="2"/>
        <v>3.3680000000000025</v>
      </c>
      <c r="N52" s="17">
        <f t="shared" si="3"/>
        <v>6736.0000000000055</v>
      </c>
      <c r="O52">
        <f t="shared" ref="O52:O70" si="4">1/3</f>
        <v>0.33333333333333331</v>
      </c>
      <c r="Q52" s="28"/>
    </row>
    <row r="53" spans="12:17" x14ac:dyDescent="0.35">
      <c r="L53">
        <v>0.66000000000000025</v>
      </c>
      <c r="M53">
        <f t="shared" ref="M53:M69" si="5">uniform_start_value + (uniform_end_value-uniform_start_value)*L53</f>
        <v>3.3920000000000026</v>
      </c>
      <c r="N53" s="17">
        <f t="shared" si="3"/>
        <v>6784.0000000000055</v>
      </c>
      <c r="O53">
        <f t="shared" si="4"/>
        <v>0.33333333333333331</v>
      </c>
      <c r="Q53" s="28"/>
    </row>
    <row r="54" spans="12:17" x14ac:dyDescent="0.35">
      <c r="L54">
        <v>0.68000000000000027</v>
      </c>
      <c r="M54">
        <f t="shared" si="5"/>
        <v>3.4160000000000026</v>
      </c>
      <c r="N54" s="17">
        <f t="shared" si="3"/>
        <v>6832.0000000000045</v>
      </c>
      <c r="O54">
        <f t="shared" si="4"/>
        <v>0.33333333333333331</v>
      </c>
      <c r="Q54" s="28"/>
    </row>
    <row r="55" spans="12:17" x14ac:dyDescent="0.35">
      <c r="L55">
        <v>0.70000000000000029</v>
      </c>
      <c r="M55">
        <f t="shared" si="5"/>
        <v>3.4400000000000026</v>
      </c>
      <c r="N55" s="17">
        <f t="shared" si="3"/>
        <v>6880.0000000000045</v>
      </c>
      <c r="O55">
        <f t="shared" si="4"/>
        <v>0.33333333333333331</v>
      </c>
      <c r="Q55" s="28"/>
    </row>
    <row r="56" spans="12:17" x14ac:dyDescent="0.35">
      <c r="L56">
        <v>0.72000000000000031</v>
      </c>
      <c r="M56">
        <f t="shared" si="5"/>
        <v>3.4640000000000026</v>
      </c>
      <c r="N56" s="17">
        <f t="shared" si="3"/>
        <v>6928.0000000000055</v>
      </c>
      <c r="O56">
        <f t="shared" si="4"/>
        <v>0.33333333333333331</v>
      </c>
      <c r="Q56" s="28"/>
    </row>
    <row r="57" spans="12:17" x14ac:dyDescent="0.35">
      <c r="L57">
        <v>0.74000000000000032</v>
      </c>
      <c r="M57">
        <f t="shared" si="5"/>
        <v>3.4880000000000027</v>
      </c>
      <c r="N57" s="17">
        <f t="shared" si="3"/>
        <v>6976.0000000000055</v>
      </c>
      <c r="O57">
        <f t="shared" si="4"/>
        <v>0.33333333333333331</v>
      </c>
      <c r="Q57" s="28"/>
    </row>
    <row r="58" spans="12:17" x14ac:dyDescent="0.35">
      <c r="L58">
        <v>0.76000000000000034</v>
      </c>
      <c r="M58">
        <f t="shared" si="5"/>
        <v>3.5120000000000027</v>
      </c>
      <c r="N58" s="17">
        <f t="shared" si="3"/>
        <v>7024.0000000000055</v>
      </c>
      <c r="O58">
        <f t="shared" si="4"/>
        <v>0.33333333333333331</v>
      </c>
      <c r="Q58" s="28"/>
    </row>
    <row r="59" spans="12:17" x14ac:dyDescent="0.35">
      <c r="L59">
        <v>0.78000000000000036</v>
      </c>
      <c r="M59">
        <f t="shared" si="5"/>
        <v>3.5360000000000027</v>
      </c>
      <c r="N59" s="17">
        <f t="shared" si="3"/>
        <v>7072.0000000000045</v>
      </c>
      <c r="O59">
        <f t="shared" si="4"/>
        <v>0.33333333333333331</v>
      </c>
      <c r="Q59" s="28"/>
    </row>
    <row r="60" spans="12:17" x14ac:dyDescent="0.35">
      <c r="L60">
        <v>0.80000000000000038</v>
      </c>
      <c r="M60">
        <f t="shared" si="5"/>
        <v>3.5600000000000027</v>
      </c>
      <c r="N60" s="17">
        <f t="shared" si="3"/>
        <v>7120.0000000000055</v>
      </c>
      <c r="O60">
        <f t="shared" si="4"/>
        <v>0.33333333333333331</v>
      </c>
      <c r="Q60" s="28"/>
    </row>
    <row r="61" spans="12:17" x14ac:dyDescent="0.35">
      <c r="L61">
        <v>0.8200000000000004</v>
      </c>
      <c r="M61">
        <f t="shared" si="5"/>
        <v>3.5840000000000027</v>
      </c>
      <c r="N61" s="17">
        <f t="shared" si="3"/>
        <v>7168.0000000000055</v>
      </c>
      <c r="O61">
        <f t="shared" si="4"/>
        <v>0.33333333333333331</v>
      </c>
      <c r="Q61" s="28"/>
    </row>
    <row r="62" spans="12:17" x14ac:dyDescent="0.35">
      <c r="L62">
        <v>0.84000000000000041</v>
      </c>
      <c r="M62">
        <f t="shared" si="5"/>
        <v>3.6080000000000028</v>
      </c>
      <c r="N62" s="17">
        <f t="shared" si="3"/>
        <v>7216.0000000000055</v>
      </c>
      <c r="O62">
        <f t="shared" si="4"/>
        <v>0.33333333333333331</v>
      </c>
      <c r="Q62" s="28"/>
    </row>
    <row r="63" spans="12:17" x14ac:dyDescent="0.35">
      <c r="L63">
        <v>0.86000000000000043</v>
      </c>
      <c r="M63">
        <f t="shared" si="5"/>
        <v>3.6320000000000028</v>
      </c>
      <c r="N63" s="17">
        <f t="shared" si="3"/>
        <v>7264.0000000000064</v>
      </c>
      <c r="O63">
        <f t="shared" si="4"/>
        <v>0.33333333333333331</v>
      </c>
      <c r="Q63" s="28"/>
    </row>
    <row r="64" spans="12:17" x14ac:dyDescent="0.35">
      <c r="L64">
        <v>0.88000000000000045</v>
      </c>
      <c r="M64">
        <f t="shared" si="5"/>
        <v>3.6560000000000028</v>
      </c>
      <c r="N64" s="17">
        <f t="shared" si="3"/>
        <v>7312.0000000000055</v>
      </c>
      <c r="O64">
        <f t="shared" si="4"/>
        <v>0.33333333333333331</v>
      </c>
      <c r="Q64" s="28"/>
    </row>
    <row r="65" spans="12:17" x14ac:dyDescent="0.35">
      <c r="L65">
        <v>0.90000000000000047</v>
      </c>
      <c r="M65">
        <f t="shared" si="5"/>
        <v>3.6800000000000033</v>
      </c>
      <c r="N65" s="17">
        <f t="shared" si="3"/>
        <v>7360.0000000000064</v>
      </c>
      <c r="O65">
        <f t="shared" si="4"/>
        <v>0.33333333333333331</v>
      </c>
      <c r="Q65" s="28"/>
    </row>
    <row r="66" spans="12:17" x14ac:dyDescent="0.35">
      <c r="L66">
        <v>0.92000000000000048</v>
      </c>
      <c r="M66">
        <f t="shared" si="5"/>
        <v>3.7040000000000033</v>
      </c>
      <c r="N66" s="17">
        <f t="shared" si="3"/>
        <v>7408.0000000000064</v>
      </c>
      <c r="O66">
        <f t="shared" si="4"/>
        <v>0.33333333333333331</v>
      </c>
      <c r="Q66" s="28"/>
    </row>
    <row r="67" spans="12:17" x14ac:dyDescent="0.35">
      <c r="L67">
        <v>0.9400000000000005</v>
      </c>
      <c r="M67">
        <f t="shared" si="5"/>
        <v>3.7280000000000033</v>
      </c>
      <c r="N67" s="17">
        <f t="shared" si="3"/>
        <v>7456.0000000000073</v>
      </c>
      <c r="O67">
        <f t="shared" si="4"/>
        <v>0.33333333333333331</v>
      </c>
      <c r="Q67" s="28"/>
    </row>
    <row r="68" spans="12:17" x14ac:dyDescent="0.35">
      <c r="L68">
        <v>0.96000000000000052</v>
      </c>
      <c r="M68">
        <f t="shared" si="5"/>
        <v>3.7520000000000033</v>
      </c>
      <c r="N68" s="17">
        <f t="shared" si="3"/>
        <v>7504.0000000000064</v>
      </c>
      <c r="O68">
        <f t="shared" si="4"/>
        <v>0.33333333333333331</v>
      </c>
      <c r="Q68" s="28"/>
    </row>
    <row r="69" spans="12:17" x14ac:dyDescent="0.35">
      <c r="L69">
        <v>0.98000000000000054</v>
      </c>
      <c r="M69">
        <f t="shared" si="5"/>
        <v>3.7760000000000034</v>
      </c>
      <c r="N69" s="17">
        <f t="shared" si="3"/>
        <v>7552.0000000000064</v>
      </c>
      <c r="O69">
        <f t="shared" si="4"/>
        <v>0.33333333333333331</v>
      </c>
      <c r="Q69" s="28"/>
    </row>
    <row r="70" spans="12:17" x14ac:dyDescent="0.35">
      <c r="L70">
        <v>1.0000000000000004</v>
      </c>
      <c r="M70" s="20">
        <f>uniform_end_value</f>
        <v>3.8000000000000025</v>
      </c>
      <c r="N70" s="17">
        <f t="shared" si="3"/>
        <v>7600.0000000000045</v>
      </c>
      <c r="O70">
        <f t="shared" si="4"/>
        <v>0.33333333333333331</v>
      </c>
      <c r="Q70" s="28"/>
    </row>
    <row r="71" spans="12:17" x14ac:dyDescent="0.35">
      <c r="M71" s="20">
        <f>uniform_end_value</f>
        <v>3.8000000000000025</v>
      </c>
      <c r="N71" s="17">
        <f t="shared" si="3"/>
        <v>7600.0000000000045</v>
      </c>
      <c r="O71" s="19">
        <v>0</v>
      </c>
      <c r="Q71" s="28"/>
    </row>
    <row r="72" spans="12:17" x14ac:dyDescent="0.35">
      <c r="M72" s="18">
        <f>MAX(tbl_Uniform[x])</f>
        <v>4.0000000000000027</v>
      </c>
      <c r="N72" s="17">
        <f t="shared" si="3"/>
        <v>8000.0000000000045</v>
      </c>
      <c r="O72" s="19">
        <v>0</v>
      </c>
      <c r="Q72" s="28"/>
    </row>
  </sheetData>
  <hyperlinks>
    <hyperlink ref="L3" r:id="rId1" xr:uid="{5B014ACA-154C-4CDC-9CB0-B120BCF75501}"/>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mAG4AXwBSAGUAdAB1AHIAbgBPAG4AZQBUAGgAaQByAGQAIAA9ACAATABhAG0AYgBkAGEAKAB4ACwAXABuAC8ALwBDAGEAbgBuAG8AdAAgAHMAaQBtAHAAbAB5ACAAcgBlAHQAdQByAG4AIABhACAAdABoAGkAcgBkACAAbwB0AGgAZQByAHcAaQBzAGUAIABhACAAcwBjAGEAbABhAHIAIABpAHMAIAByAGUAdAB1AHIAbgBlAGQAIABcAG4ALwAvAHIAYQB0AGgAZQByACAAdABoAGEAbgAgAGEAbgAgAGEAcgByAGEAeQAgAG8AZgAgAHQAaABpAHIAZABzACwAIAB0AGgAZQByAGUAZgBvAHIAZQAgAG0AdQBsAHQAaQBwAGwAeQAgAHQAaABlACAAcgBlAHQAdQByAG4AIABcAG4ALwAvAHYAYQBsAHUAZQAgAGIAeQAgAGEAbgAgAGEAcgByAGEAeQAuACAAIABDAGEAbgBuAG8AdAAgAHUAcwBlACAAeAAgAGEAcwAgAGkAdAAgAG0AYQB5ACAAYgBlACAAegBlAHIAbwAsACAAdABoAGUAcgBlAGYAbwByAGUAIABMAEUATgBcAG4AIAAgACAAIAAxAC8AMwAgACoAIABMAEUATgAoAHgAKQAvAEwARQBOACgAeAApACkAOwAiAH0ALAB7ACIAcABhAHQAaAAiADoAIgAvAHAAcgBvAGoAZQBjAHQAcwAvAG0AYQB0AGgAcwAiACwAIgB0AGUAeAB0ACIAOgAiAC8ALwBGAG8AbABsAG8AdwAgAHAAeQB0AGgAbwBuACAAYwBvAG4AdgBlAG4AdABpAG8AbgAgAGkAbgAgAHQAaABhAHQAIABmAHUAbgBjAHQAaQBvAG4AcwAgAHMAdABhAHIAdABpAG4AZwAgAHcAaQB0AGgAIAB1AG4AZABlAHIAcwBjAG8AcgBlACAAYQByAGUAIABpAG4AdABlAG4AZABlAGQAIAB0AG8AIABiAGUAIABoAGkAZABkAGUAbgBcAG4AXABuAGkAbgB0AGUAZwByAGEAdABlAF8AdAByAGEAcABlAHoAbwBpAGQAXwByAHUAbABlACAAPQAgAEwAQQBNAEIARABBACgAZgBuACwAYQAsACAAYgAsACAAWwBuAF0ALAAgAFwAbgAgACAAIAAgAC8ALwBSAGUAdAB1AHIAbgBzACAAdABoAGUAIABkAGUAZgBpAG4AaQB0AGUAIABpAG4AdABlAGcAcgBhAGwAIABvAGYAIABmAHUAbgBjAHQAaQBvAG4AIABmAG4AIABiAGUAdAB3AGUAZQBuACAAYQAgAGEAbgBkACAAYgAgAHUAdABpAGwAaQBzAGkAbgBnAFwAbgAgACAAIAAgAC8ALwB0AGgAZQAgAHQAcgBhAHAAZQB6AG8AaQBkACAAcgB1AGwAZQAgAHcAaQB0AGgAIABuACAAdAByAGEAcABhAHoAbwBpAGQAcwAgACAAIAAgAFwAbgAgACAAIAAgAEwARQBUACgAXABuAFwAbgAgACAAIAAgACAAIAAgACAAZABlAGYAYQB1AGwAdABfAG4AdQBtAF8AdAByAGEAcABlAHoAbwBpAGQAcwAsACAAMQAwADAALABcAG4AIAAgACAAIAAgACAAIAAgAG4ALAAgAEkARgAoAEkAUwBPAE0ASQBUAFQARQBEACgAbgApACwAIABkAGUAZgBhAHUAbAB0AF8AbgB1AG0AXwB0AHIAYQBwAGUAegBvAGkAZABzACwAIABuACkALABcAG4AXABuACAAIAAgACAAIAAgACAAIAByAGUAdAB1AHIAbgBfAHYAYQBsAHUAZQAsACAASQBGACgAXABuACAAIAAgACAAIAAgACAAIAAgACAAIAAgAG4APQAxACwAIABcAG4AIAAgACAAIAAgACAAIAAgACAAIAAgACAAXwBpAG4AdABlAGcAcgBhAHQAZQBfAHcAaQB0AGgAXwBvAG4AZQBfAHQAcgBhAHAAYQB6AG8AaQBkACgAZgBuACwAIABhACwAIABiACkALABcAG4AIAAgACAAIAAgACAAIAAgACAAIAAgACAAXwBpAG4AdABlAGcAcgBhAHQAZQBfAHcAaQB0AGgAXwBtAHUAbAB0AGkAXwB0AHIAYQBwAGEAegBvAGkAZABzACgAZgBuACwAIABhACwAIABiACwAIABuACkAXABuACAAIAAgACAAIAAgACAAIAApACwAXABuAFwAbgAgACAAIAAgACAAIAAgACAAcgBlAHQAdQByAG4AXwB2AGEAbAB1AGUAXABuACAAIAAgACAAIAAgACAAIABcAG4AIAAgACAAIAApAFwAbgApADsAXABuACAAIAAgACAAXABuAF8AaQBuAHQAZQBnAHIAYQB0AGUAXwB3AGkAdABoAF8AbwBuAGUAXwB0AHIAYQBwAGEAegBvAGkAZAAgAD0AIABMAEEATQBCAEQAQQAoAGYAbgAsAGEALAAgAGIALABcAG4AIAAgACAAIABMAEUAVAAoAFwAbgAgACAAIAAgACAAIAAgACAAdAByAGEAcABlAHoAbwBpAGQAXwB3AGkAZAB0AGgALAAgACgAYgAtAGEAKQAsAFwAbgAgACAAIAAgACAAIAAgACAAcgBlAHQAdQByAG4AXwB2AGEAbAB1AGUALAAgACgAYgAtAGEAKQAvADIAKgAoAGYAbgAoAGEAKQAgACsAIABmAG4AKABiACkAKQAsAFwAbgAgACAAIAAgACAAIAAgACAAcgBlAHQAdQByAG4AXwB2AGEAbAB1AGUAXABuACAAIAAgACAAIAAgACAAIAApAFwAbgApADsAXABuAFwAbgBfAGkAbgB0AGUAZwByAGEAdABlAF8AdwBpAHQAaABfAG0AdQBsAHQAaQBfAHQAcgBhAHAAYQB6AG8AaQBkAHMAIAA9ACAATABBAE0AQgBEAEEAKABmAG4ALABhACwAIABiACwAbgAsACAAXABuACAAIAAgACAALwAvAGEAIABpAHMAIAB4AF8AMAAgAGEAbgBkACAAYgAgAGkAcwAgAHgAXwBuAFwAbgAgACAAIAAgAEwARQBUACgAXABuACAAIAAgACAAIAAgACAAIAB0AHIAYQBwAGUAegBvAGkAZABfAHcAaQBkAHQAaAAsACAAKABiAC0AYQApAC8AbgAsAFwAbgAgACAAIAAgACAAIAAgACAAeABfAHYAYQBsAHUAZQBzAF8AZQB4AF8AYQBfAGEAbgBkAF8AYgAsACAAYQAgACsAIABTAEUAUQBVAEUATgBDAEUAKABuAC0AMQApACoAIAB0AHIAYQBwAGUAegBvAGkAZABfAHcAaQBkAHQAaAAsAFwAbgAgACAAIAAgACAAIAAgACAAcgBlAHQAdQByAG4AXwB2AGEAbAB1AGUALAAgACgAYgAtAGEAKQAvACgAMgAqAG4AKQAqACgAZgBuACgAYQApACAAKwAgAGYAbgAoAGIAKQAgACsAIAAyACAAKgAgAHMAdQBtACgAZgBuACgAeABfAHYAYQBsAHUAZQBzAF8AZQB4AF8AYQBfAGEAbgBkAF8AYgApACkAKQAsAFwAbgAgACAAIAAgACAAIAAgACAAcgBlAHQAdQByAG4AXwB2AGEAbAB1AGUAXABuACAAIAAgACAAIAAgACAAIAApAFwAbgApADsAXABuAFwAbgAiAH0AXQAsACIAcAByAG8AagBlAGMAdABOAGEAbQBlAHMAIgA6AFsAIgBmAG4AXwBSAGUAdAB1AHIAbgBPAG4AZQBUAGgAaQByAGQAIgAsACIAbQBhAHQAaABzAC4AaQBuAHQAZQBnAHIAYQB0AGUAXwB0AHIAYQBwAGUAegBvAGkAZABfAHIAdQBsAGUAIgAsACIAbQBhAHQAaABzAC4AXwBpAG4AdABlAGcAcgBhAHQAZQBfAHcAaQB0AGgAXwBvAG4AZQBfAHQAcgBhAHAAYQB6AG8AaQBkACIALAAiAG0AYQB0AGgAcwAuAF8AaQBuAHQAZQBnAHIAYQB0AGUAXwB3AGkAdABoAF8AbQB1AGwAdABpAF8AdAByAGEAcABhAHoAbwBpAGQAc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D0A07C09-7B6A-431A-8013-B6C6A336B697}">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TableOfContents</vt:lpstr>
      <vt:lpstr>Definitions</vt:lpstr>
      <vt:lpstr>Uniform</vt:lpstr>
      <vt:lpstr>Quadratic</vt:lpstr>
      <vt:lpstr>NormDist</vt:lpstr>
      <vt:lpstr>StandardNormDist</vt:lpstr>
      <vt:lpstr>Workings_StdNorm</vt:lpstr>
      <vt:lpstr>Workings_Quadratic</vt:lpstr>
      <vt:lpstr>Workings_Uniform</vt:lpstr>
      <vt:lpstr>normal_mean</vt:lpstr>
      <vt:lpstr>normal_std_dev</vt:lpstr>
      <vt:lpstr>quadratic_end_value</vt:lpstr>
      <vt:lpstr>quadratic_graph_max_display</vt:lpstr>
      <vt:lpstr>quadratic_graph_min_display</vt:lpstr>
      <vt:lpstr>quadratic_start_value</vt:lpstr>
      <vt:lpstr>standard_normal_end_value</vt:lpstr>
      <vt:lpstr>standard_normal_mean</vt:lpstr>
      <vt:lpstr>standard_normal_start_value</vt:lpstr>
      <vt:lpstr>standard_normal_std_dev</vt:lpstr>
      <vt:lpstr>uniform_end_value</vt:lpstr>
      <vt:lpstr>uniform_graph_max_display</vt:lpstr>
      <vt:lpstr>uniform_graph_min_display</vt:lpstr>
      <vt:lpstr>uniform_start_value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dc:creator>
  <cp:lastModifiedBy>Charl Potgieter</cp:lastModifiedBy>
  <dcterms:created xsi:type="dcterms:W3CDTF">2015-06-05T18:17:20Z</dcterms:created>
  <dcterms:modified xsi:type="dcterms:W3CDTF">2023-09-16T00:13:24Z</dcterms:modified>
</cp:coreProperties>
</file>