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charlenehourdin/Documents/Openclassrooms/Projet/11 - Réalisez le cadrage d’un projet IA/"/>
    </mc:Choice>
  </mc:AlternateContent>
  <xr:revisionPtr revIDLastSave="0" documentId="13_ncr:1_{706AB728-D8D7-6D46-839B-4C63244FF71A}" xr6:coauthVersionLast="47" xr6:coauthVersionMax="47" xr10:uidLastSave="{00000000-0000-0000-0000-000000000000}"/>
  <bookViews>
    <workbookView xWindow="120" yWindow="540" windowWidth="33280" windowHeight="19220" activeTab="3" xr2:uid="{AD768BDE-B1D0-AC4C-B084-9D0B1D1A1572}"/>
  </bookViews>
  <sheets>
    <sheet name="Développement" sheetId="2" r:id="rId1"/>
    <sheet name="Exploitation" sheetId="3" r:id="rId2"/>
    <sheet name="Plan de charge" sheetId="4" r:id="rId3"/>
    <sheet name="Estimation rentabilité"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14" i="7" l="1"/>
  <c r="D14" i="7"/>
  <c r="D8" i="7"/>
  <c r="D7" i="7"/>
  <c r="E7" i="7"/>
  <c r="E8" i="7"/>
  <c r="B7" i="7"/>
  <c r="C7" i="7"/>
  <c r="K7" i="7"/>
  <c r="J7" i="7"/>
  <c r="I7" i="7"/>
  <c r="H7" i="7"/>
  <c r="G7" i="7"/>
  <c r="F7" i="7"/>
  <c r="C12" i="7" l="1"/>
  <c r="D11" i="7"/>
  <c r="K6" i="7"/>
  <c r="J6" i="7"/>
  <c r="I6" i="7"/>
  <c r="H6" i="7"/>
  <c r="G6" i="7"/>
  <c r="F6" i="7"/>
  <c r="E6" i="7"/>
  <c r="D6" i="7"/>
  <c r="D9" i="7" s="1"/>
  <c r="C6" i="7"/>
  <c r="C9" i="7" s="1"/>
  <c r="B5" i="7"/>
  <c r="C21" i="4"/>
  <c r="C20" i="4"/>
  <c r="C22" i="4"/>
  <c r="C23" i="4"/>
  <c r="C24" i="4"/>
  <c r="C25" i="4"/>
  <c r="C26" i="4"/>
  <c r="C27" i="4"/>
  <c r="D9" i="4"/>
  <c r="D23" i="4"/>
  <c r="D27" i="4"/>
  <c r="D26" i="4"/>
  <c r="D25" i="4"/>
  <c r="D24" i="4"/>
  <c r="E24" i="4"/>
  <c r="G24" i="4"/>
  <c r="G25" i="4"/>
  <c r="C13" i="7" l="1"/>
  <c r="D12" i="7"/>
  <c r="D7" i="4"/>
  <c r="E25" i="4"/>
  <c r="C15" i="7" l="1"/>
  <c r="D13" i="7"/>
  <c r="G23" i="4"/>
  <c r="G22" i="4"/>
  <c r="G21" i="4"/>
  <c r="G27" i="4" s="1"/>
  <c r="G20" i="4"/>
  <c r="B28" i="4"/>
  <c r="D15" i="7" l="1"/>
  <c r="E26" i="4"/>
  <c r="G26" i="4"/>
  <c r="G28" i="4" s="1"/>
  <c r="D6" i="4"/>
  <c r="E13" i="3" l="1"/>
  <c r="E14" i="3" s="1"/>
  <c r="E15" i="2"/>
  <c r="C13" i="4"/>
  <c r="D20" i="4"/>
  <c r="D22" i="4"/>
  <c r="D21" i="4"/>
  <c r="B35" i="4" l="1"/>
  <c r="C28" i="4"/>
  <c r="D28" i="4"/>
  <c r="E20" i="4"/>
  <c r="E22" i="4"/>
  <c r="D11" i="4"/>
  <c r="E27" i="4"/>
  <c r="E23" i="4"/>
  <c r="D4" i="4"/>
  <c r="E21" i="4"/>
  <c r="D8" i="4"/>
  <c r="D10" i="4"/>
  <c r="D12" i="4"/>
  <c r="D2" i="4"/>
  <c r="D3" i="4"/>
  <c r="D5" i="4"/>
  <c r="E28" i="4" l="1"/>
  <c r="B32" i="4" s="1"/>
  <c r="B33" i="4" l="1"/>
  <c r="D13" i="4" l="1"/>
  <c r="B9" i="7" l="1"/>
  <c r="B13" i="7"/>
  <c r="B15" i="7"/>
  <c r="B16" i="7" s="1"/>
  <c r="C16" i="7" s="1"/>
  <c r="D16" i="7" s="1"/>
  <c r="E11" i="7"/>
  <c r="E12" i="7" s="1"/>
  <c r="E9" i="7"/>
  <c r="E13" i="7" l="1"/>
  <c r="F8" i="7"/>
  <c r="F9" i="7" s="1"/>
  <c r="F11" i="7" l="1"/>
  <c r="E14" i="7"/>
  <c r="E15" i="7" s="1"/>
  <c r="E16" i="7" s="1"/>
  <c r="F12" i="7" l="1"/>
  <c r="F13" i="7" l="1"/>
  <c r="G8" i="7"/>
  <c r="G9" i="7" l="1"/>
  <c r="G11" i="7"/>
  <c r="F14" i="7"/>
  <c r="F15" i="7" s="1"/>
  <c r="F16" i="7" s="1"/>
  <c r="G12" i="7" l="1"/>
  <c r="G13" i="7" l="1"/>
  <c r="H8" i="7"/>
  <c r="H9" i="7" l="1"/>
  <c r="H11" i="7"/>
  <c r="G14" i="7"/>
  <c r="G15" i="7" s="1"/>
  <c r="G16" i="7" s="1"/>
  <c r="H12" i="7" l="1"/>
  <c r="I8" i="7" l="1"/>
  <c r="H13" i="7"/>
  <c r="H14" i="7" l="1"/>
  <c r="H15" i="7" s="1"/>
  <c r="H16" i="7" s="1"/>
  <c r="I9" i="7"/>
  <c r="I11" i="7"/>
  <c r="I12" i="7" l="1"/>
  <c r="I13" i="7" l="1"/>
  <c r="J8" i="7"/>
  <c r="J9" i="7" l="1"/>
  <c r="J11" i="7"/>
  <c r="I14" i="7"/>
  <c r="I15" i="7" s="1"/>
  <c r="I16" i="7" s="1"/>
  <c r="J12" i="7" l="1"/>
  <c r="J13" i="7" l="1"/>
  <c r="K8" i="7"/>
  <c r="K9" i="7" l="1"/>
  <c r="K11" i="7"/>
  <c r="K12" i="7" s="1"/>
  <c r="K13" i="7" s="1"/>
  <c r="J14" i="7"/>
  <c r="J15" i="7" s="1"/>
  <c r="J16" i="7" s="1"/>
  <c r="K14" i="7" l="1"/>
  <c r="K15" i="7"/>
  <c r="K16" i="7" s="1"/>
</calcChain>
</file>

<file path=xl/sharedStrings.xml><?xml version="1.0" encoding="utf-8"?>
<sst xmlns="http://schemas.openxmlformats.org/spreadsheetml/2006/main" count="171" uniqueCount="120">
  <si>
    <t>Tâche</t>
  </si>
  <si>
    <t>Responsable</t>
  </si>
  <si>
    <t>Durée en jours</t>
  </si>
  <si>
    <t>Cadrage du projet</t>
  </si>
  <si>
    <t>Chef de projet</t>
  </si>
  <si>
    <t>Etude de marché</t>
  </si>
  <si>
    <t>Marketing</t>
  </si>
  <si>
    <t>Analyse des besoins utilisateurs</t>
  </si>
  <si>
    <t>Conception de l'application</t>
  </si>
  <si>
    <t>Acquisition des données</t>
  </si>
  <si>
    <t>Data Scientist</t>
  </si>
  <si>
    <t>Traitement et labellisation des données</t>
  </si>
  <si>
    <t>Développement du modèle IA</t>
  </si>
  <si>
    <t>Intégration de l'IA dans l'application</t>
  </si>
  <si>
    <t>Tests de validation</t>
  </si>
  <si>
    <t>Déploiement de l'application</t>
  </si>
  <si>
    <t>Lancement de l'application</t>
  </si>
  <si>
    <t>Total</t>
  </si>
  <si>
    <t>-</t>
  </si>
  <si>
    <t xml:space="preserve">Chef de projet </t>
  </si>
  <si>
    <t xml:space="preserve">Marketing </t>
  </si>
  <si>
    <t xml:space="preserve">UX Designer </t>
  </si>
  <si>
    <t xml:space="preserve">Développeurs </t>
  </si>
  <si>
    <t xml:space="preserve">Data Scientist </t>
  </si>
  <si>
    <t>Rôle</t>
  </si>
  <si>
    <t>Développeurs</t>
  </si>
  <si>
    <t>21,67 jours ouvrables dans un mois</t>
  </si>
  <si>
    <t>Coût mensuel</t>
  </si>
  <si>
    <t>Microsoft Azure Estimate</t>
  </si>
  <si>
    <t>Service category</t>
  </si>
  <si>
    <t>Service type</t>
  </si>
  <si>
    <t>Region</t>
  </si>
  <si>
    <t>Description</t>
  </si>
  <si>
    <t>Estimated monthly cost</t>
  </si>
  <si>
    <t>Estimated upfront cost</t>
  </si>
  <si>
    <t>Calcul</t>
  </si>
  <si>
    <t>App Service</t>
  </si>
  <si>
    <t>West US</t>
  </si>
  <si>
    <t>Niveau Standard ; 1 S1 (1 Cœur(s), 1.75 Go de RAM, 50 Go de stockage) x 730 Heures ; Système d’exploitation Windows ; 0 SNI/SSL Connexions ; 0 SSL IP Connexions</t>
  </si>
  <si>
    <t>Azure Functions</t>
  </si>
  <si>
    <t>Niveau Premium, À l'utilisation, EP1: 1 Cœurs(s), 3.5 Go de RAM, 250 Go de stockage, 1 Instances chauffées à l’avance, 1 Unités mises à l’échelle supplémentaires</t>
  </si>
  <si>
    <t>Stockage</t>
  </si>
  <si>
    <t>Storage Accounts</t>
  </si>
  <si>
    <t>East US</t>
  </si>
  <si>
    <t>Premium Redondance Stockage d’objets blob de bloc, Espace de noms hiérarchique, LRS, Niveau d’accès À chaud, 1 000 Go Capacité - À l'utilisation, 10 x 10 000 opérations d’écriture, 10 x 10 000 opérations de lecture, 10 x 10 000 opérations de lecture itérative, 10 x 100 opérations d’écriture itérative, 1 000Go extraction de données, 1 000Go écriture de données, index 1 000 , 1 x 10 000 autres opérations</t>
  </si>
  <si>
    <t>Bases de données</t>
  </si>
  <si>
    <t>Azure SQL Database</t>
  </si>
  <si>
    <t>Base de données unique, vCore, Usage général, Provisionné, Série Standard (Gen 5), Redondant en local, 12 vCore - base de données x 730 Heures,  Redondance du stockage de sauvegarde RA-GRS, Restauration à un instant dans le passé de 0 Go, Rétention à long terme 0 x 5 Go</t>
  </si>
  <si>
    <t>Analyse</t>
  </si>
  <si>
    <t>Azure Machine Learning</t>
  </si>
  <si>
    <t>East US 2</t>
  </si>
  <si>
    <t>1 D4ds v4 (4 coeur(s), 16 Go de RAM) x 730 Heures, À l'utilisation</t>
  </si>
  <si>
    <t>DevOps</t>
  </si>
  <si>
    <t>Azure Monitor</t>
  </si>
  <si>
    <t>Log analytics : Ingestion de données de journal : 0 Go de journaux Daily Analytics ingérés, 0 Go de journaux quotidiens de base ingérés, 1 mois de conservation interactive des données, 0 mois de données archivées, 0 Requêtes de recherche de journal de base par jour avec 0 Go de données analysées par requête, 0 Go de données de journal exportées par jour, données de journal de plate-forme traitées par jour: 0 Go avec Destination vers stockage ou Event Hub et 0 Go avec des partenaires Destination to Marketplace, 0 Recherche d'emploi Requêtes par jour avec 0 Go de données analysées par requête ; Prometheus managé : 3 nœuds AKS dans le cluster, 10000 métriques Prometheus par nœud, 30 secondes d’intervalle de collecte des métriques, 10 moyenne des utilisateurs des tableaux de bord quotidiens, 7 tableaux de bord, 50000 exemples de données interrogés par tableau de bord, 25 règles d’alerte promql, 25 règles d’enregistrement promql ; Application Insights : 3 mois de conservation des données, 0 Tests web multiétapes ; 0 ressources surveillées X 1 série chronologique d’indicateur de performance surveillée par ressource, 0 Alertes de journal à la fréquence 5 minutes, 0 Événements supplémentaires (en milliers), 0 E-mails supplémentaires (en centaine de milliers), 0 Notifications push supplémentaires (en centaine de milliers), 0 Webhooks supplémentaires (en millions)</t>
  </si>
  <si>
    <t>Support</t>
  </si>
  <si>
    <t>Licensing Program</t>
  </si>
  <si>
    <t>Microsoft Customer Agreement (MCA)</t>
  </si>
  <si>
    <t>Billing Account</t>
  </si>
  <si>
    <t/>
  </si>
  <si>
    <t>Billing Profile</t>
  </si>
  <si>
    <t>Salaire en €/an</t>
  </si>
  <si>
    <t>Durée total des taches en jour</t>
  </si>
  <si>
    <t>Ux designer</t>
  </si>
  <si>
    <t xml:space="preserve">1820 heurs travaillés par an </t>
  </si>
  <si>
    <t>Volume horaire en %</t>
  </si>
  <si>
    <t>Coût total par tache</t>
  </si>
  <si>
    <t>TJM</t>
  </si>
  <si>
    <t>Total mensuel</t>
  </si>
  <si>
    <t>Total annuel</t>
  </si>
  <si>
    <t>7 heures travaillés par jours</t>
  </si>
  <si>
    <t>Années</t>
  </si>
  <si>
    <t xml:space="preserve">Cout architecture mensuelle </t>
  </si>
  <si>
    <t xml:space="preserve">Durée de la phase projet estimé en mois </t>
  </si>
  <si>
    <t>Développement</t>
  </si>
  <si>
    <t xml:space="preserve">Développement </t>
  </si>
  <si>
    <t>Exploitation</t>
  </si>
  <si>
    <t xml:space="preserve">Charges </t>
  </si>
  <si>
    <t>Concernant les métriques financières :</t>
  </si>
  <si>
    <t>Le service marketing prévoit le scénario suivant pour la première année du lancement de la campagne marketing pour la promotion de l'application :</t>
  </si>
  <si>
    <t>Première année :</t>
  </si>
  <si>
    <t>À partir de la deuxième année :</t>
  </si>
  <si>
    <t>Marges</t>
  </si>
  <si>
    <t>Panier moyen</t>
  </si>
  <si>
    <t xml:space="preserve">Objectif de gain par an </t>
  </si>
  <si>
    <t>Coût total projet</t>
  </si>
  <si>
    <t>Coût Total de developpement de l'application</t>
  </si>
  <si>
    <t>Salaire journalier pour chaque rôle (grille de salaire moyen d'un profil intermediaire 2023)</t>
  </si>
  <si>
    <t>Taux d'augmentation du panier moyen</t>
  </si>
  <si>
    <t>Grâce à cet investissement initial de 50 000 € dans la campagne marketing, nous prévoyons d'acquérir 5000 utilisateurs au cours de la première année, ce qui servira de base solide pour notre croissance future. En optimisant notre stratégie d'acquisition, de consolidation et d'augmentation du panier moyen, nous sommes confiants dans notre capacité à générer des revenus stables et à assurer la rentabilité à long terme de notre application.</t>
  </si>
  <si>
    <t xml:space="preserve">Formule de calcul pour les gains de la première année </t>
  </si>
  <si>
    <t>Nombre d'utilisateurs acquis * Panier moyen * Marge estimée</t>
  </si>
  <si>
    <t xml:space="preserve">Formule de calcul pour les gains de la deuxieme année </t>
  </si>
  <si>
    <t xml:space="preserve">Pourcentage du CA pour le marketing  </t>
  </si>
  <si>
    <r>
      <rPr>
        <b/>
        <sz val="14"/>
        <color rgb="FF374151"/>
        <rFont val="Arial"/>
        <family val="2"/>
      </rPr>
      <t>Objectif :</t>
    </r>
    <r>
      <rPr>
        <sz val="14"/>
        <color rgb="FF374151"/>
        <rFont val="Arial"/>
        <family val="2"/>
      </rPr>
      <t xml:space="preserve"> Acquisition d'au moins</t>
    </r>
    <r>
      <rPr>
        <b/>
        <sz val="14"/>
        <color rgb="FF374151"/>
        <rFont val="Arial"/>
        <family val="2"/>
      </rPr>
      <t xml:space="preserve"> 5000 utilisateurs</t>
    </r>
    <r>
      <rPr>
        <sz val="14"/>
        <color rgb="FF374151"/>
        <rFont val="Arial"/>
        <family val="2"/>
      </rPr>
      <t xml:space="preserve"> au cours de la première année. Pour atteindre cet objectif, nous avons investi </t>
    </r>
    <r>
      <rPr>
        <b/>
        <sz val="14"/>
        <color rgb="FF374151"/>
        <rFont val="Arial"/>
        <family val="2"/>
      </rPr>
      <t>50 000 €</t>
    </r>
    <r>
      <rPr>
        <sz val="14"/>
        <color rgb="FF374151"/>
        <rFont val="Arial"/>
        <family val="2"/>
      </rPr>
      <t xml:space="preserve"> dans la campagne marketing, qui nous permettra d'attirer et de convertir ces utilisateurs potentiels en utilisateurs actifs  de notre application. (soit une estimation d'investissement marketing de </t>
    </r>
    <r>
      <rPr>
        <b/>
        <sz val="14"/>
        <color rgb="FF374151"/>
        <rFont val="Arial"/>
        <family val="2"/>
      </rPr>
      <t>10€ par client</t>
    </r>
    <r>
      <rPr>
        <sz val="14"/>
        <color rgb="FF374151"/>
        <rFont val="Arial"/>
        <family val="2"/>
      </rPr>
      <t>)</t>
    </r>
  </si>
  <si>
    <r>
      <t>Estimation de l</t>
    </r>
    <r>
      <rPr>
        <b/>
        <sz val="14"/>
        <color rgb="FF374151"/>
        <rFont val="Arial"/>
        <family val="2"/>
      </rPr>
      <t>'acquisition de 500 nouveaux utilisateurs</t>
    </r>
    <r>
      <rPr>
        <sz val="14"/>
        <color rgb="FF374151"/>
        <rFont val="Arial"/>
        <family val="2"/>
      </rPr>
      <t xml:space="preserve"> par mois, avec une </t>
    </r>
    <r>
      <rPr>
        <b/>
        <sz val="14"/>
        <color rgb="FF374151"/>
        <rFont val="Arial"/>
        <family val="2"/>
      </rPr>
      <t>perte de 10% d'utilisateurs</t>
    </r>
    <r>
      <rPr>
        <sz val="14"/>
        <color rgb="FF374151"/>
        <rFont val="Arial"/>
        <family val="2"/>
      </rPr>
      <t xml:space="preserve"> (environ </t>
    </r>
    <r>
      <rPr>
        <b/>
        <sz val="14"/>
        <color rgb="FF374151"/>
        <rFont val="Arial"/>
        <family val="2"/>
      </rPr>
      <t>50 clients</t>
    </r>
    <r>
      <rPr>
        <sz val="14"/>
        <color rgb="FF374151"/>
        <rFont val="Arial"/>
        <family val="2"/>
      </rPr>
      <t xml:space="preserve">) et une </t>
    </r>
    <r>
      <rPr>
        <b/>
        <sz val="14"/>
        <color rgb="FF374151"/>
        <rFont val="Arial"/>
        <family val="2"/>
      </rPr>
      <t>consolidation de 30% de nos utilisateurs</t>
    </r>
    <r>
      <rPr>
        <sz val="14"/>
        <color rgb="FF374151"/>
        <rFont val="Arial"/>
        <family val="2"/>
      </rPr>
      <t>. Cette estimation est basée sur nos projections de croissance et notre expérience passée dans l'acquisition et la rétention d'utilisateurs.</t>
    </r>
  </si>
  <si>
    <r>
      <t xml:space="preserve">Le panier moyen actuel sur le site e-commerce est de </t>
    </r>
    <r>
      <rPr>
        <b/>
        <sz val="14"/>
        <color rgb="FF374151"/>
        <rFont val="Arial"/>
        <family val="2"/>
      </rPr>
      <t>95,22 €</t>
    </r>
    <r>
      <rPr>
        <sz val="14"/>
        <color rgb="FF374151"/>
        <rFont val="Arial"/>
        <family val="2"/>
      </rPr>
      <t xml:space="preserve">. L'objectif est d'augmenter le panier moyen dans l'application de </t>
    </r>
    <r>
      <rPr>
        <b/>
        <sz val="14"/>
        <color rgb="FF374151"/>
        <rFont val="Arial"/>
        <family val="2"/>
      </rPr>
      <t>30%, soit 123,78 €</t>
    </r>
    <r>
      <rPr>
        <sz val="14"/>
        <color rgb="FF374151"/>
        <rFont val="Arial"/>
        <family val="2"/>
      </rPr>
      <t>. Cette augmentation du panier moyen contribuera à accroître notre chiffre d'affaires et notre rentabilité.</t>
    </r>
  </si>
  <si>
    <r>
      <t xml:space="preserve">La marge estimée pour chaque panier est de </t>
    </r>
    <r>
      <rPr>
        <b/>
        <sz val="14"/>
        <color rgb="FF374151"/>
        <rFont val="Arial"/>
        <family val="2"/>
      </rPr>
      <t>40%</t>
    </r>
    <r>
      <rPr>
        <sz val="14"/>
        <color rgb="FF374151"/>
        <rFont val="Arial"/>
        <family val="2"/>
      </rPr>
      <t>. Cette marge nous permet de couvrir les coûts liés à la fourniture de nos produits ou services, tout en générant des bénéfices.</t>
    </r>
  </si>
  <si>
    <t xml:space="preserve">Charge d'exploitation </t>
  </si>
  <si>
    <t>Charge de developpement</t>
  </si>
  <si>
    <t>Total depense</t>
  </si>
  <si>
    <t xml:space="preserve">Lancement </t>
  </si>
  <si>
    <t>Croissance</t>
  </si>
  <si>
    <t>Cout estimé annuel</t>
  </si>
  <si>
    <t>[(Nombre d'utilisateurs actifs de l'année précédente * 30%) + (Acquisition annuelle de nouveaux utilisateurs) - (Perte annuelle d'utilisateurs)] * 30%</t>
  </si>
  <si>
    <t xml:space="preserve">Nombres d'utilisateur actifs / an </t>
  </si>
  <si>
    <t>Formule de calcul pour l'acquisiont d'utilisateur actifs</t>
  </si>
  <si>
    <t>(Nombre d'utilisateurs actifs de l'année précédente * 0,3) + (Dépenses marketing / 10) + Nombre d'utilisateurs actifs de l'année précédente - (Nombre d'utilisateurs actifs de l'année précédente * 10% de perte utilisateur)</t>
  </si>
  <si>
    <t>(Nombre d'utilisateurs actifs de l'année * Panier moyen * Marges * (1 + Taux d'augmentation du panier moyen))</t>
  </si>
  <si>
    <t>Imposition</t>
  </si>
  <si>
    <t xml:space="preserve">Benefice net </t>
  </si>
  <si>
    <t>Benefice net Total</t>
  </si>
  <si>
    <t>Data Engineer</t>
  </si>
  <si>
    <t>Labelliseur</t>
  </si>
  <si>
    <t>ML Engineer</t>
  </si>
  <si>
    <t>Bareme imposition société France</t>
  </si>
  <si>
    <t xml:space="preserve">Facteur de decroissance </t>
  </si>
  <si>
    <t>0.9</t>
  </si>
  <si>
    <t>Rentabilité</t>
  </si>
  <si>
    <t>CA / Gains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</si>
</sst>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 #,##0.00_)\ &quot;€&quot;_ ;_ * \(#,##0.00\)\ &quot;€&quot;_ ;_ * &quot;-&quot;??_)\ &quot;€&quot;_ ;_ @_ "/>
    <numFmt numFmtId="164" formatCode="[$€]#,##0.00"/>
    <numFmt numFmtId="165" formatCode="#,##0.00\ &quot;€&quot;"/>
  </numFmts>
  <fonts count="33">
    <font>
      <sz val="12"/>
      <color theme="1"/>
      <name val="Calibri"/>
      <family val="2"/>
      <scheme val="minor"/>
    </font>
    <font>
      <sz val="12"/>
      <color theme="1"/>
      <name val="Calibri"/>
      <family val="2"/>
      <scheme val="minor"/>
    </font>
    <font>
      <sz val="16"/>
      <color rgb="FF374151"/>
      <name val="Arial"/>
      <family val="2"/>
    </font>
    <font>
      <sz val="12"/>
      <color rgb="FF374151"/>
      <name val="Calibri"/>
      <family val="2"/>
      <scheme val="minor"/>
    </font>
    <font>
      <sz val="12"/>
      <color rgb="FF374151"/>
      <name val="Calibri"/>
      <family val="2"/>
      <scheme val="minor"/>
    </font>
    <font>
      <sz val="12"/>
      <color rgb="FFC00000"/>
      <name val="Calibri"/>
      <family val="2"/>
      <scheme val="minor"/>
    </font>
    <font>
      <sz val="16"/>
      <color theme="1"/>
      <name val="Calibri"/>
      <family val="2"/>
      <scheme val="minor"/>
    </font>
    <font>
      <i/>
      <sz val="16"/>
      <color rgb="FF374151"/>
      <name val="Arial"/>
      <family val="2"/>
    </font>
    <font>
      <sz val="20"/>
      <color rgb="FFC00000"/>
      <name val="Calibri"/>
      <family val="2"/>
      <scheme val="minor"/>
    </font>
    <font>
      <sz val="20"/>
      <color rgb="FFC00000"/>
      <name val="Calibri"/>
      <family val="2"/>
      <scheme val="minor"/>
    </font>
    <font>
      <sz val="16"/>
      <color theme="1"/>
      <name val="Calibri"/>
      <family val="2"/>
      <scheme val="minor"/>
    </font>
    <font>
      <b/>
      <sz val="16"/>
      <color theme="1"/>
      <name val="Calibri"/>
      <family val="2"/>
      <scheme val="minor"/>
    </font>
    <font>
      <b/>
      <i/>
      <sz val="14"/>
      <name val="Segoe UI Light"/>
    </font>
    <font>
      <i/>
      <sz val="11"/>
      <name val="Segoe UI Light"/>
    </font>
    <font>
      <b/>
      <i/>
      <sz val="11"/>
      <name val="Segoe UI Light"/>
    </font>
    <font>
      <sz val="16"/>
      <color rgb="FF343541"/>
      <name val="Arial"/>
      <family val="2"/>
    </font>
    <font>
      <sz val="12"/>
      <color theme="1"/>
      <name val="Trebuchet MS Bold Italic"/>
    </font>
    <font>
      <b/>
      <sz val="12"/>
      <color theme="1"/>
      <name val="Arial"/>
      <family val="2"/>
    </font>
    <font>
      <sz val="14"/>
      <color theme="1"/>
      <name val="Calibri"/>
      <family val="2"/>
      <scheme val="minor"/>
    </font>
    <font>
      <sz val="14"/>
      <color rgb="FF374151"/>
      <name val="Arial"/>
      <family val="2"/>
    </font>
    <font>
      <i/>
      <sz val="14"/>
      <color rgb="FF374151"/>
      <name val="Arial"/>
      <family val="2"/>
    </font>
    <font>
      <b/>
      <u/>
      <sz val="14"/>
      <color rgb="FF374151"/>
      <name val="Arial"/>
      <family val="2"/>
    </font>
    <font>
      <b/>
      <sz val="14"/>
      <color rgb="FF374151"/>
      <name val="Arial"/>
      <family val="2"/>
    </font>
    <font>
      <i/>
      <sz val="14"/>
      <name val="Segoe UI Light"/>
    </font>
    <font>
      <b/>
      <sz val="16"/>
      <color theme="0"/>
      <name val="Segoe UI Light"/>
    </font>
    <font>
      <b/>
      <i/>
      <sz val="18"/>
      <name val="Segoe UI Light"/>
    </font>
    <font>
      <i/>
      <sz val="18"/>
      <name val="Segoe UI Light"/>
    </font>
    <font>
      <b/>
      <i/>
      <sz val="16"/>
      <name val="Segoe UI Light"/>
    </font>
    <font>
      <b/>
      <sz val="14"/>
      <color theme="0"/>
      <name val="Arial"/>
      <family val="2"/>
    </font>
    <font>
      <b/>
      <sz val="14"/>
      <color rgb="FFC00000"/>
      <name val="Arial"/>
      <family val="2"/>
    </font>
    <font>
      <sz val="14"/>
      <color theme="1"/>
      <name val="Arial"/>
      <family val="2"/>
    </font>
    <font>
      <b/>
      <sz val="14"/>
      <color theme="1"/>
      <name val="Arial"/>
      <family val="2"/>
    </font>
    <font>
      <b/>
      <sz val="16"/>
      <color theme="0"/>
      <name val="Arial"/>
      <family val="2"/>
    </font>
  </fonts>
  <fills count="11">
    <fill>
      <patternFill patternType="none"/>
    </fill>
    <fill>
      <patternFill patternType="gray125"/>
    </fill>
    <fill>
      <patternFill patternType="solid">
        <fgColor theme="2"/>
        <bgColor indexed="64"/>
      </patternFill>
    </fill>
    <fill>
      <patternFill patternType="solid">
        <fgColor rgb="FFDDEBF7"/>
      </patternFill>
    </fill>
    <fill>
      <patternFill patternType="solid">
        <fgColor theme="0"/>
        <bgColor indexed="64"/>
      </patternFill>
    </fill>
    <fill>
      <patternFill patternType="solid">
        <fgColor theme="0" tint="-0.14999847407452621"/>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5" tint="0.39997558519241921"/>
        <bgColor indexed="64"/>
      </patternFill>
    </fill>
    <fill>
      <patternFill patternType="solid">
        <fgColor theme="9" tint="0.59999389629810485"/>
        <bgColor indexed="64"/>
      </patternFill>
    </fill>
  </fills>
  <borders count="1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0" tint="-0.14999847407452621"/>
      </left>
      <right/>
      <top style="thin">
        <color theme="0" tint="-0.14999847407452621"/>
      </top>
      <bottom/>
      <diagonal/>
    </border>
    <border>
      <left/>
      <right style="thin">
        <color theme="0" tint="-0.14999847407452621"/>
      </right>
      <top style="thin">
        <color theme="0" tint="-0.14999847407452621"/>
      </top>
      <bottom/>
      <diagonal/>
    </border>
    <border>
      <left style="thin">
        <color theme="0" tint="-0.14999847407452621"/>
      </left>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indexed="64"/>
      </left>
      <right style="thin">
        <color indexed="64"/>
      </right>
      <top/>
      <bottom style="thin">
        <color indexed="64"/>
      </bottom>
      <diagonal/>
    </border>
    <border>
      <left style="thin">
        <color theme="1"/>
      </left>
      <right/>
      <top/>
      <bottom/>
      <diagonal/>
    </border>
    <border>
      <left style="thin">
        <color theme="1"/>
      </left>
      <right style="thin">
        <color theme="1"/>
      </right>
      <top style="thin">
        <color theme="1"/>
      </top>
      <bottom style="thin">
        <color theme="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03">
    <xf numFmtId="0" fontId="0" fillId="0" borderId="0" xfId="0"/>
    <xf numFmtId="0" fontId="2" fillId="0" borderId="0" xfId="0" applyFont="1"/>
    <xf numFmtId="0" fontId="3" fillId="0" borderId="0" xfId="0" applyFont="1" applyAlignment="1">
      <alignment horizontal="center" vertical="center"/>
    </xf>
    <xf numFmtId="0" fontId="0"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Font="1" applyAlignment="1">
      <alignment horizontal="center" vertical="center" wrapText="1"/>
    </xf>
    <xf numFmtId="0" fontId="6" fillId="0" borderId="0" xfId="0" applyFont="1" applyAlignment="1">
      <alignment horizontal="center" vertical="center"/>
    </xf>
    <xf numFmtId="0" fontId="6" fillId="0" borderId="1" xfId="0" applyFont="1" applyBorder="1" applyAlignment="1">
      <alignment horizontal="center" vertical="center"/>
    </xf>
    <xf numFmtId="1" fontId="6" fillId="0" borderId="1" xfId="0" applyNumberFormat="1" applyFont="1" applyBorder="1" applyAlignment="1">
      <alignment horizontal="center" vertical="center"/>
    </xf>
    <xf numFmtId="0" fontId="7" fillId="0" borderId="0" xfId="0" applyFont="1"/>
    <xf numFmtId="0" fontId="8" fillId="2" borderId="0" xfId="0" applyFont="1" applyFill="1" applyAlignment="1">
      <alignment horizontal="center" vertical="center"/>
    </xf>
    <xf numFmtId="0" fontId="9" fillId="2" borderId="0" xfId="0" applyFont="1" applyFill="1" applyAlignment="1">
      <alignment horizontal="center" vertical="center" wrapText="1"/>
    </xf>
    <xf numFmtId="0" fontId="10" fillId="2" borderId="0" xfId="0" applyFont="1" applyFill="1" applyAlignment="1">
      <alignment horizontal="center" vertical="center"/>
    </xf>
    <xf numFmtId="0" fontId="13" fillId="0" borderId="0" xfId="0" applyFont="1" applyAlignment="1">
      <alignment vertical="top" wrapText="1"/>
    </xf>
    <xf numFmtId="164" fontId="13" fillId="0" borderId="0" xfId="0" applyNumberFormat="1" applyFont="1" applyAlignment="1">
      <alignment horizontal="left" vertical="top"/>
    </xf>
    <xf numFmtId="0" fontId="14" fillId="3" borderId="0" xfId="0" applyFont="1" applyFill="1" applyAlignment="1">
      <alignment vertical="top" wrapText="1"/>
    </xf>
    <xf numFmtId="164" fontId="14" fillId="3" borderId="0" xfId="0" applyNumberFormat="1" applyFont="1" applyFill="1" applyAlignment="1">
      <alignment horizontal="left" vertical="top"/>
    </xf>
    <xf numFmtId="2" fontId="0"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5" fontId="0" fillId="0" borderId="0" xfId="2" applyNumberFormat="1" applyFont="1" applyAlignment="1">
      <alignment horizontal="center" vertical="center" wrapText="1"/>
    </xf>
    <xf numFmtId="165" fontId="0" fillId="0" borderId="0" xfId="0" applyNumberFormat="1" applyFont="1" applyAlignment="1">
      <alignment horizontal="center" vertical="center" wrapText="1"/>
    </xf>
    <xf numFmtId="165" fontId="5" fillId="0" borderId="0" xfId="0" applyNumberFormat="1" applyFont="1" applyAlignment="1">
      <alignment horizontal="center" vertical="center" wrapText="1"/>
    </xf>
    <xf numFmtId="165" fontId="4" fillId="0" borderId="0" xfId="0" applyNumberFormat="1" applyFont="1" applyAlignment="1">
      <alignment horizontal="center" vertical="center"/>
    </xf>
    <xf numFmtId="165" fontId="11" fillId="2" borderId="0" xfId="0" applyNumberFormat="1" applyFont="1" applyFill="1" applyAlignment="1">
      <alignment horizontal="center" vertical="center"/>
    </xf>
    <xf numFmtId="165" fontId="6" fillId="0" borderId="2" xfId="0" applyNumberFormat="1" applyFont="1" applyBorder="1" applyAlignment="1">
      <alignment horizontal="center" vertical="center"/>
    </xf>
    <xf numFmtId="0" fontId="6" fillId="0" borderId="2" xfId="0" applyFont="1" applyBorder="1" applyAlignment="1">
      <alignment horizontal="center" vertical="center"/>
    </xf>
    <xf numFmtId="0" fontId="6" fillId="4" borderId="4" xfId="0" applyFont="1" applyFill="1" applyBorder="1" applyAlignment="1">
      <alignment horizontal="center" vertical="center"/>
    </xf>
    <xf numFmtId="165" fontId="6" fillId="4" borderId="3" xfId="0" applyNumberFormat="1" applyFont="1" applyFill="1" applyBorder="1" applyAlignment="1">
      <alignment horizontal="center" vertical="center" wrapText="1"/>
    </xf>
    <xf numFmtId="10" fontId="0" fillId="0" borderId="0" xfId="0" applyNumberFormat="1" applyFont="1" applyAlignment="1">
      <alignment horizontal="center" vertical="center"/>
    </xf>
    <xf numFmtId="10" fontId="5" fillId="0" borderId="0" xfId="0" applyNumberFormat="1" applyFont="1" applyAlignment="1">
      <alignment horizontal="center" vertical="center"/>
    </xf>
    <xf numFmtId="0" fontId="6" fillId="0" borderId="4" xfId="0" applyFont="1" applyBorder="1" applyAlignment="1">
      <alignment horizontal="center" vertical="center"/>
    </xf>
    <xf numFmtId="165" fontId="15" fillId="0" borderId="4" xfId="1" applyNumberFormat="1" applyFont="1" applyBorder="1" applyAlignment="1">
      <alignment horizontal="center" vertical="center"/>
    </xf>
    <xf numFmtId="0" fontId="0" fillId="0" borderId="0" xfId="0" applyAlignment="1">
      <alignment horizontal="center" vertical="center"/>
    </xf>
    <xf numFmtId="0" fontId="16" fillId="0" borderId="5" xfId="0" applyFont="1" applyBorder="1" applyAlignment="1">
      <alignment horizontal="center" vertical="center"/>
    </xf>
    <xf numFmtId="44" fontId="6" fillId="0" borderId="0" xfId="1" applyFont="1" applyAlignment="1">
      <alignment horizontal="center" vertical="center"/>
    </xf>
    <xf numFmtId="0" fontId="17" fillId="5" borderId="5" xfId="0" applyFont="1" applyFill="1" applyBorder="1" applyAlignment="1">
      <alignment horizontal="center" vertical="center"/>
    </xf>
    <xf numFmtId="0" fontId="0" fillId="5" borderId="0" xfId="0" applyFill="1"/>
    <xf numFmtId="9" fontId="6" fillId="0" borderId="4" xfId="0" applyNumberFormat="1" applyFont="1" applyBorder="1" applyAlignment="1">
      <alignment horizontal="center" vertical="center"/>
    </xf>
    <xf numFmtId="0" fontId="0" fillId="4" borderId="0" xfId="0" applyFill="1"/>
    <xf numFmtId="165" fontId="6" fillId="0" borderId="4" xfId="0" applyNumberFormat="1" applyFont="1" applyBorder="1" applyAlignment="1">
      <alignment horizontal="center" vertical="center"/>
    </xf>
    <xf numFmtId="0" fontId="0" fillId="0" borderId="0" xfId="0" applyAlignment="1">
      <alignment horizontal="center" vertical="center" wrapText="1"/>
    </xf>
    <xf numFmtId="0" fontId="18" fillId="0" borderId="4" xfId="0" applyFont="1" applyBorder="1" applyAlignment="1">
      <alignment horizontal="center" vertical="center" wrapText="1"/>
    </xf>
    <xf numFmtId="0" fontId="6" fillId="0" borderId="4" xfId="0" applyFont="1" applyFill="1" applyBorder="1" applyAlignment="1">
      <alignment horizontal="center" vertical="center"/>
    </xf>
    <xf numFmtId="9" fontId="6" fillId="0" borderId="4" xfId="0" applyNumberFormat="1" applyFont="1" applyFill="1" applyBorder="1" applyAlignment="1">
      <alignment horizontal="center" vertical="center"/>
    </xf>
    <xf numFmtId="0" fontId="19" fillId="0" borderId="0" xfId="0" applyFont="1" applyAlignment="1"/>
    <xf numFmtId="0" fontId="18" fillId="0" borderId="0" xfId="0" applyFont="1" applyAlignment="1">
      <alignment horizontal="center" vertical="center"/>
    </xf>
    <xf numFmtId="0" fontId="18" fillId="0" borderId="0" xfId="0" applyFont="1" applyAlignment="1"/>
    <xf numFmtId="0" fontId="21" fillId="0" borderId="0" xfId="0" applyFont="1" applyAlignment="1"/>
    <xf numFmtId="0" fontId="23" fillId="0" borderId="0" xfId="0" applyFont="1" applyAlignment="1">
      <alignment vertical="top" wrapText="1"/>
    </xf>
    <xf numFmtId="164" fontId="23" fillId="0" borderId="0" xfId="0" applyNumberFormat="1" applyFont="1" applyAlignment="1">
      <alignment horizontal="left" vertical="top"/>
    </xf>
    <xf numFmtId="0" fontId="18" fillId="0" borderId="0" xfId="0" applyFont="1"/>
    <xf numFmtId="0" fontId="12" fillId="3" borderId="10" xfId="0" applyFont="1" applyFill="1" applyBorder="1" applyAlignment="1">
      <alignment vertical="top" wrapText="1"/>
    </xf>
    <xf numFmtId="0" fontId="12" fillId="3" borderId="11" xfId="0" applyFont="1" applyFill="1" applyBorder="1" applyAlignment="1">
      <alignment vertical="top" wrapText="1"/>
    </xf>
    <xf numFmtId="164" fontId="12" fillId="3" borderId="11" xfId="0" applyNumberFormat="1" applyFont="1" applyFill="1" applyBorder="1" applyAlignment="1">
      <alignment horizontal="left" vertical="top"/>
    </xf>
    <xf numFmtId="164" fontId="12" fillId="3" borderId="9" xfId="0" applyNumberFormat="1" applyFont="1" applyFill="1" applyBorder="1" applyAlignment="1">
      <alignment horizontal="left" vertical="top"/>
    </xf>
    <xf numFmtId="0" fontId="23" fillId="0" borderId="3" xfId="0" applyFont="1" applyBorder="1" applyAlignment="1">
      <alignment horizontal="center" vertical="center" wrapText="1"/>
    </xf>
    <xf numFmtId="0" fontId="23" fillId="0" borderId="4" xfId="0" applyFont="1" applyBorder="1" applyAlignment="1">
      <alignment horizontal="center" vertical="center" wrapText="1"/>
    </xf>
    <xf numFmtId="164" fontId="23" fillId="0" borderId="4" xfId="0" applyNumberFormat="1" applyFont="1" applyBorder="1" applyAlignment="1">
      <alignment horizontal="center" vertical="center"/>
    </xf>
    <xf numFmtId="164" fontId="23" fillId="0" borderId="12" xfId="0" applyNumberFormat="1" applyFont="1" applyBorder="1" applyAlignment="1">
      <alignment horizontal="center" vertical="center"/>
    </xf>
    <xf numFmtId="0" fontId="12" fillId="0" borderId="4" xfId="0" applyFont="1" applyBorder="1" applyAlignment="1">
      <alignment horizontal="center" vertical="center" wrapText="1"/>
    </xf>
    <xf numFmtId="164" fontId="24" fillId="6" borderId="4" xfId="0" applyNumberFormat="1" applyFont="1" applyFill="1" applyBorder="1" applyAlignment="1">
      <alignment horizontal="center" vertical="center"/>
    </xf>
    <xf numFmtId="0" fontId="24" fillId="6" borderId="3" xfId="0" applyFont="1" applyFill="1" applyBorder="1" applyAlignment="1">
      <alignment horizontal="center" vertical="center" wrapText="1"/>
    </xf>
    <xf numFmtId="0" fontId="24" fillId="6" borderId="4" xfId="0" applyFont="1" applyFill="1" applyBorder="1" applyAlignment="1">
      <alignment horizontal="center" vertical="center" wrapText="1"/>
    </xf>
    <xf numFmtId="164" fontId="24" fillId="6" borderId="12" xfId="0" applyNumberFormat="1" applyFont="1" applyFill="1" applyBorder="1" applyAlignment="1">
      <alignment horizontal="center" vertical="center"/>
    </xf>
    <xf numFmtId="0" fontId="24" fillId="6" borderId="8" xfId="0" applyFont="1" applyFill="1" applyBorder="1" applyAlignment="1">
      <alignment horizontal="center" vertical="center" wrapText="1"/>
    </xf>
    <xf numFmtId="0" fontId="24" fillId="6" borderId="13" xfId="0" applyFont="1" applyFill="1" applyBorder="1" applyAlignment="1">
      <alignment horizontal="center" vertical="center" wrapText="1"/>
    </xf>
    <xf numFmtId="164" fontId="24" fillId="6" borderId="13" xfId="0" applyNumberFormat="1" applyFont="1" applyFill="1" applyBorder="1" applyAlignment="1">
      <alignment horizontal="center" vertical="center"/>
    </xf>
    <xf numFmtId="164" fontId="24" fillId="6" borderId="7" xfId="0" applyNumberFormat="1" applyFont="1" applyFill="1" applyBorder="1" applyAlignment="1">
      <alignment horizontal="center" vertical="center"/>
    </xf>
    <xf numFmtId="0" fontId="20" fillId="0" borderId="4" xfId="0" applyFont="1" applyBorder="1" applyAlignment="1">
      <alignment horizontal="center" vertical="center" wrapText="1"/>
    </xf>
    <xf numFmtId="165" fontId="0" fillId="0" borderId="0" xfId="0" applyNumberFormat="1" applyFont="1" applyAlignment="1">
      <alignment horizontal="center" vertical="center"/>
    </xf>
    <xf numFmtId="165" fontId="5" fillId="0" borderId="0" xfId="0" applyNumberFormat="1" applyFont="1" applyAlignment="1">
      <alignment horizontal="center" vertical="center"/>
    </xf>
    <xf numFmtId="0" fontId="17" fillId="5" borderId="14" xfId="0" applyFont="1" applyFill="1" applyBorder="1" applyAlignment="1">
      <alignment horizontal="center" vertical="center"/>
    </xf>
    <xf numFmtId="0" fontId="0" fillId="4" borderId="15" xfId="0" applyFill="1" applyBorder="1"/>
    <xf numFmtId="9" fontId="6" fillId="0" borderId="4" xfId="2" applyFont="1" applyFill="1" applyBorder="1" applyAlignment="1">
      <alignment horizontal="center" vertical="center"/>
    </xf>
    <xf numFmtId="0" fontId="2" fillId="4" borderId="0" xfId="0" applyFont="1" applyFill="1"/>
    <xf numFmtId="165" fontId="29" fillId="10" borderId="5" xfId="0" applyNumberFormat="1" applyFont="1" applyFill="1" applyBorder="1" applyAlignment="1">
      <alignment horizontal="center" vertical="center"/>
    </xf>
    <xf numFmtId="165" fontId="30" fillId="0" borderId="5" xfId="0" applyNumberFormat="1" applyFont="1" applyBorder="1" applyAlignment="1">
      <alignment horizontal="center" vertical="center"/>
    </xf>
    <xf numFmtId="1" fontId="30" fillId="0" borderId="5" xfId="0" applyNumberFormat="1" applyFont="1" applyBorder="1" applyAlignment="1">
      <alignment horizontal="center" vertical="center"/>
    </xf>
    <xf numFmtId="165" fontId="31" fillId="4" borderId="5" xfId="0" applyNumberFormat="1" applyFont="1" applyFill="1" applyBorder="1" applyAlignment="1">
      <alignment horizontal="center" vertical="center"/>
    </xf>
    <xf numFmtId="165" fontId="31" fillId="9" borderId="5" xfId="0" applyNumberFormat="1" applyFont="1" applyFill="1" applyBorder="1" applyAlignment="1">
      <alignment horizontal="center" vertical="center"/>
    </xf>
    <xf numFmtId="165" fontId="28" fillId="6" borderId="5" xfId="0" applyNumberFormat="1" applyFont="1" applyFill="1" applyBorder="1" applyAlignment="1">
      <alignment horizontal="center" vertical="center"/>
    </xf>
    <xf numFmtId="0" fontId="31" fillId="5" borderId="5" xfId="0" applyFont="1" applyFill="1" applyBorder="1" applyAlignment="1">
      <alignment horizontal="center" vertical="center"/>
    </xf>
    <xf numFmtId="0" fontId="32" fillId="7" borderId="6" xfId="0" applyFont="1" applyFill="1" applyBorder="1" applyAlignment="1">
      <alignment horizontal="center" vertical="center"/>
    </xf>
    <xf numFmtId="0" fontId="32" fillId="8" borderId="6" xfId="0" applyFont="1" applyFill="1" applyBorder="1" applyAlignment="1">
      <alignment horizontal="center" vertical="center"/>
    </xf>
    <xf numFmtId="0" fontId="12" fillId="0" borderId="0" xfId="0" applyFont="1" applyAlignment="1">
      <alignment vertical="top"/>
    </xf>
    <xf numFmtId="0" fontId="23" fillId="0" borderId="0" xfId="0" applyFont="1" applyAlignment="1">
      <alignment vertical="top" wrapText="1"/>
    </xf>
    <xf numFmtId="0" fontId="27" fillId="0" borderId="0" xfId="0" applyFont="1" applyAlignment="1">
      <alignment vertical="top"/>
    </xf>
    <xf numFmtId="0" fontId="13" fillId="0" borderId="0" xfId="0" applyFont="1" applyAlignment="1">
      <alignment vertical="top" wrapText="1"/>
    </xf>
    <xf numFmtId="0" fontId="25" fillId="0" borderId="0" xfId="0" applyFont="1" applyAlignment="1">
      <alignment vertical="top"/>
    </xf>
    <xf numFmtId="0" fontId="26" fillId="0" borderId="0" xfId="0" applyFont="1" applyAlignment="1">
      <alignment vertical="top" wrapText="1"/>
    </xf>
    <xf numFmtId="0" fontId="32" fillId="6" borderId="16" xfId="0" applyFont="1" applyFill="1" applyBorder="1" applyAlignment="1">
      <alignment horizontal="center" vertical="center"/>
    </xf>
    <xf numFmtId="0" fontId="31" fillId="0" borderId="5" xfId="0" applyFont="1" applyBorder="1" applyAlignment="1">
      <alignment horizontal="center" vertical="center" wrapText="1"/>
    </xf>
    <xf numFmtId="0" fontId="31" fillId="10" borderId="5" xfId="0" applyFont="1" applyFill="1" applyBorder="1" applyAlignment="1">
      <alignment horizontal="center" vertical="center" wrapText="1"/>
    </xf>
    <xf numFmtId="0" fontId="31" fillId="4" borderId="5" xfId="0" applyFont="1" applyFill="1" applyBorder="1" applyAlignment="1">
      <alignment horizontal="center" vertical="center" wrapText="1"/>
    </xf>
    <xf numFmtId="0" fontId="31" fillId="9" borderId="5" xfId="0" applyFont="1" applyFill="1" applyBorder="1" applyAlignment="1">
      <alignment horizontal="center" vertical="center" wrapText="1"/>
    </xf>
    <xf numFmtId="0" fontId="28" fillId="6" borderId="5"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2" fillId="0" borderId="0" xfId="0" applyFont="1" applyAlignment="1">
      <alignment horizontal="center" vertical="center" wrapText="1"/>
    </xf>
    <xf numFmtId="10" fontId="6" fillId="0" borderId="4" xfId="0" applyNumberFormat="1" applyFont="1" applyFill="1" applyBorder="1" applyAlignment="1">
      <alignment horizontal="center" vertical="center"/>
    </xf>
  </cellXfs>
  <cellStyles count="3">
    <cellStyle name="Monétaire" xfId="1" builtinId="4"/>
    <cellStyle name="Normal" xfId="0" builtinId="0"/>
    <cellStyle name="Pourcentage" xfId="2" builtinId="5"/>
  </cellStyles>
  <dxfs count="41">
    <dxf>
      <font>
        <b val="0"/>
        <i val="0"/>
        <strike val="0"/>
        <condense val="0"/>
        <extend val="0"/>
        <outline val="0"/>
        <shadow val="0"/>
        <u val="none"/>
        <vertAlign val="baseline"/>
        <sz val="12"/>
        <color rgb="FFC00000"/>
        <name val="Calibri"/>
        <family val="2"/>
        <scheme val="minor"/>
      </font>
      <numFmt numFmtId="165" formatCode="#,##0.00\ &quot;€&quo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rgb="FFC00000"/>
        <name val="Calibri"/>
        <family val="2"/>
        <scheme val="minor"/>
      </font>
      <numFmt numFmtId="165" formatCode="#,##0.00\ &quot;€&quot;"/>
      <alignment horizontal="center" vertical="center" textRotation="0" wrapText="1" indent="0" justifyLastLine="0" shrinkToFit="0" readingOrder="0"/>
    </dxf>
    <dxf>
      <font>
        <b val="0"/>
        <i val="0"/>
        <strike val="0"/>
        <condense val="0"/>
        <extend val="0"/>
        <outline val="0"/>
        <shadow val="0"/>
        <u val="none"/>
        <vertAlign val="baseline"/>
        <sz val="12"/>
        <color rgb="FFC00000"/>
        <name val="Calibri"/>
        <family val="2"/>
        <scheme val="minor"/>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rgb="FFC00000"/>
        <name val="Calibri"/>
        <family val="2"/>
        <scheme val="minor"/>
      </font>
      <numFmt numFmtId="165" formatCode="#,##0.00\ &quot;€&quot;"/>
      <alignment horizontal="center" vertical="center" textRotation="0" wrapText="1" indent="0" justifyLastLine="0" shrinkToFit="0" readingOrder="0"/>
    </dxf>
    <dxf>
      <font>
        <b val="0"/>
        <i val="0"/>
        <strike val="0"/>
        <condense val="0"/>
        <extend val="0"/>
        <outline val="0"/>
        <shadow val="0"/>
        <u val="none"/>
        <vertAlign val="baseline"/>
        <sz val="12"/>
        <color rgb="FFC0000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C0000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0\ &quot;€&quo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4" formatCode="0.0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0\ &quot;€&quo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5" formatCode="#,##0.00\ &quot;€&quo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5" formatCode="#,##0.00\ &quot;€&quot;"/>
      <alignment horizontal="center" vertical="center" textRotation="0" wrapText="1" indent="0" justifyLastLine="0" shrinkToFit="0" readingOrder="0"/>
    </dxf>
    <dxf>
      <font>
        <b val="0"/>
        <i val="0"/>
        <strike val="0"/>
        <condense val="0"/>
        <extend val="0"/>
        <outline val="0"/>
        <shadow val="0"/>
        <u val="none"/>
        <vertAlign val="baseline"/>
        <sz val="12"/>
        <color rgb="FF374151"/>
        <name val="Calibri"/>
        <family val="2"/>
        <scheme val="minor"/>
      </font>
      <alignment horizontal="center" vertical="center" textRotation="0" wrapText="0" indent="0" justifyLastLine="0" shrinkToFit="0" readingOrder="0"/>
    </dxf>
    <dxf>
      <font>
        <strike val="0"/>
        <outline val="0"/>
        <shadow val="0"/>
        <u val="none"/>
        <vertAlign val="baseline"/>
        <sz val="12"/>
        <color rgb="FFC00000"/>
        <name val="Calibri"/>
        <family val="2"/>
        <scheme val="minor"/>
      </font>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rgb="FF374151"/>
        <name val="Calibri"/>
        <family val="2"/>
        <scheme val="minor"/>
      </font>
      <numFmt numFmtId="165" formatCode="#,##0.00\ &quot;€&quot;"/>
      <alignment horizontal="center" vertical="center" textRotation="0" wrapText="0" indent="0" justifyLastLine="0" shrinkToFit="0" readingOrder="0"/>
    </dxf>
    <dxf>
      <font>
        <b val="0"/>
        <i val="0"/>
        <strike val="0"/>
        <condense val="0"/>
        <extend val="0"/>
        <outline val="0"/>
        <shadow val="0"/>
        <u val="none"/>
        <vertAlign val="baseline"/>
        <sz val="12"/>
        <color rgb="FF37415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rgb="FF37415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37415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rgb="FF37415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rgb="FF374151"/>
        <name val="Calibri"/>
        <family val="2"/>
        <scheme val="minor"/>
      </font>
      <alignment horizontal="center" vertical="center" textRotation="0" wrapText="0" indent="0" justifyLastLine="0" shrinkToFit="0" readingOrder="0"/>
    </dxf>
    <dxf>
      <font>
        <b val="0"/>
        <i/>
        <strike val="0"/>
        <condense val="0"/>
        <extend val="0"/>
        <outline val="0"/>
        <shadow val="0"/>
        <u val="none"/>
        <vertAlign val="baseline"/>
        <sz val="14"/>
        <color auto="1"/>
        <name val="Segoe UI Light"/>
        <scheme val="none"/>
      </font>
      <numFmt numFmtId="164" formatCode="[$€]#,##0.00"/>
      <alignment horizontal="center" vertical="center"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font>
        <b val="0"/>
        <i/>
        <strike val="0"/>
        <condense val="0"/>
        <extend val="0"/>
        <outline val="0"/>
        <shadow val="0"/>
        <u val="none"/>
        <vertAlign val="baseline"/>
        <sz val="14"/>
        <color auto="1"/>
        <name val="Segoe UI Light"/>
        <scheme val="none"/>
      </font>
      <numFmt numFmtId="164" formatCode="[$€]#,##0.00"/>
      <alignment horizontal="center" vertical="center"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font>
        <b/>
        <i/>
        <strike val="0"/>
        <condense val="0"/>
        <extend val="0"/>
        <outline val="0"/>
        <shadow val="0"/>
        <u val="none"/>
        <vertAlign val="baseline"/>
        <sz val="14"/>
        <color auto="1"/>
        <name val="Segoe UI Light"/>
        <scheme val="none"/>
      </font>
      <alignment horizontal="center" vertical="center" textRotation="0" wrapText="1"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font>
        <b/>
        <i/>
        <strike val="0"/>
        <condense val="0"/>
        <extend val="0"/>
        <outline val="0"/>
        <shadow val="0"/>
        <u val="none"/>
        <vertAlign val="baseline"/>
        <sz val="14"/>
        <color auto="1"/>
        <name val="Segoe UI Light"/>
        <scheme val="none"/>
      </font>
      <alignment horizontal="center" vertical="center" textRotation="0" wrapText="1"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font>
        <b val="0"/>
        <i/>
        <strike val="0"/>
        <condense val="0"/>
        <extend val="0"/>
        <outline val="0"/>
        <shadow val="0"/>
        <u val="none"/>
        <vertAlign val="baseline"/>
        <sz val="14"/>
        <color auto="1"/>
        <name val="Segoe UI Light"/>
        <scheme val="none"/>
      </font>
      <alignment horizontal="center" vertical="center" textRotation="0" wrapText="1"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font>
        <b val="0"/>
        <i/>
        <strike val="0"/>
        <condense val="0"/>
        <extend val="0"/>
        <outline val="0"/>
        <shadow val="0"/>
        <u val="none"/>
        <vertAlign val="baseline"/>
        <sz val="14"/>
        <color auto="1"/>
        <name val="Segoe UI Light"/>
        <scheme val="none"/>
      </font>
      <alignment horizontal="center" vertical="center" textRotation="0" wrapText="1"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font>
        <strike val="0"/>
        <outline val="0"/>
        <shadow val="0"/>
        <u val="none"/>
        <vertAlign val="baseline"/>
        <sz val="14"/>
        <color auto="1"/>
        <name val="Segoe UI Light"/>
        <scheme val="none"/>
      </font>
      <alignment horizontal="center" vertical="center" textRotation="0" indent="0" justifyLastLine="0" shrinkToFit="0" readingOrder="0"/>
    </dxf>
    <dxf>
      <font>
        <b/>
        <i/>
        <strike val="0"/>
        <condense val="0"/>
        <extend val="0"/>
        <outline val="0"/>
        <shadow val="0"/>
        <u val="none"/>
        <vertAlign val="baseline"/>
        <sz val="11"/>
        <color auto="1"/>
        <name val="Segoe UI Light"/>
        <scheme val="none"/>
      </font>
      <fill>
        <patternFill patternType="solid">
          <fgColor indexed="64"/>
          <bgColor rgb="FFDDEBF7"/>
        </patternFill>
      </fill>
      <alignment horizontal="general" vertical="top" textRotation="0" wrapText="1" indent="0" justifyLastLine="0" shrinkToFit="0" readingOrder="0"/>
    </dxf>
    <dxf>
      <font>
        <b val="0"/>
        <i/>
        <strike val="0"/>
        <condense val="0"/>
        <extend val="0"/>
        <outline val="0"/>
        <shadow val="0"/>
        <u val="none"/>
        <vertAlign val="baseline"/>
        <sz val="14"/>
        <color auto="1"/>
        <name val="Segoe UI Light"/>
        <scheme val="none"/>
      </font>
      <numFmt numFmtId="164" formatCode="[$€]#,##0.00"/>
      <alignment horizontal="center" vertical="center" textRotation="0" wrapText="0" indent="0" justifyLastLine="0" shrinkToFit="0" readingOrder="0"/>
      <border diagonalUp="0" diagonalDown="0" outline="0">
        <left style="thin">
          <color theme="0" tint="-0.14999847407452621"/>
        </left>
        <right/>
        <top style="thin">
          <color theme="0" tint="-0.14999847407452621"/>
        </top>
        <bottom style="thin">
          <color theme="0" tint="-0.14999847407452621"/>
        </bottom>
      </border>
    </dxf>
    <dxf>
      <font>
        <b val="0"/>
        <i/>
        <strike val="0"/>
        <condense val="0"/>
        <extend val="0"/>
        <outline val="0"/>
        <shadow val="0"/>
        <u val="none"/>
        <vertAlign val="baseline"/>
        <sz val="14"/>
        <color auto="1"/>
        <name val="Segoe UI Light"/>
        <scheme val="none"/>
      </font>
      <numFmt numFmtId="164" formatCode="[$€]#,##0.00"/>
      <alignment horizontal="center" vertical="center" textRotation="0" wrapText="0"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font>
        <b/>
        <i/>
        <strike val="0"/>
        <condense val="0"/>
        <extend val="0"/>
        <outline val="0"/>
        <shadow val="0"/>
        <u val="none"/>
        <vertAlign val="baseline"/>
        <sz val="14"/>
        <color auto="1"/>
        <name val="Segoe UI Light"/>
        <scheme val="none"/>
      </font>
      <alignment horizontal="center" vertical="center" textRotation="0" wrapText="1"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font>
        <b/>
        <i/>
        <strike val="0"/>
        <condense val="0"/>
        <extend val="0"/>
        <outline val="0"/>
        <shadow val="0"/>
        <u val="none"/>
        <vertAlign val="baseline"/>
        <sz val="14"/>
        <color auto="1"/>
        <name val="Segoe UI Light"/>
        <scheme val="none"/>
      </font>
      <alignment horizontal="center" vertical="center" textRotation="0" wrapText="1"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font>
        <b val="0"/>
        <i/>
        <strike val="0"/>
        <condense val="0"/>
        <extend val="0"/>
        <outline val="0"/>
        <shadow val="0"/>
        <u val="none"/>
        <vertAlign val="baseline"/>
        <sz val="14"/>
        <color auto="1"/>
        <name val="Segoe UI Light"/>
        <scheme val="none"/>
      </font>
      <alignment horizontal="center" vertical="center" textRotation="0" wrapText="1" indent="0" justifyLastLine="0" shrinkToFit="0" readingOrder="0"/>
      <border diagonalUp="0" diagonalDown="0" outline="0">
        <left style="thin">
          <color theme="0" tint="-0.14999847407452621"/>
        </left>
        <right style="thin">
          <color theme="0" tint="-0.14999847407452621"/>
        </right>
        <top style="thin">
          <color theme="0" tint="-0.14999847407452621"/>
        </top>
        <bottom style="thin">
          <color theme="0" tint="-0.14999847407452621"/>
        </bottom>
      </border>
    </dxf>
    <dxf>
      <font>
        <b val="0"/>
        <i/>
        <strike val="0"/>
        <condense val="0"/>
        <extend val="0"/>
        <outline val="0"/>
        <shadow val="0"/>
        <u val="none"/>
        <vertAlign val="baseline"/>
        <sz val="14"/>
        <color auto="1"/>
        <name val="Segoe UI Light"/>
        <scheme val="none"/>
      </font>
      <alignment horizontal="center" vertical="center" textRotation="0" wrapText="1" indent="0" justifyLastLine="0" shrinkToFit="0" readingOrder="0"/>
      <border diagonalUp="0" diagonalDown="0" outline="0">
        <left/>
        <right style="thin">
          <color theme="0" tint="-0.14999847407452621"/>
        </right>
        <top style="thin">
          <color theme="0" tint="-0.14999847407452621"/>
        </top>
        <bottom style="thin">
          <color theme="0" tint="-0.14999847407452621"/>
        </bottom>
      </border>
    </dxf>
    <dxf>
      <border>
        <top style="thin">
          <color theme="0" tint="-0.14999847407452621"/>
        </top>
      </border>
    </dxf>
    <dxf>
      <border diagonalUp="0" diagonalDown="0">
        <left style="thin">
          <color theme="0" tint="-0.14999847407452621"/>
        </left>
        <right style="thin">
          <color theme="0" tint="-0.14999847407452621"/>
        </right>
        <top style="thin">
          <color theme="0" tint="-0.14999847407452621"/>
        </top>
        <bottom style="thin">
          <color theme="0" tint="-0.14999847407452621"/>
        </bottom>
      </border>
    </dxf>
    <dxf>
      <font>
        <strike val="0"/>
        <outline val="0"/>
        <shadow val="0"/>
        <u val="none"/>
        <vertAlign val="baseline"/>
        <sz val="14"/>
      </font>
      <alignment horizontal="center" vertical="center" textRotation="0" indent="0" justifyLastLine="0" shrinkToFit="0" readingOrder="0"/>
    </dxf>
    <dxf>
      <border>
        <bottom style="thin">
          <color theme="0" tint="-0.14999847407452621"/>
        </bottom>
      </border>
    </dxf>
    <dxf>
      <font>
        <b/>
        <i/>
        <strike val="0"/>
        <condense val="0"/>
        <extend val="0"/>
        <outline val="0"/>
        <shadow val="0"/>
        <u val="none"/>
        <vertAlign val="baseline"/>
        <sz val="14"/>
        <color auto="1"/>
        <name val="Segoe UI Light"/>
        <scheme val="none"/>
      </font>
      <fill>
        <patternFill patternType="solid">
          <fgColor indexed="64"/>
          <bgColor rgb="FFDDEBF7"/>
        </patternFill>
      </fill>
      <alignment horizontal="general" vertical="top" textRotation="0" wrapText="1" indent="0" justifyLastLine="0" shrinkToFit="0" readingOrder="0"/>
      <border diagonalUp="0" diagonalDown="0">
        <left style="thin">
          <color theme="0" tint="-0.14999847407452621"/>
        </left>
        <right style="thin">
          <color theme="0" tint="-0.14999847407452621"/>
        </right>
        <top/>
        <bottom/>
        <vertical style="thin">
          <color theme="0" tint="-0.14999847407452621"/>
        </vertical>
        <horizontal style="thin">
          <color theme="0" tint="-0.14999847407452621"/>
        </horizontal>
      </border>
    </dxf>
  </dxfs>
  <tableStyles count="0" defaultTableStyle="TableStyleMedium2" defaultPivotStyle="PivotStyleLight16"/>
  <colors>
    <mruColors>
      <color rgb="FFFF28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baseline="0">
                <a:solidFill>
                  <a:schemeClr val="tx1"/>
                </a:solidFill>
                <a:latin typeface="+mn-lt"/>
                <a:ea typeface="+mn-ea"/>
                <a:cs typeface="+mn-cs"/>
              </a:defRPr>
            </a:pPr>
            <a:r>
              <a:rPr lang="fr-FR" sz="2400">
                <a:solidFill>
                  <a:schemeClr val="tx1"/>
                </a:solidFill>
              </a:rPr>
              <a:t>ROI</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tx1"/>
              </a:solidFill>
              <a:latin typeface="+mn-lt"/>
              <a:ea typeface="+mn-ea"/>
              <a:cs typeface="+mn-cs"/>
            </a:defRPr>
          </a:pPr>
          <a:endParaRPr lang="fr-FR"/>
        </a:p>
      </c:txPr>
    </c:title>
    <c:autoTitleDeleted val="0"/>
    <c:plotArea>
      <c:layout>
        <c:manualLayout>
          <c:layoutTarget val="inner"/>
          <c:xMode val="edge"/>
          <c:yMode val="edge"/>
          <c:x val="0.10209143698101419"/>
          <c:y val="7.6077001848405004E-2"/>
          <c:w val="0.88251081151505284"/>
          <c:h val="0.83188344815198856"/>
        </c:manualLayout>
      </c:layout>
      <c:lineChart>
        <c:grouping val="standard"/>
        <c:varyColors val="0"/>
        <c:ser>
          <c:idx val="0"/>
          <c:order val="0"/>
          <c:tx>
            <c:strRef>
              <c:f>'Estimation rentabilité'!$A$9</c:f>
              <c:strCache>
                <c:ptCount val="1"/>
                <c:pt idx="0">
                  <c:v>Total depense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'Estimation rentabilité'!$B$4:$K$4</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'Estimation rentabilité'!$B$9:$K$9</c:f>
              <c:numCache>
                <c:formatCode>#,##0.00\ "€"</c:formatCode>
                <c:ptCount val="10"/>
                <c:pt idx="0">
                  <c:v>44240.665135923526</c:v>
                </c:pt>
                <c:pt idx="1">
                  <c:v>119626.54403042514</c:v>
                </c:pt>
                <c:pt idx="2">
                  <c:v>79148.544030425139</c:v>
                </c:pt>
                <c:pt idx="3">
                  <c:v>79148.544030425139</c:v>
                </c:pt>
                <c:pt idx="4">
                  <c:v>92637.965315225141</c:v>
                </c:pt>
                <c:pt idx="5">
                  <c:v>102937.23316250564</c:v>
                </c:pt>
                <c:pt idx="6">
                  <c:v>117846.16491872919</c:v>
                </c:pt>
                <c:pt idx="7">
                  <c:v>139427.91707894922</c:v>
                </c:pt>
                <c:pt idx="8">
                  <c:v>170669.05721702322</c:v>
                </c:pt>
                <c:pt idx="9">
                  <c:v>215892.85692897529</c:v>
                </c:pt>
              </c:numCache>
            </c:numRef>
          </c:val>
          <c:smooth val="0"/>
          <c:extLst>
            <c:ext xmlns:c16="http://schemas.microsoft.com/office/drawing/2014/chart" uri="{C3380CC4-5D6E-409C-BE32-E72D297353CC}">
              <c16:uniqueId val="{00000000-6699-3D46-9720-B4B0F1B6C4C4}"/>
            </c:ext>
          </c:extLst>
        </c:ser>
        <c:ser>
          <c:idx val="1"/>
          <c:order val="1"/>
          <c:tx>
            <c:strRef>
              <c:f>'Estimation rentabilité'!$A$12</c:f>
              <c:strCache>
                <c:ptCount val="1"/>
                <c:pt idx="0">
                  <c:v>CA / Gains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'Estimation rentabilité'!$B$4:$K$4</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'Estimation rentabilité'!$B$12:$K$12</c:f>
              <c:numCache>
                <c:formatCode>#,##0.00\ "€"</c:formatCode>
                <c:ptCount val="10"/>
                <c:pt idx="0">
                  <c:v>0</c:v>
                </c:pt>
                <c:pt idx="1">
                  <c:v>190440</c:v>
                </c:pt>
                <c:pt idx="2">
                  <c:v>344234.01168000005</c:v>
                </c:pt>
                <c:pt idx="3">
                  <c:v>460228.42569600005</c:v>
                </c:pt>
                <c:pt idx="4">
                  <c:v>666213.78264161013</c:v>
                </c:pt>
                <c:pt idx="5">
                  <c:v>964392.41776608094</c:v>
                </c:pt>
                <c:pt idx="6">
                  <c:v>1396027.4609704812</c:v>
                </c:pt>
                <c:pt idx="7">
                  <c:v>2020850.2637319616</c:v>
                </c:pt>
                <c:pt idx="8">
                  <c:v>2925326.2579710032</c:v>
                </c:pt>
                <c:pt idx="9">
                  <c:v>4234620.3819036009</c:v>
                </c:pt>
              </c:numCache>
            </c:numRef>
          </c:val>
          <c:smooth val="0"/>
          <c:extLst>
            <c:ext xmlns:c16="http://schemas.microsoft.com/office/drawing/2014/chart" uri="{C3380CC4-5D6E-409C-BE32-E72D297353CC}">
              <c16:uniqueId val="{00000001-6699-3D46-9720-B4B0F1B6C4C4}"/>
            </c:ext>
          </c:extLst>
        </c:ser>
        <c:dLbls>
          <c:showLegendKey val="0"/>
          <c:showVal val="0"/>
          <c:showCatName val="0"/>
          <c:showSerName val="0"/>
          <c:showPercent val="0"/>
          <c:showBubbleSize val="0"/>
        </c:dLbls>
        <c:smooth val="0"/>
        <c:axId val="280466591"/>
        <c:axId val="280425647"/>
      </c:lineChart>
      <c:catAx>
        <c:axId val="280466591"/>
        <c:scaling>
          <c:orientation val="minMax"/>
        </c:scaling>
        <c:delete val="0"/>
        <c:axPos val="b"/>
        <c:numFmt formatCode="General" sourceLinked="1"/>
        <c:majorTickMark val="none"/>
        <c:minorTickMark val="none"/>
        <c:tickLblPos val="nextTo"/>
        <c:spPr>
          <a:noFill/>
          <a:ln w="38100" cap="flat" cmpd="sng" algn="ctr">
            <a:solidFill>
              <a:srgbClr val="C00000"/>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fr-FR"/>
          </a:p>
        </c:txPr>
        <c:crossAx val="280425647"/>
        <c:crosses val="autoZero"/>
        <c:auto val="1"/>
        <c:lblAlgn val="ctr"/>
        <c:lblOffset val="100"/>
        <c:noMultiLvlLbl val="0"/>
      </c:catAx>
      <c:valAx>
        <c:axId val="280425647"/>
        <c:scaling>
          <c:orientation val="minMax"/>
        </c:scaling>
        <c:delete val="0"/>
        <c:axPos val="l"/>
        <c:majorGridlines>
          <c:spPr>
            <a:ln w="9525" cap="flat" cmpd="sng" algn="ctr">
              <a:solidFill>
                <a:schemeClr val="tx1">
                  <a:lumMod val="15000"/>
                  <a:lumOff val="85000"/>
                </a:schemeClr>
              </a:solidFill>
              <a:round/>
            </a:ln>
            <a:effectLst/>
          </c:spPr>
        </c:majorGridlines>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fr-FR"/>
          </a:p>
        </c:txPr>
        <c:crossAx val="280466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baseline="0">
              <a:solidFill>
                <a:schemeClr val="tx1"/>
              </a:solidFill>
              <a:latin typeface="+mn-lt"/>
              <a:ea typeface="+mn-ea"/>
              <a:cs typeface="+mn-cs"/>
            </a:defRPr>
          </a:pPr>
          <a:endParaRPr lang="fr-FR"/>
        </a:p>
      </c:txPr>
    </c:title>
    <c:autoTitleDeleted val="0"/>
    <c:plotArea>
      <c:layout/>
      <c:lineChart>
        <c:grouping val="standard"/>
        <c:varyColors val="0"/>
        <c:ser>
          <c:idx val="0"/>
          <c:order val="0"/>
          <c:tx>
            <c:strRef>
              <c:f>'Estimation rentabilité'!$A$16</c:f>
              <c:strCache>
                <c:ptCount val="1"/>
                <c:pt idx="0">
                  <c:v>Benefice net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'Estimation rentabilité'!$B$16:$K$16</c:f>
              <c:numCache>
                <c:formatCode>#,##0.00\ "€"</c:formatCode>
                <c:ptCount val="10"/>
                <c:pt idx="0">
                  <c:v>-44240.665135923526</c:v>
                </c:pt>
                <c:pt idx="1">
                  <c:v>8869.4268412576203</c:v>
                </c:pt>
                <c:pt idx="2">
                  <c:v>207683.52757843881</c:v>
                </c:pt>
                <c:pt idx="3">
                  <c:v>493493.43882762</c:v>
                </c:pt>
                <c:pt idx="4">
                  <c:v>923675.30182240868</c:v>
                </c:pt>
                <c:pt idx="5">
                  <c:v>1569766.6902750903</c:v>
                </c:pt>
                <c:pt idx="6">
                  <c:v>2528402.6623139046</c:v>
                </c:pt>
                <c:pt idx="7">
                  <c:v>3939469.4223036636</c:v>
                </c:pt>
                <c:pt idx="8">
                  <c:v>6005462.3228691481</c:v>
                </c:pt>
                <c:pt idx="9">
                  <c:v>9019507.9666001163</c:v>
                </c:pt>
              </c:numCache>
            </c:numRef>
          </c:val>
          <c:smooth val="0"/>
          <c:extLst>
            <c:ext xmlns:c16="http://schemas.microsoft.com/office/drawing/2014/chart" uri="{C3380CC4-5D6E-409C-BE32-E72D297353CC}">
              <c16:uniqueId val="{00000000-91C0-1240-BB71-8D06D4E929BC}"/>
            </c:ext>
          </c:extLst>
        </c:ser>
        <c:dLbls>
          <c:showLegendKey val="0"/>
          <c:showVal val="0"/>
          <c:showCatName val="0"/>
          <c:showSerName val="0"/>
          <c:showPercent val="0"/>
          <c:showBubbleSize val="0"/>
        </c:dLbls>
        <c:smooth val="0"/>
        <c:axId val="342249055"/>
        <c:axId val="342765183"/>
      </c:lineChart>
      <c:catAx>
        <c:axId val="342249055"/>
        <c:scaling>
          <c:orientation val="minMax"/>
        </c:scaling>
        <c:delete val="0"/>
        <c:axPos val="b"/>
        <c:numFmt formatCode="General" sourceLinked="1"/>
        <c:majorTickMark val="none"/>
        <c:minorTickMark val="none"/>
        <c:tickLblPos val="nextTo"/>
        <c:spPr>
          <a:noFill/>
          <a:ln w="38100" cap="flat" cmpd="sng" algn="ctr">
            <a:solidFill>
              <a:srgbClr val="C00000"/>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fr-FR"/>
          </a:p>
        </c:txPr>
        <c:crossAx val="342765183"/>
        <c:crossesAt val="0"/>
        <c:auto val="1"/>
        <c:lblAlgn val="ctr"/>
        <c:lblOffset val="100"/>
        <c:noMultiLvlLbl val="0"/>
      </c:catAx>
      <c:valAx>
        <c:axId val="342765183"/>
        <c:scaling>
          <c:orientation val="minMax"/>
        </c:scaling>
        <c:delete val="0"/>
        <c:axPos val="l"/>
        <c:majorGridlines>
          <c:spPr>
            <a:ln w="9525" cap="flat" cmpd="sng" algn="ctr">
              <a:solidFill>
                <a:schemeClr val="tx1">
                  <a:lumMod val="15000"/>
                  <a:lumOff val="85000"/>
                </a:schemeClr>
              </a:solidFill>
              <a:round/>
            </a:ln>
            <a:effectLst/>
          </c:spPr>
        </c:majorGridlines>
        <c:numFmt formatCode="#,##0.00\ &quot;€&quot;;[Red]\-#,##0.00\ &quot;€&quot;"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fr-FR"/>
          </a:p>
        </c:txPr>
        <c:crossAx val="3422490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1806389</xdr:colOff>
      <xdr:row>21</xdr:row>
      <xdr:rowOff>114526</xdr:rowOff>
    </xdr:from>
    <xdr:to>
      <xdr:col>10</xdr:col>
      <xdr:colOff>2358162</xdr:colOff>
      <xdr:row>38</xdr:row>
      <xdr:rowOff>56582</xdr:rowOff>
    </xdr:to>
    <xdr:graphicFrame macro="">
      <xdr:nvGraphicFramePr>
        <xdr:cNvPr id="2" name="Graphique 1">
          <a:extLst>
            <a:ext uri="{FF2B5EF4-FFF2-40B4-BE49-F238E27FC236}">
              <a16:creationId xmlns:a16="http://schemas.microsoft.com/office/drawing/2014/main" id="{E5DF1749-BC6C-2345-9547-9B5CC24C1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556125</xdr:colOff>
      <xdr:row>21</xdr:row>
      <xdr:rowOff>123656</xdr:rowOff>
    </xdr:from>
    <xdr:to>
      <xdr:col>5</xdr:col>
      <xdr:colOff>1638968</xdr:colOff>
      <xdr:row>38</xdr:row>
      <xdr:rowOff>109620</xdr:rowOff>
    </xdr:to>
    <xdr:graphicFrame macro="">
      <xdr:nvGraphicFramePr>
        <xdr:cNvPr id="3" name="Graphique 2">
          <a:extLst>
            <a:ext uri="{FF2B5EF4-FFF2-40B4-BE49-F238E27FC236}">
              <a16:creationId xmlns:a16="http://schemas.microsoft.com/office/drawing/2014/main" id="{07F179D5-4089-AE4C-9750-E00FD4F18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D9CAB96-9B09-3A4B-8353-7AD4A12BDFDD}" name="Tableau10" displayName="Tableau10" ref="A3:F15" totalsRowShown="0" headerRowDxfId="40" dataDxfId="38" headerRowBorderDxfId="39" tableBorderDxfId="37" totalsRowBorderDxfId="36">
  <autoFilter ref="A3:F15" xr:uid="{1D9CAB96-9B09-3A4B-8353-7AD4A12BDFDD}"/>
  <tableColumns count="6">
    <tableColumn id="1" xr3:uid="{154C0851-27FB-0D48-8EBA-EE31FDE5F272}" name="Service category" dataDxfId="35"/>
    <tableColumn id="2" xr3:uid="{7235E788-8B0B-2C45-90E8-9EB87D5062B8}" name="Service type" dataDxfId="34"/>
    <tableColumn id="3" xr3:uid="{D066DFC6-6A8C-6040-A020-480436353511}" name="Region" dataDxfId="33"/>
    <tableColumn id="4" xr3:uid="{08CEFB72-5B35-BA41-8972-37F8B82B5D45}" name="Description" dataDxfId="32"/>
    <tableColumn id="5" xr3:uid="{B64114CE-ED49-C648-AC07-F918B03F731B}" name="Estimated monthly cost" dataDxfId="31"/>
    <tableColumn id="6" xr3:uid="{97DF5236-317B-6E49-AF7E-16887273D1C0}" name="Estimated upfront cost" dataDxfId="30"/>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AEF0770-E9E8-204A-AF7A-83B6C6336BB1}" name="Tableau1012" displayName="Tableau1012" ref="A3:F14" totalsRowShown="0" headerRowDxfId="29" dataDxfId="28">
  <autoFilter ref="A3:F14" xr:uid="{4AEF0770-E9E8-204A-AF7A-83B6C6336BB1}"/>
  <tableColumns count="6">
    <tableColumn id="1" xr3:uid="{07A2FE19-E98E-4742-B047-627837D9D494}" name="Service category" dataDxfId="27"/>
    <tableColumn id="2" xr3:uid="{E71D4BED-ADAB-E345-9EDA-E0C3CD2BAF03}" name="Service type" dataDxfId="26"/>
    <tableColumn id="3" xr3:uid="{95712DC9-8DAD-CD4D-8D8B-055A9F54271C}" name="Region" dataDxfId="25"/>
    <tableColumn id="4" xr3:uid="{5316DF03-87E9-6C41-A879-EAB04FE6C7FE}" name="Description" dataDxfId="24"/>
    <tableColumn id="5" xr3:uid="{3036F2E9-FA4E-8E49-B224-C3A5147B979E}" name="Estimated monthly cost" dataDxfId="23"/>
    <tableColumn id="6" xr3:uid="{B52DF9F1-24FD-1B49-BC36-2BC0E0277B65}" name="Estimated upfront cost" dataDxfId="22"/>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B15AF71-F12C-914D-8B1C-1C0D69B9806A}" name="Tableau16" displayName="Tableau16" ref="A1:D13" totalsRowShown="0" headerRowDxfId="21" dataDxfId="20">
  <autoFilter ref="A1:D13" xr:uid="{7B15AF71-F12C-914D-8B1C-1C0D69B9806A}"/>
  <tableColumns count="4">
    <tableColumn id="1" xr3:uid="{AAE8092C-8666-AB41-A0D2-44849F4C8ED8}" name="Tâche" dataDxfId="19"/>
    <tableColumn id="2" xr3:uid="{3C3078BD-AC46-534F-93D0-AC138DC6E5CC}" name="Responsable" dataDxfId="18"/>
    <tableColumn id="3" xr3:uid="{FD3584B8-D7DB-3F45-8E65-F4340B006004}" name="Durée en jours" dataDxfId="17"/>
    <tableColumn id="4" xr3:uid="{5EB29818-A10A-A84C-81E2-CFC5C6DE60CD}" name="Coût total par tache" dataDxfId="16"/>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0307CDF-7427-9C49-973E-EF7B86EF691C}" name="Tableau248" displayName="Tableau248" ref="A19:G28" totalsRowCount="1" headerRowDxfId="15" totalsRowDxfId="14">
  <autoFilter ref="A19:G27" xr:uid="{A0307CDF-7427-9C49-973E-EF7B86EF691C}"/>
  <tableColumns count="7">
    <tableColumn id="1" xr3:uid="{BB19C92C-34E0-934C-A7F2-A1114B5918FB}" name="Rôle" totalsRowLabel="Total" dataDxfId="13" totalsRowDxfId="6"/>
    <tableColumn id="2" xr3:uid="{B4A6882B-8CC4-6043-A12E-96A49AB22792}" name="Salaire en €/an" totalsRowFunction="custom" dataDxfId="12" totalsRowDxfId="5">
      <totalsRowFormula>SUM(B20:B27)</totalsRowFormula>
    </tableColumn>
    <tableColumn id="3" xr3:uid="{A6FF4257-52FD-8541-BD88-85E041339DE8}" name="TJM" totalsRowFunction="custom" dataDxfId="11" totalsRowDxfId="4">
      <calculatedColumnFormula>((B20/12)/35)</calculatedColumnFormula>
      <totalsRowFormula>SUM(C20:C27)</totalsRowFormula>
    </tableColumn>
    <tableColumn id="6" xr3:uid="{82ACF5D5-35B4-A947-9959-2D96EEBDA269}" name="Durée total des taches en jour" totalsRowFunction="custom" dataDxfId="10" totalsRowDxfId="3">
      <calculatedColumnFormula>C2+C4+C5+C11+C12</calculatedColumnFormula>
      <totalsRowFormula>SUM(D20:D27)</totalsRowFormula>
    </tableColumn>
    <tableColumn id="5" xr3:uid="{235B53FF-00BA-014E-96BD-F7A65927D53A}" name="Coût total projet" totalsRowFunction="custom" dataDxfId="9" totalsRowDxfId="2" dataCellStyle="Pourcentage">
      <calculatedColumnFormula>Tableau248[[#This Row],[TJM]]*Tableau248[[#This Row],[Durée total des taches en jour]]</calculatedColumnFormula>
      <totalsRowFormula>SUM(E20:E27)</totalsRowFormula>
    </tableColumn>
    <tableColumn id="8" xr3:uid="{A5C8987E-F9F1-F74E-B9F5-F57960B3A519}" name="Volume horaire en %" dataDxfId="8" totalsRowDxfId="1"/>
    <tableColumn id="9" xr3:uid="{DF2A4412-BF89-9148-B05F-8D73D75F31C7}" name="Cout estimé annuel" totalsRowFunction="custom" dataDxfId="7" totalsRowDxfId="0">
      <calculatedColumnFormula>((Tableau248[[#This Row],[TJM]]*F20) *35 )* 12</calculatedColumnFormula>
      <totalsRowFormula>SUM(G20:G27)</totalsRowFormula>
    </tableColumn>
  </tableColumns>
  <tableStyleInfo name="TableStyleLight9" showFirstColumn="0" showLastColumn="0" showRowStripes="1" showColumnStripes="0"/>
</table>
</file>

<file path=xl/theme/theme1.xml><?xml version="1.0" encoding="utf-8"?>
<a:theme xmlns:a="http://schemas.openxmlformats.org/drawingml/2006/main" name="Thème Office">
  <a:themeElements>
    <a:clrScheme name="Palissad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02A08-4A75-634F-A833-41E0C4AF7966}">
  <dimension ref="A1:F15"/>
  <sheetViews>
    <sheetView showGridLines="0" topLeftCell="A6" zoomScale="50" workbookViewId="0">
      <selection activeCell="E4" sqref="E4"/>
    </sheetView>
  </sheetViews>
  <sheetFormatPr baseColWidth="10" defaultColWidth="30.83203125" defaultRowHeight="19"/>
  <cols>
    <col min="1" max="16384" width="30.83203125" style="54"/>
  </cols>
  <sheetData>
    <row r="1" spans="1:6" ht="50" customHeight="1">
      <c r="A1" s="88" t="s">
        <v>28</v>
      </c>
      <c r="B1" s="89"/>
      <c r="C1" s="52"/>
      <c r="D1" s="52"/>
      <c r="E1" s="53"/>
      <c r="F1" s="53"/>
    </row>
    <row r="2" spans="1:6" ht="50" customHeight="1">
      <c r="A2" s="90" t="s">
        <v>99</v>
      </c>
      <c r="B2" s="89"/>
      <c r="C2" s="52"/>
      <c r="D2" s="52"/>
      <c r="E2" s="53"/>
      <c r="F2" s="53"/>
    </row>
    <row r="3" spans="1:6" ht="20">
      <c r="A3" s="55" t="s">
        <v>29</v>
      </c>
      <c r="B3" s="56" t="s">
        <v>30</v>
      </c>
      <c r="C3" s="56" t="s">
        <v>31</v>
      </c>
      <c r="D3" s="56" t="s">
        <v>32</v>
      </c>
      <c r="E3" s="57" t="s">
        <v>33</v>
      </c>
      <c r="F3" s="58" t="s">
        <v>34</v>
      </c>
    </row>
    <row r="4" spans="1:6" ht="140">
      <c r="A4" s="59" t="s">
        <v>35</v>
      </c>
      <c r="B4" s="60" t="s">
        <v>36</v>
      </c>
      <c r="C4" s="60" t="s">
        <v>37</v>
      </c>
      <c r="D4" s="60" t="s">
        <v>38</v>
      </c>
      <c r="E4" s="61">
        <v>66.102232082220297</v>
      </c>
      <c r="F4" s="62">
        <v>0</v>
      </c>
    </row>
    <row r="5" spans="1:6" ht="140">
      <c r="A5" s="59" t="s">
        <v>35</v>
      </c>
      <c r="B5" s="60" t="s">
        <v>39</v>
      </c>
      <c r="C5" s="60" t="s">
        <v>37</v>
      </c>
      <c r="D5" s="60" t="s">
        <v>40</v>
      </c>
      <c r="E5" s="61">
        <v>281.19889527776519</v>
      </c>
      <c r="F5" s="62">
        <v>0</v>
      </c>
    </row>
    <row r="6" spans="1:6" ht="300">
      <c r="A6" s="59" t="s">
        <v>41</v>
      </c>
      <c r="B6" s="60" t="s">
        <v>42</v>
      </c>
      <c r="C6" s="60" t="s">
        <v>43</v>
      </c>
      <c r="D6" s="60" t="s">
        <v>44</v>
      </c>
      <c r="E6" s="61">
        <v>136.63967039434962</v>
      </c>
      <c r="F6" s="62">
        <v>0</v>
      </c>
    </row>
    <row r="7" spans="1:6" ht="220">
      <c r="A7" s="59" t="s">
        <v>45</v>
      </c>
      <c r="B7" s="60" t="s">
        <v>46</v>
      </c>
      <c r="C7" s="60" t="s">
        <v>43</v>
      </c>
      <c r="D7" s="60" t="s">
        <v>47</v>
      </c>
      <c r="E7" s="61">
        <v>337.72914384026802</v>
      </c>
      <c r="F7" s="62">
        <v>0</v>
      </c>
    </row>
    <row r="8" spans="1:6" ht="60">
      <c r="A8" s="59" t="s">
        <v>48</v>
      </c>
      <c r="B8" s="60" t="s">
        <v>49</v>
      </c>
      <c r="C8" s="60" t="s">
        <v>50</v>
      </c>
      <c r="D8" s="60" t="s">
        <v>51</v>
      </c>
      <c r="E8" s="61">
        <v>149.39104450581789</v>
      </c>
      <c r="F8" s="62">
        <v>0</v>
      </c>
    </row>
    <row r="9" spans="1:6" ht="409.6">
      <c r="A9" s="59" t="s">
        <v>52</v>
      </c>
      <c r="B9" s="60" t="s">
        <v>53</v>
      </c>
      <c r="C9" s="60" t="s">
        <v>43</v>
      </c>
      <c r="D9" s="60" t="s">
        <v>54</v>
      </c>
      <c r="E9" s="61">
        <v>43.042060940824918</v>
      </c>
      <c r="F9" s="62">
        <v>0</v>
      </c>
    </row>
    <row r="10" spans="1:6" ht="20">
      <c r="A10" s="59" t="s">
        <v>55</v>
      </c>
      <c r="B10" s="60"/>
      <c r="C10" s="63" t="s">
        <v>55</v>
      </c>
      <c r="D10" s="60">
        <v>0</v>
      </c>
      <c r="E10" s="61">
        <v>0</v>
      </c>
      <c r="F10" s="62"/>
    </row>
    <row r="11" spans="1:6" ht="40">
      <c r="A11" s="59"/>
      <c r="B11" s="60"/>
      <c r="C11" s="63" t="s">
        <v>56</v>
      </c>
      <c r="D11" s="63" t="s">
        <v>57</v>
      </c>
      <c r="E11" s="61"/>
      <c r="F11" s="62"/>
    </row>
    <row r="12" spans="1:6" ht="20">
      <c r="A12" s="59"/>
      <c r="B12" s="60"/>
      <c r="C12" s="63" t="s">
        <v>58</v>
      </c>
      <c r="D12" s="63" t="s">
        <v>59</v>
      </c>
      <c r="E12" s="61"/>
      <c r="F12" s="62"/>
    </row>
    <row r="13" spans="1:6" ht="20">
      <c r="A13" s="59"/>
      <c r="B13" s="60"/>
      <c r="C13" s="63" t="s">
        <v>60</v>
      </c>
      <c r="D13" s="63" t="s">
        <v>59</v>
      </c>
      <c r="E13" s="61"/>
      <c r="F13" s="62"/>
    </row>
    <row r="14" spans="1:6" ht="22">
      <c r="A14" s="65"/>
      <c r="B14" s="66"/>
      <c r="C14" s="66" t="s">
        <v>68</v>
      </c>
      <c r="D14" s="66"/>
      <c r="E14" s="64">
        <v>1014.1030470412459</v>
      </c>
      <c r="F14" s="67">
        <v>0</v>
      </c>
    </row>
    <row r="15" spans="1:6" ht="22">
      <c r="A15" s="68"/>
      <c r="B15" s="69"/>
      <c r="C15" s="69" t="s">
        <v>69</v>
      </c>
      <c r="D15" s="69"/>
      <c r="E15" s="70">
        <f>E14*12</f>
        <v>12169.23656449495</v>
      </c>
      <c r="F15" s="71"/>
    </row>
  </sheetData>
  <mergeCells count="2">
    <mergeCell ref="A1:B1"/>
    <mergeCell ref="A2:B2"/>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0C99A-5DC1-784F-BB51-47CFEE31A420}">
  <dimension ref="A1:F14"/>
  <sheetViews>
    <sheetView showGridLines="0" topLeftCell="A8" workbookViewId="0">
      <selection activeCell="A2" sqref="A2:B2"/>
    </sheetView>
  </sheetViews>
  <sheetFormatPr baseColWidth="10" defaultRowHeight="16"/>
  <cols>
    <col min="1" max="6" width="30.83203125" customWidth="1"/>
  </cols>
  <sheetData>
    <row r="1" spans="1:6" ht="50" customHeight="1">
      <c r="A1" s="88" t="s">
        <v>28</v>
      </c>
      <c r="B1" s="91"/>
      <c r="C1" s="17"/>
      <c r="D1" s="17"/>
      <c r="E1" s="18"/>
      <c r="F1" s="18"/>
    </row>
    <row r="2" spans="1:6" ht="50" customHeight="1">
      <c r="A2" s="92" t="s">
        <v>98</v>
      </c>
      <c r="B2" s="93"/>
      <c r="C2" s="17"/>
      <c r="D2" s="17"/>
      <c r="E2" s="18"/>
      <c r="F2" s="18"/>
    </row>
    <row r="3" spans="1:6">
      <c r="A3" s="19" t="s">
        <v>29</v>
      </c>
      <c r="B3" s="19" t="s">
        <v>30</v>
      </c>
      <c r="C3" s="19" t="s">
        <v>31</v>
      </c>
      <c r="D3" s="19" t="s">
        <v>32</v>
      </c>
      <c r="E3" s="20" t="s">
        <v>33</v>
      </c>
      <c r="F3" s="20" t="s">
        <v>34</v>
      </c>
    </row>
    <row r="4" spans="1:6" ht="140">
      <c r="A4" s="60" t="s">
        <v>35</v>
      </c>
      <c r="B4" s="60" t="s">
        <v>36</v>
      </c>
      <c r="C4" s="60" t="s">
        <v>37</v>
      </c>
      <c r="D4" s="60" t="s">
        <v>38</v>
      </c>
      <c r="E4" s="61">
        <v>66.102232082220311</v>
      </c>
      <c r="F4" s="61">
        <v>0</v>
      </c>
    </row>
    <row r="5" spans="1:6" ht="140">
      <c r="A5" s="60" t="s">
        <v>35</v>
      </c>
      <c r="B5" s="60" t="s">
        <v>39</v>
      </c>
      <c r="C5" s="60" t="s">
        <v>37</v>
      </c>
      <c r="D5" s="60" t="s">
        <v>40</v>
      </c>
      <c r="E5" s="61">
        <v>281.19889527776519</v>
      </c>
      <c r="F5" s="61">
        <v>0</v>
      </c>
    </row>
    <row r="6" spans="1:6" ht="300">
      <c r="A6" s="60" t="s">
        <v>41</v>
      </c>
      <c r="B6" s="60" t="s">
        <v>42</v>
      </c>
      <c r="C6" s="60" t="s">
        <v>43</v>
      </c>
      <c r="D6" s="60" t="s">
        <v>44</v>
      </c>
      <c r="E6" s="61">
        <v>136.63967039434962</v>
      </c>
      <c r="F6" s="61">
        <v>0</v>
      </c>
    </row>
    <row r="7" spans="1:6" ht="220">
      <c r="A7" s="60" t="s">
        <v>45</v>
      </c>
      <c r="B7" s="60" t="s">
        <v>46</v>
      </c>
      <c r="C7" s="60" t="s">
        <v>43</v>
      </c>
      <c r="D7" s="60" t="s">
        <v>47</v>
      </c>
      <c r="E7" s="61">
        <v>337.72914384026802</v>
      </c>
      <c r="F7" s="61">
        <v>0</v>
      </c>
    </row>
    <row r="8" spans="1:6" ht="409.6">
      <c r="A8" s="60" t="s">
        <v>52</v>
      </c>
      <c r="B8" s="60" t="s">
        <v>53</v>
      </c>
      <c r="C8" s="60" t="s">
        <v>43</v>
      </c>
      <c r="D8" s="60" t="s">
        <v>54</v>
      </c>
      <c r="E8" s="61">
        <v>43.042060940824918</v>
      </c>
      <c r="F8" s="61">
        <v>0</v>
      </c>
    </row>
    <row r="9" spans="1:6" ht="20">
      <c r="A9" s="60" t="s">
        <v>55</v>
      </c>
      <c r="B9" s="60"/>
      <c r="C9" s="63" t="s">
        <v>55</v>
      </c>
      <c r="D9" s="60">
        <v>0</v>
      </c>
      <c r="E9" s="61">
        <v>0</v>
      </c>
      <c r="F9" s="61"/>
    </row>
    <row r="10" spans="1:6" ht="40">
      <c r="A10" s="60"/>
      <c r="B10" s="60"/>
      <c r="C10" s="63" t="s">
        <v>56</v>
      </c>
      <c r="D10" s="63" t="s">
        <v>57</v>
      </c>
      <c r="E10" s="61"/>
      <c r="F10" s="61"/>
    </row>
    <row r="11" spans="1:6" ht="20">
      <c r="A11" s="60"/>
      <c r="B11" s="60"/>
      <c r="C11" s="63" t="s">
        <v>58</v>
      </c>
      <c r="D11" s="63" t="s">
        <v>59</v>
      </c>
      <c r="E11" s="61"/>
      <c r="F11" s="61"/>
    </row>
    <row r="12" spans="1:6" ht="20">
      <c r="A12" s="60"/>
      <c r="B12" s="60"/>
      <c r="C12" s="63" t="s">
        <v>60</v>
      </c>
      <c r="D12" s="63" t="s">
        <v>59</v>
      </c>
      <c r="E12" s="61"/>
      <c r="F12" s="61"/>
    </row>
    <row r="13" spans="1:6" ht="22">
      <c r="A13" s="66"/>
      <c r="B13" s="66"/>
      <c r="C13" s="66" t="s">
        <v>68</v>
      </c>
      <c r="D13" s="66"/>
      <c r="E13" s="64">
        <f>E4+E5+E6+E7+E8+E9</f>
        <v>864.71200253542816</v>
      </c>
      <c r="F13" s="64">
        <v>0</v>
      </c>
    </row>
    <row r="14" spans="1:6" ht="22">
      <c r="A14" s="66"/>
      <c r="B14" s="66"/>
      <c r="C14" s="66" t="s">
        <v>69</v>
      </c>
      <c r="D14" s="66"/>
      <c r="E14" s="64">
        <f>E13*12</f>
        <v>10376.544030425139</v>
      </c>
      <c r="F14" s="64"/>
    </row>
  </sheetData>
  <mergeCells count="2">
    <mergeCell ref="A1:B1"/>
    <mergeCell ref="A2:B2"/>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C893A-CE31-F047-8E9F-56F9E761D6C6}">
  <dimension ref="A1:I35"/>
  <sheetViews>
    <sheetView showGridLines="0" topLeftCell="A2" zoomScaleNormal="58" workbookViewId="0">
      <selection activeCell="G31" sqref="G31"/>
    </sheetView>
  </sheetViews>
  <sheetFormatPr baseColWidth="10" defaultRowHeight="16"/>
  <cols>
    <col min="1" max="1" width="63.6640625" style="3" customWidth="1"/>
    <col min="2" max="2" width="38.1640625" style="9" bestFit="1" customWidth="1"/>
    <col min="3" max="4" width="30.83203125" style="3" customWidth="1"/>
    <col min="5" max="5" width="20" style="3" bestFit="1" customWidth="1"/>
    <col min="6" max="6" width="23.5" style="3" bestFit="1" customWidth="1"/>
    <col min="7" max="7" width="28.5" style="3" customWidth="1"/>
    <col min="8" max="16384" width="10.83203125" style="3"/>
  </cols>
  <sheetData>
    <row r="1" spans="1:4" ht="50" customHeight="1">
      <c r="A1" s="2" t="s">
        <v>0</v>
      </c>
      <c r="B1" s="6" t="s">
        <v>1</v>
      </c>
      <c r="C1" s="2" t="s">
        <v>2</v>
      </c>
      <c r="D1" s="2" t="s">
        <v>66</v>
      </c>
    </row>
    <row r="2" spans="1:4" ht="30" customHeight="1">
      <c r="A2" s="4" t="s">
        <v>3</v>
      </c>
      <c r="B2" s="7" t="s">
        <v>4</v>
      </c>
      <c r="C2" s="4">
        <v>5</v>
      </c>
      <c r="D2" s="26">
        <f>Tableau16[[#This Row],[Durée en jours]]*C20</f>
        <v>476.1904761904762</v>
      </c>
    </row>
    <row r="3" spans="1:4" ht="30" customHeight="1">
      <c r="A3" s="4" t="s">
        <v>5</v>
      </c>
      <c r="B3" s="7" t="s">
        <v>6</v>
      </c>
      <c r="C3" s="4">
        <v>7</v>
      </c>
      <c r="D3" s="26">
        <f>Tableau16[[#This Row],[Durée en jours]]*C21</f>
        <v>583.33333333333326</v>
      </c>
    </row>
    <row r="4" spans="1:4" ht="30" customHeight="1">
      <c r="A4" s="4" t="s">
        <v>7</v>
      </c>
      <c r="B4" s="7" t="s">
        <v>63</v>
      </c>
      <c r="C4" s="4">
        <v>10</v>
      </c>
      <c r="D4" s="26">
        <f>Tableau16[[#This Row],[Durée en jours]]*C22</f>
        <v>952.38095238095241</v>
      </c>
    </row>
    <row r="5" spans="1:4" ht="30" customHeight="1">
      <c r="A5" s="4" t="s">
        <v>8</v>
      </c>
      <c r="B5" s="7" t="s">
        <v>25</v>
      </c>
      <c r="C5" s="4">
        <v>40</v>
      </c>
      <c r="D5" s="26">
        <f>Tableau16[[#This Row],[Durée en jours]]*C23</f>
        <v>4285.7142857142853</v>
      </c>
    </row>
    <row r="6" spans="1:4" ht="30" customHeight="1">
      <c r="A6" s="4" t="s">
        <v>9</v>
      </c>
      <c r="B6" s="7" t="s">
        <v>112</v>
      </c>
      <c r="C6" s="4">
        <v>30</v>
      </c>
      <c r="D6" s="26">
        <f>Tableau16[[#This Row],[Durée en jours]]*C26</f>
        <v>3214.2857142857142</v>
      </c>
    </row>
    <row r="7" spans="1:4" ht="30" customHeight="1">
      <c r="A7" s="4" t="s">
        <v>11</v>
      </c>
      <c r="B7" s="7" t="s">
        <v>113</v>
      </c>
      <c r="C7" s="4">
        <v>60</v>
      </c>
      <c r="D7" s="26">
        <f>Tableau16[[#This Row],[Durée en jours]]*C25</f>
        <v>3571.4285714285716</v>
      </c>
    </row>
    <row r="8" spans="1:4" ht="30" customHeight="1">
      <c r="A8" s="4" t="s">
        <v>12</v>
      </c>
      <c r="B8" s="7" t="s">
        <v>10</v>
      </c>
      <c r="C8" s="4">
        <v>80</v>
      </c>
      <c r="D8" s="26">
        <f>Tableau16[[#This Row],[Durée en jours]]*C27</f>
        <v>9523.8095238095248</v>
      </c>
    </row>
    <row r="9" spans="1:4" ht="30" customHeight="1">
      <c r="A9" s="4" t="s">
        <v>13</v>
      </c>
      <c r="B9" s="7" t="s">
        <v>114</v>
      </c>
      <c r="C9" s="4">
        <v>40</v>
      </c>
      <c r="D9" s="26">
        <f>Tableau16[[#This Row],[Durée en jours]]*C24</f>
        <v>4761.9047619047624</v>
      </c>
    </row>
    <row r="10" spans="1:4" ht="30" customHeight="1">
      <c r="A10" s="4" t="s">
        <v>14</v>
      </c>
      <c r="B10" s="7" t="s">
        <v>25</v>
      </c>
      <c r="C10" s="4">
        <v>30</v>
      </c>
      <c r="D10" s="26">
        <f>Tableau16[[#This Row],[Durée en jours]]*C23</f>
        <v>3214.2857142857142</v>
      </c>
    </row>
    <row r="11" spans="1:4" ht="30" customHeight="1">
      <c r="A11" s="4" t="s">
        <v>15</v>
      </c>
      <c r="B11" s="7" t="s">
        <v>25</v>
      </c>
      <c r="C11" s="4">
        <v>10</v>
      </c>
      <c r="D11" s="26">
        <f>Tableau16[[#This Row],[Durée en jours]]*C23</f>
        <v>1071.4285714285713</v>
      </c>
    </row>
    <row r="12" spans="1:4" ht="30" customHeight="1">
      <c r="A12" s="4" t="s">
        <v>16</v>
      </c>
      <c r="B12" s="7" t="s">
        <v>6</v>
      </c>
      <c r="C12" s="4">
        <v>5</v>
      </c>
      <c r="D12" s="26">
        <f>Tableau16[[#This Row],[Durée en jours]]*C21</f>
        <v>416.66666666666663</v>
      </c>
    </row>
    <row r="13" spans="1:4" ht="30" customHeight="1">
      <c r="A13" s="14" t="s">
        <v>17</v>
      </c>
      <c r="B13" s="15" t="s">
        <v>18</v>
      </c>
      <c r="C13" s="16">
        <f>SUM(C2:C12)</f>
        <v>317</v>
      </c>
      <c r="D13" s="27">
        <f>SUM(D2:D12)</f>
        <v>32071.428571428572</v>
      </c>
    </row>
    <row r="17" spans="1:9">
      <c r="B17" s="4" t="s">
        <v>87</v>
      </c>
    </row>
    <row r="18" spans="1:9">
      <c r="A18" s="4"/>
    </row>
    <row r="19" spans="1:9" ht="30" customHeight="1">
      <c r="A19" s="3" t="s">
        <v>24</v>
      </c>
      <c r="B19" s="9" t="s">
        <v>61</v>
      </c>
      <c r="C19" s="3" t="s">
        <v>67</v>
      </c>
      <c r="D19" s="3" t="s">
        <v>62</v>
      </c>
      <c r="E19" s="3" t="s">
        <v>85</v>
      </c>
      <c r="F19" s="3" t="s">
        <v>65</v>
      </c>
      <c r="G19" s="3" t="s">
        <v>103</v>
      </c>
      <c r="H19" s="32"/>
      <c r="I19" s="13" t="s">
        <v>26</v>
      </c>
    </row>
    <row r="20" spans="1:9" ht="30" customHeight="1">
      <c r="A20" s="4" t="s">
        <v>19</v>
      </c>
      <c r="B20" s="24">
        <v>40000</v>
      </c>
      <c r="C20" s="24">
        <f t="shared" ref="C20:C27" si="0">((B20/12)/35)</f>
        <v>95.238095238095241</v>
      </c>
      <c r="D20" s="21">
        <f>C2</f>
        <v>5</v>
      </c>
      <c r="E20" s="23">
        <f>Tableau248[[#This Row],[TJM]]*Tableau248[[#This Row],[Durée total des taches en jour]]</f>
        <v>476.1904761904762</v>
      </c>
      <c r="F20" s="32">
        <v>0.05</v>
      </c>
      <c r="G20" s="73">
        <f>((Tableau248[[#This Row],[TJM]]*F20) *35 )* 12</f>
        <v>2000</v>
      </c>
      <c r="H20" s="32"/>
      <c r="I20" s="13" t="s">
        <v>64</v>
      </c>
    </row>
    <row r="21" spans="1:9" ht="30" customHeight="1">
      <c r="A21" s="4" t="s">
        <v>20</v>
      </c>
      <c r="B21" s="24">
        <v>35000</v>
      </c>
      <c r="C21" s="24">
        <f t="shared" si="0"/>
        <v>83.333333333333329</v>
      </c>
      <c r="D21" s="21">
        <f>C3+C12</f>
        <v>12</v>
      </c>
      <c r="E21" s="23">
        <f>Tableau248[[#This Row],[TJM]]*Tableau248[[#This Row],[Durée total des taches en jour]]</f>
        <v>1000</v>
      </c>
      <c r="F21" s="32">
        <v>1</v>
      </c>
      <c r="G21" s="73">
        <f>((Tableau248[[#This Row],[TJM]]*F21) *35 )* 12</f>
        <v>35000</v>
      </c>
      <c r="H21" s="32"/>
      <c r="I21" s="13" t="s">
        <v>70</v>
      </c>
    </row>
    <row r="22" spans="1:9" ht="30" customHeight="1">
      <c r="A22" s="4" t="s">
        <v>21</v>
      </c>
      <c r="B22" s="24">
        <v>40000</v>
      </c>
      <c r="C22" s="24">
        <f t="shared" si="0"/>
        <v>95.238095238095241</v>
      </c>
      <c r="D22" s="21">
        <f>C4</f>
        <v>10</v>
      </c>
      <c r="E22" s="23">
        <f>Tableau248[[#This Row],[TJM]]*Tableau248[[#This Row],[Durée total des taches en jour]]</f>
        <v>952.38095238095241</v>
      </c>
      <c r="F22" s="32">
        <v>0.05</v>
      </c>
      <c r="G22" s="73">
        <f>((Tableau248[[#This Row],[TJM]]*F22) *35 )* 12</f>
        <v>2000</v>
      </c>
      <c r="H22" s="32"/>
    </row>
    <row r="23" spans="1:9" ht="30" customHeight="1">
      <c r="A23" s="4" t="s">
        <v>22</v>
      </c>
      <c r="B23" s="24">
        <v>45000</v>
      </c>
      <c r="C23" s="24">
        <f t="shared" si="0"/>
        <v>107.14285714285714</v>
      </c>
      <c r="D23" s="21">
        <f>C5+C10+C11</f>
        <v>80</v>
      </c>
      <c r="E23" s="23">
        <f>Tableau248[[#This Row],[TJM]]*Tableau248[[#This Row],[Durée total des taches en jour]]</f>
        <v>8571.4285714285706</v>
      </c>
      <c r="F23" s="32">
        <v>0.1</v>
      </c>
      <c r="G23" s="73">
        <f>((Tableau248[[#This Row],[TJM]]*F23) *35 )* 12</f>
        <v>4500.0000000000009</v>
      </c>
      <c r="H23" s="32"/>
    </row>
    <row r="24" spans="1:9" ht="30" customHeight="1">
      <c r="A24" s="2" t="s">
        <v>114</v>
      </c>
      <c r="B24" s="24">
        <v>50000</v>
      </c>
      <c r="C24" s="24">
        <f t="shared" si="0"/>
        <v>119.04761904761905</v>
      </c>
      <c r="D24" s="21">
        <f>C9</f>
        <v>40</v>
      </c>
      <c r="E24" s="23">
        <f>Tableau248[[#This Row],[TJM]]*Tableau248[[#This Row],[Durée total des taches en jour]]</f>
        <v>4761.9047619047624</v>
      </c>
      <c r="F24" s="32">
        <v>0.1</v>
      </c>
      <c r="G24" s="73">
        <f>((Tableau248[[#This Row],[TJM]]*F24) *35 )* 12</f>
        <v>5000</v>
      </c>
      <c r="H24" s="32"/>
    </row>
    <row r="25" spans="1:9" ht="30" customHeight="1">
      <c r="A25" s="2" t="s">
        <v>113</v>
      </c>
      <c r="B25" s="24">
        <v>25000</v>
      </c>
      <c r="C25" s="24">
        <f t="shared" si="0"/>
        <v>59.523809523809526</v>
      </c>
      <c r="D25" s="21">
        <f>C7</f>
        <v>60</v>
      </c>
      <c r="E25" s="23">
        <f>Tableau248[[#This Row],[TJM]]*Tableau248[[#This Row],[Durée total des taches en jour]]</f>
        <v>3571.4285714285716</v>
      </c>
      <c r="F25" s="32">
        <v>0.05</v>
      </c>
      <c r="G25" s="73">
        <f>((Tableau248[[#This Row],[TJM]]*F25) *35 )* 12</f>
        <v>1250</v>
      </c>
      <c r="H25" s="32"/>
    </row>
    <row r="26" spans="1:9" ht="30" customHeight="1">
      <c r="A26" s="2" t="s">
        <v>112</v>
      </c>
      <c r="B26" s="24">
        <v>45000</v>
      </c>
      <c r="C26" s="24">
        <f t="shared" si="0"/>
        <v>107.14285714285714</v>
      </c>
      <c r="D26" s="21">
        <f>C6</f>
        <v>30</v>
      </c>
      <c r="E26" s="23">
        <f>Tableau248[[#This Row],[TJM]]*Tableau248[[#This Row],[Durée total des taches en jour]]</f>
        <v>3214.2857142857142</v>
      </c>
      <c r="F26" s="32">
        <v>0.1</v>
      </c>
      <c r="G26" s="73">
        <f>((Tableau248[[#This Row],[TJM]]*F26) *35 )* 12</f>
        <v>4500.0000000000009</v>
      </c>
      <c r="H26" s="32"/>
    </row>
    <row r="27" spans="1:9" ht="30" customHeight="1">
      <c r="A27" s="4" t="s">
        <v>23</v>
      </c>
      <c r="B27" s="24">
        <v>50000</v>
      </c>
      <c r="C27" s="24">
        <f t="shared" si="0"/>
        <v>119.04761904761905</v>
      </c>
      <c r="D27" s="21">
        <f>C8</f>
        <v>80</v>
      </c>
      <c r="E27" s="23">
        <f>Tableau248[[#This Row],[TJM]]*Tableau248[[#This Row],[Durée total des taches en jour]]</f>
        <v>9523.8095238095248</v>
      </c>
      <c r="F27" s="32">
        <v>0.1</v>
      </c>
      <c r="G27" s="73">
        <f>((Tableau248[[#This Row],[TJM]]*F27) *35 )* 12</f>
        <v>5000</v>
      </c>
      <c r="H27" s="33"/>
    </row>
    <row r="28" spans="1:9" ht="30" customHeight="1">
      <c r="A28" s="5" t="s">
        <v>17</v>
      </c>
      <c r="B28" s="8">
        <f>SUM(B20:B27)</f>
        <v>330000</v>
      </c>
      <c r="C28" s="25">
        <f>SUM(C20:C27)</f>
        <v>785.71428571428567</v>
      </c>
      <c r="D28" s="22">
        <f>SUM(D20:D27)</f>
        <v>317</v>
      </c>
      <c r="E28" s="25">
        <f>SUM(E20:E27)</f>
        <v>32071.428571428572</v>
      </c>
      <c r="G28" s="74">
        <f>SUM(G20:G27)</f>
        <v>59250</v>
      </c>
    </row>
    <row r="29" spans="1:9" ht="30" customHeight="1"/>
    <row r="30" spans="1:9" ht="30" customHeight="1"/>
    <row r="31" spans="1:9" ht="30" customHeight="1">
      <c r="A31" s="11" t="s">
        <v>73</v>
      </c>
      <c r="B31" s="12">
        <v>12</v>
      </c>
    </row>
    <row r="32" spans="1:9" ht="30" customHeight="1">
      <c r="A32" s="29" t="s">
        <v>27</v>
      </c>
      <c r="B32" s="28">
        <f>Tableau248[[#Totals],[Coût total projet]]/B31+Développement!E14</f>
        <v>3686.7220946602938</v>
      </c>
    </row>
    <row r="33" spans="1:2" ht="30" customHeight="1">
      <c r="A33" s="30" t="s">
        <v>86</v>
      </c>
      <c r="B33" s="31">
        <f>B32*B31</f>
        <v>44240.665135923526</v>
      </c>
    </row>
    <row r="34" spans="1:2" ht="35" customHeight="1">
      <c r="A34" s="30"/>
      <c r="B34" s="31"/>
    </row>
    <row r="35" spans="1:2" ht="21">
      <c r="A35" s="34" t="s">
        <v>72</v>
      </c>
      <c r="B35" s="35">
        <f>Exploitation!E13</f>
        <v>864.71200253542816</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193A-C215-F747-B1DF-DA8851A085E1}">
  <dimension ref="A1:AA73"/>
  <sheetViews>
    <sheetView showGridLines="0" tabSelected="1" zoomScale="50" zoomScaleNormal="67" workbookViewId="0">
      <selection activeCell="C7" sqref="C7"/>
    </sheetView>
  </sheetViews>
  <sheetFormatPr baseColWidth="10" defaultRowHeight="16"/>
  <cols>
    <col min="1" max="1" width="39.1640625" style="36" customWidth="1"/>
    <col min="2" max="6" width="30.83203125" style="36" customWidth="1"/>
    <col min="7" max="11" width="30.83203125" customWidth="1"/>
    <col min="14" max="14" width="50.83203125" customWidth="1"/>
    <col min="15" max="15" width="58.1640625" customWidth="1"/>
  </cols>
  <sheetData>
    <row r="1" spans="1:27" ht="57" customHeight="1">
      <c r="A1" s="10"/>
      <c r="B1" s="38"/>
    </row>
    <row r="3" spans="1:27" ht="50" customHeight="1">
      <c r="A3" s="37"/>
      <c r="B3" s="86" t="s">
        <v>74</v>
      </c>
      <c r="C3" s="87" t="s">
        <v>101</v>
      </c>
      <c r="D3" s="94" t="s">
        <v>102</v>
      </c>
      <c r="E3" s="94"/>
      <c r="F3" s="94"/>
      <c r="G3" s="94"/>
      <c r="H3" s="94"/>
      <c r="I3" s="94"/>
      <c r="J3" s="94"/>
      <c r="K3" s="94"/>
      <c r="L3" s="76"/>
      <c r="N3" s="42"/>
      <c r="O3" s="42"/>
      <c r="P3" s="42"/>
      <c r="Q3" s="42"/>
      <c r="R3" s="42"/>
      <c r="S3" s="42"/>
      <c r="T3" s="42"/>
      <c r="U3" s="42"/>
      <c r="V3" s="42"/>
      <c r="W3" s="42"/>
      <c r="X3" s="42"/>
      <c r="Y3" s="42"/>
      <c r="Z3" s="42"/>
      <c r="AA3" s="42"/>
    </row>
    <row r="4" spans="1:27" s="40" customFormat="1" ht="50" customHeight="1">
      <c r="A4" s="85" t="s">
        <v>71</v>
      </c>
      <c r="B4" s="39">
        <v>1</v>
      </c>
      <c r="C4" s="39">
        <v>2</v>
      </c>
      <c r="D4" s="75">
        <v>3</v>
      </c>
      <c r="E4" s="75">
        <v>4</v>
      </c>
      <c r="F4" s="75">
        <v>5</v>
      </c>
      <c r="G4" s="75">
        <v>6</v>
      </c>
      <c r="H4" s="75">
        <v>7</v>
      </c>
      <c r="I4" s="75">
        <v>8</v>
      </c>
      <c r="J4" s="75">
        <v>9</v>
      </c>
      <c r="K4" s="75">
        <v>10</v>
      </c>
      <c r="L4"/>
      <c r="M4" s="42"/>
      <c r="N4" s="42"/>
      <c r="O4" s="42"/>
      <c r="P4" s="42"/>
      <c r="Q4" s="42"/>
      <c r="R4" s="42"/>
      <c r="S4" s="42"/>
      <c r="T4" s="42"/>
      <c r="U4" s="42"/>
      <c r="V4" s="42"/>
      <c r="W4" s="42"/>
      <c r="X4" s="42"/>
      <c r="Y4" s="42"/>
      <c r="Z4" s="42"/>
      <c r="AA4" s="42"/>
    </row>
    <row r="5" spans="1:27" ht="50" customHeight="1">
      <c r="A5" s="95" t="s">
        <v>75</v>
      </c>
      <c r="B5" s="80">
        <f>Développement!E15</f>
        <v>12169.23656449495</v>
      </c>
      <c r="C5" s="80">
        <v>0</v>
      </c>
      <c r="D5" s="80">
        <v>0</v>
      </c>
      <c r="E5" s="80">
        <v>0</v>
      </c>
      <c r="F5" s="80">
        <v>0</v>
      </c>
      <c r="G5" s="80">
        <v>0</v>
      </c>
      <c r="H5" s="80">
        <v>0</v>
      </c>
      <c r="I5" s="80">
        <v>0</v>
      </c>
      <c r="J5" s="80">
        <v>0</v>
      </c>
      <c r="K5" s="80">
        <v>0</v>
      </c>
      <c r="N5" s="34" t="s">
        <v>84</v>
      </c>
      <c r="O5" s="41">
        <v>0.1</v>
      </c>
    </row>
    <row r="6" spans="1:27" ht="50" customHeight="1">
      <c r="A6" s="95" t="s">
        <v>76</v>
      </c>
      <c r="B6" s="80">
        <v>0</v>
      </c>
      <c r="C6" s="80">
        <f>'Plan de charge'!B35*12</f>
        <v>10376.544030425139</v>
      </c>
      <c r="D6" s="80">
        <f>'Plan de charge'!B35*12</f>
        <v>10376.544030425139</v>
      </c>
      <c r="E6" s="80">
        <f>'Plan de charge'!B35*12</f>
        <v>10376.544030425139</v>
      </c>
      <c r="F6" s="80">
        <f>'Plan de charge'!B35*12</f>
        <v>10376.544030425139</v>
      </c>
      <c r="G6" s="80">
        <f>'Plan de charge'!B35*12</f>
        <v>10376.544030425139</v>
      </c>
      <c r="H6" s="80">
        <f>'Plan de charge'!B35*12</f>
        <v>10376.544030425139</v>
      </c>
      <c r="I6" s="80">
        <f>'Plan de charge'!B35*12</f>
        <v>10376.544030425139</v>
      </c>
      <c r="J6" s="80">
        <f>'Plan de charge'!B35*12</f>
        <v>10376.544030425139</v>
      </c>
      <c r="K6" s="80">
        <f>'Plan de charge'!B35*12</f>
        <v>10376.544030425139</v>
      </c>
      <c r="N6" s="34" t="s">
        <v>93</v>
      </c>
      <c r="O6" s="41">
        <v>0.05</v>
      </c>
    </row>
    <row r="7" spans="1:27" ht="50" customHeight="1">
      <c r="A7" s="95" t="s">
        <v>77</v>
      </c>
      <c r="B7" s="80">
        <f>'Plan de charge'!D13</f>
        <v>32071.428571428572</v>
      </c>
      <c r="C7" s="80">
        <f>Tableau248[[#Totals],[Cout estimé annuel]]</f>
        <v>59250</v>
      </c>
      <c r="D7" s="80">
        <f>Tableau248[[#Totals],[Cout estimé annuel]]</f>
        <v>59250</v>
      </c>
      <c r="E7" s="80">
        <f>Tableau248[[#Totals],[Cout estimé annuel]]</f>
        <v>59250</v>
      </c>
      <c r="F7" s="80">
        <f>Tableau248[[#Totals],[Cout estimé annuel]]</f>
        <v>59250</v>
      </c>
      <c r="G7" s="80">
        <f>Tableau248[[#Totals],[Cout estimé annuel]]</f>
        <v>59250</v>
      </c>
      <c r="H7" s="80">
        <f>Tableau248[[#Totals],[Cout estimé annuel]]</f>
        <v>59250</v>
      </c>
      <c r="I7" s="80">
        <f>Tableau248[[#Totals],[Cout estimé annuel]]</f>
        <v>59250</v>
      </c>
      <c r="J7" s="80">
        <f>Tableau248[[#Totals],[Cout estimé annuel]]</f>
        <v>59250</v>
      </c>
      <c r="K7" s="80">
        <f>Tableau248[[#Totals],[Cout estimé annuel]]</f>
        <v>59250</v>
      </c>
      <c r="N7" s="34" t="s">
        <v>82</v>
      </c>
      <c r="O7" s="41">
        <v>0.4</v>
      </c>
    </row>
    <row r="8" spans="1:27" ht="50" customHeight="1">
      <c r="A8" s="95" t="s">
        <v>6</v>
      </c>
      <c r="B8" s="80">
        <v>0</v>
      </c>
      <c r="C8" s="80">
        <v>50000</v>
      </c>
      <c r="D8" s="80">
        <f>C12*O6</f>
        <v>9522</v>
      </c>
      <c r="E8" s="80">
        <f>C12*O6</f>
        <v>9522</v>
      </c>
      <c r="F8" s="80">
        <f>E12*O6</f>
        <v>23011.421284800002</v>
      </c>
      <c r="G8" s="80">
        <f>F12*O6</f>
        <v>33310.689132080508</v>
      </c>
      <c r="H8" s="80">
        <f>G12*O6</f>
        <v>48219.620888304053</v>
      </c>
      <c r="I8" s="80">
        <f>H12*O6</f>
        <v>69801.373048524067</v>
      </c>
      <c r="J8" s="80">
        <f>I12*O6</f>
        <v>101042.51318659808</v>
      </c>
      <c r="K8" s="80">
        <f>J12*O6</f>
        <v>146266.31289855015</v>
      </c>
      <c r="N8" s="34" t="s">
        <v>83</v>
      </c>
      <c r="O8" s="43">
        <v>95.22</v>
      </c>
    </row>
    <row r="9" spans="1:27" ht="50" customHeight="1">
      <c r="A9" s="95" t="s">
        <v>100</v>
      </c>
      <c r="B9" s="80">
        <f>SUM(B5:B8)</f>
        <v>44240.665135923526</v>
      </c>
      <c r="C9" s="80">
        <f>SUM(C5:C8)</f>
        <v>119626.54403042514</v>
      </c>
      <c r="D9" s="80">
        <f>SUM(D5:D8)</f>
        <v>79148.544030425139</v>
      </c>
      <c r="E9" s="80">
        <f>SUM(E5:E8)</f>
        <v>79148.544030425139</v>
      </c>
      <c r="F9" s="80">
        <f>SUM(F5:F8)</f>
        <v>92637.965315225141</v>
      </c>
      <c r="G9" s="80">
        <f t="shared" ref="G9:H9" si="0">SUM(G5:G8)</f>
        <v>102937.23316250564</v>
      </c>
      <c r="H9" s="80">
        <f t="shared" si="0"/>
        <v>117846.16491872919</v>
      </c>
      <c r="I9" s="80">
        <f>SUM(I5:I8)</f>
        <v>139427.91707894922</v>
      </c>
      <c r="J9" s="80">
        <f t="shared" ref="J9:K9" si="1">SUM(J5:J8)</f>
        <v>170669.05721702322</v>
      </c>
      <c r="K9" s="80">
        <f t="shared" si="1"/>
        <v>215892.85692897529</v>
      </c>
      <c r="N9" s="46" t="s">
        <v>88</v>
      </c>
      <c r="O9" s="47">
        <v>0.3</v>
      </c>
    </row>
    <row r="10" spans="1:27" ht="50" customHeight="1">
      <c r="A10" s="95"/>
      <c r="B10" s="80"/>
      <c r="C10" s="80"/>
      <c r="D10" s="80"/>
      <c r="E10" s="80"/>
      <c r="F10" s="80"/>
      <c r="G10" s="80"/>
      <c r="H10" s="80"/>
      <c r="I10" s="80"/>
      <c r="J10" s="80"/>
      <c r="K10" s="80"/>
      <c r="N10" s="100" t="s">
        <v>115</v>
      </c>
      <c r="O10" s="77">
        <v>0.25</v>
      </c>
    </row>
    <row r="11" spans="1:27" ht="50" customHeight="1">
      <c r="A11" s="95" t="s">
        <v>105</v>
      </c>
      <c r="B11" s="81">
        <v>0</v>
      </c>
      <c r="C11" s="81">
        <v>5000</v>
      </c>
      <c r="D11" s="81">
        <f t="shared" ref="D11:K11" si="2">(C11*0.3)+(D8/10)+C11-(C11*0.1)</f>
        <v>6952.2</v>
      </c>
      <c r="E11" s="81">
        <f t="shared" si="2"/>
        <v>9294.84</v>
      </c>
      <c r="F11" s="81">
        <f t="shared" si="2"/>
        <v>13454.950128479999</v>
      </c>
      <c r="G11" s="81">
        <f t="shared" si="2"/>
        <v>19477.00906738405</v>
      </c>
      <c r="H11" s="81">
        <f t="shared" si="2"/>
        <v>28194.372969691263</v>
      </c>
      <c r="I11" s="81">
        <f t="shared" si="2"/>
        <v>40813.384868481924</v>
      </c>
      <c r="J11" s="81">
        <f t="shared" si="2"/>
        <v>59080.313160838115</v>
      </c>
      <c r="K11" s="81">
        <f t="shared" si="2"/>
        <v>85523.007082860757</v>
      </c>
      <c r="N11" s="46" t="s">
        <v>116</v>
      </c>
      <c r="O11" s="102" t="s">
        <v>117</v>
      </c>
    </row>
    <row r="12" spans="1:27" ht="50" customHeight="1">
      <c r="A12" s="95" t="s">
        <v>119</v>
      </c>
      <c r="B12" s="80">
        <v>0</v>
      </c>
      <c r="C12" s="80">
        <f>5000 * O8 * O7</f>
        <v>190440</v>
      </c>
      <c r="D12" s="80">
        <f>(D11*O8*O7*(1+O9))</f>
        <v>344234.01168000005</v>
      </c>
      <c r="E12" s="80">
        <f>(E11*O8*O7*(1+O9))</f>
        <v>460228.42569600005</v>
      </c>
      <c r="F12" s="80">
        <f>(F11*O8*O7*(1+O9))</f>
        <v>666213.78264161013</v>
      </c>
      <c r="G12" s="80">
        <f>(G11*O8*O7*(1+O9))</f>
        <v>964392.41776608094</v>
      </c>
      <c r="H12" s="80">
        <f>(H11*O8*O7*(1+O9))</f>
        <v>1396027.4609704812</v>
      </c>
      <c r="I12" s="80">
        <f>(I11*O8*O7*(1+O9))</f>
        <v>2020850.2637319616</v>
      </c>
      <c r="J12" s="80">
        <f>(J11*O8*O7*(1+O9))</f>
        <v>2925326.2579710032</v>
      </c>
      <c r="K12" s="80">
        <f>(K11*O8*O7*(1+O9))</f>
        <v>4234620.3819036009</v>
      </c>
      <c r="N12" s="46"/>
      <c r="O12" s="102"/>
    </row>
    <row r="13" spans="1:27" ht="50" customHeight="1">
      <c r="A13" s="96" t="s">
        <v>118</v>
      </c>
      <c r="B13" s="79">
        <f>B12 - SUM(B5:B7)</f>
        <v>-44240.665135923526</v>
      </c>
      <c r="C13" s="79">
        <f>C12 - C9</f>
        <v>70813.455969574861</v>
      </c>
      <c r="D13" s="79">
        <f>D12 - D9</f>
        <v>265085.46764957492</v>
      </c>
      <c r="E13" s="79">
        <f>E12 - E9</f>
        <v>381079.88166557491</v>
      </c>
      <c r="F13" s="79">
        <f>F12 -F9</f>
        <v>573575.81732638495</v>
      </c>
      <c r="G13" s="79">
        <f>G12 - G9</f>
        <v>861455.18460357527</v>
      </c>
      <c r="H13" s="79">
        <f>H12 - H9</f>
        <v>1278181.2960517521</v>
      </c>
      <c r="I13" s="79">
        <f>I12 - I9</f>
        <v>1881422.3466530123</v>
      </c>
      <c r="J13" s="79">
        <f>J12 - J9</f>
        <v>2754657.2007539799</v>
      </c>
      <c r="K13" s="79">
        <f>K12 - K9</f>
        <v>4018727.5249746256</v>
      </c>
      <c r="N13" s="101"/>
    </row>
    <row r="14" spans="1:27" ht="50" customHeight="1">
      <c r="A14" s="97" t="s">
        <v>109</v>
      </c>
      <c r="B14" s="82">
        <v>0</v>
      </c>
      <c r="C14" s="82">
        <f>C13*O10</f>
        <v>17703.363992393715</v>
      </c>
      <c r="D14" s="82">
        <f>D13*O10</f>
        <v>66271.366912393729</v>
      </c>
      <c r="E14" s="82">
        <f>E13*O10</f>
        <v>95269.970416393728</v>
      </c>
      <c r="F14" s="82">
        <f>F13*O10</f>
        <v>143393.95433159624</v>
      </c>
      <c r="G14" s="82">
        <f>G13*O10</f>
        <v>215363.79615089382</v>
      </c>
      <c r="H14" s="82">
        <f>H13*O10</f>
        <v>319545.32401293801</v>
      </c>
      <c r="I14" s="82">
        <f>I13*O10</f>
        <v>470355.58666325308</v>
      </c>
      <c r="J14" s="82">
        <f>J13*O10</f>
        <v>688664.30018849496</v>
      </c>
      <c r="K14" s="82">
        <f>K13*O10</f>
        <v>1004681.8812436564</v>
      </c>
    </row>
    <row r="15" spans="1:27" s="42" customFormat="1" ht="50" customHeight="1">
      <c r="A15" s="98" t="s">
        <v>110</v>
      </c>
      <c r="B15" s="83">
        <f>B13-B14</f>
        <v>-44240.665135923526</v>
      </c>
      <c r="C15" s="83">
        <f>C13-C14</f>
        <v>53110.091977181146</v>
      </c>
      <c r="D15" s="83">
        <f>D13-D14</f>
        <v>198814.1007371812</v>
      </c>
      <c r="E15" s="83">
        <f>E13-E14</f>
        <v>285809.9112491812</v>
      </c>
      <c r="F15" s="83">
        <f>F13-F14</f>
        <v>430181.86299478868</v>
      </c>
      <c r="G15" s="83">
        <f>G13-G14</f>
        <v>646091.38845268148</v>
      </c>
      <c r="H15" s="83">
        <f>H13-H14</f>
        <v>958635.9720388141</v>
      </c>
      <c r="I15" s="83">
        <f>I13-I14</f>
        <v>1411066.7599897592</v>
      </c>
      <c r="J15" s="83">
        <f>J13-J14</f>
        <v>2065992.900565485</v>
      </c>
      <c r="K15" s="83">
        <f>K13-K14</f>
        <v>3014045.6437309692</v>
      </c>
      <c r="N15" s="78"/>
    </row>
    <row r="16" spans="1:27" s="42" customFormat="1" ht="50" customHeight="1">
      <c r="A16" s="99" t="s">
        <v>111</v>
      </c>
      <c r="B16" s="84">
        <f>B15</f>
        <v>-44240.665135923526</v>
      </c>
      <c r="C16" s="84">
        <f>C15+B16</f>
        <v>8869.4268412576203</v>
      </c>
      <c r="D16" s="84">
        <f>C16+D15</f>
        <v>207683.52757843881</v>
      </c>
      <c r="E16" s="84">
        <f>D16+E15</f>
        <v>493493.43882762</v>
      </c>
      <c r="F16" s="84">
        <f>E16+F15</f>
        <v>923675.30182240868</v>
      </c>
      <c r="G16" s="84">
        <f>F16+G15</f>
        <v>1569766.6902750903</v>
      </c>
      <c r="H16" s="84">
        <f>G16+H15</f>
        <v>2528402.6623139046</v>
      </c>
      <c r="I16" s="84">
        <f>H16+I15</f>
        <v>3939469.4223036636</v>
      </c>
      <c r="J16" s="84">
        <f>I16+J15</f>
        <v>6005462.3228691481</v>
      </c>
      <c r="K16" s="84">
        <f>J16+K15</f>
        <v>9019507.9666001163</v>
      </c>
      <c r="N16" s="78"/>
    </row>
    <row r="20" spans="1:17">
      <c r="O20" s="44"/>
    </row>
    <row r="23" spans="1:17">
      <c r="N23" t="s">
        <v>104</v>
      </c>
    </row>
    <row r="31" spans="1:17" ht="120" customHeight="1">
      <c r="N31" s="45" t="s">
        <v>106</v>
      </c>
      <c r="O31" s="72" t="s">
        <v>107</v>
      </c>
    </row>
    <row r="32" spans="1:17" ht="120" customHeight="1">
      <c r="A32" s="44"/>
      <c r="B32" s="44"/>
      <c r="N32" s="45" t="s">
        <v>90</v>
      </c>
      <c r="O32" s="72" t="s">
        <v>91</v>
      </c>
      <c r="Q32" s="1"/>
    </row>
    <row r="33" spans="14:15" ht="283" customHeight="1">
      <c r="N33" s="45" t="s">
        <v>92</v>
      </c>
      <c r="O33" s="72" t="s">
        <v>108</v>
      </c>
    </row>
    <row r="57" spans="1:15" s="50" customFormat="1" ht="19">
      <c r="A57" s="36"/>
      <c r="B57" s="36"/>
      <c r="C57" s="36"/>
      <c r="D57" s="36"/>
      <c r="E57" s="36"/>
      <c r="F57" s="36"/>
      <c r="G57"/>
      <c r="H57"/>
      <c r="I57"/>
      <c r="J57"/>
      <c r="K57"/>
      <c r="N57"/>
      <c r="O57"/>
    </row>
    <row r="58" spans="1:15" s="50" customFormat="1" ht="19">
      <c r="A58" s="48" t="s">
        <v>79</v>
      </c>
      <c r="B58" s="49"/>
      <c r="C58" s="49"/>
      <c r="D58" s="49"/>
      <c r="E58" s="49"/>
      <c r="F58" s="49"/>
    </row>
    <row r="59" spans="1:15" s="50" customFormat="1" ht="19">
      <c r="B59" s="49"/>
      <c r="C59" s="49"/>
      <c r="D59" s="49"/>
      <c r="E59" s="49"/>
      <c r="F59" s="49"/>
    </row>
    <row r="60" spans="1:15" s="50" customFormat="1" ht="19">
      <c r="A60" s="51" t="s">
        <v>80</v>
      </c>
      <c r="B60" s="49"/>
      <c r="C60" s="49"/>
      <c r="D60" s="49"/>
      <c r="E60" s="49"/>
      <c r="F60" s="49"/>
    </row>
    <row r="61" spans="1:15" s="50" customFormat="1" ht="19">
      <c r="B61" s="49"/>
      <c r="C61" s="49"/>
      <c r="D61" s="49"/>
      <c r="E61" s="49"/>
      <c r="F61" s="49"/>
    </row>
    <row r="62" spans="1:15" s="50" customFormat="1" ht="19">
      <c r="A62" s="48" t="s">
        <v>94</v>
      </c>
      <c r="B62" s="49"/>
      <c r="C62" s="49"/>
      <c r="D62" s="49"/>
      <c r="E62" s="49"/>
      <c r="F62" s="49"/>
    </row>
    <row r="63" spans="1:15" s="50" customFormat="1" ht="19">
      <c r="B63" s="49"/>
      <c r="C63" s="49"/>
      <c r="D63" s="49"/>
      <c r="E63" s="49"/>
      <c r="F63" s="49"/>
    </row>
    <row r="64" spans="1:15" s="50" customFormat="1" ht="19">
      <c r="A64" s="51" t="s">
        <v>81</v>
      </c>
      <c r="B64" s="49"/>
      <c r="C64" s="49"/>
      <c r="D64" s="49"/>
      <c r="E64" s="49"/>
      <c r="F64" s="49"/>
    </row>
    <row r="65" spans="1:11" s="50" customFormat="1" ht="19">
      <c r="B65" s="49"/>
      <c r="C65" s="49"/>
      <c r="D65" s="49"/>
      <c r="E65" s="49"/>
      <c r="F65" s="49"/>
    </row>
    <row r="66" spans="1:11" s="50" customFormat="1" ht="19">
      <c r="A66" s="48" t="s">
        <v>95</v>
      </c>
      <c r="B66" s="49"/>
      <c r="C66" s="49"/>
      <c r="D66" s="49"/>
      <c r="E66" s="49"/>
      <c r="F66" s="49"/>
    </row>
    <row r="67" spans="1:11" s="50" customFormat="1" ht="19">
      <c r="B67" s="49"/>
      <c r="C67" s="49"/>
      <c r="D67" s="49"/>
      <c r="E67" s="49"/>
      <c r="F67" s="49"/>
    </row>
    <row r="68" spans="1:11" s="50" customFormat="1" ht="21" customHeight="1">
      <c r="A68" s="51" t="s">
        <v>78</v>
      </c>
      <c r="B68" s="49"/>
      <c r="C68" s="49"/>
      <c r="D68" s="49"/>
      <c r="E68" s="49"/>
      <c r="F68" s="49"/>
    </row>
    <row r="69" spans="1:11" s="50" customFormat="1" ht="19">
      <c r="B69" s="49"/>
      <c r="C69" s="49"/>
      <c r="D69" s="49"/>
      <c r="E69" s="49"/>
      <c r="F69" s="49"/>
    </row>
    <row r="70" spans="1:11" s="50" customFormat="1" ht="19">
      <c r="A70" s="48" t="s">
        <v>96</v>
      </c>
      <c r="B70" s="49"/>
      <c r="C70" s="49"/>
      <c r="D70" s="49"/>
      <c r="E70" s="49"/>
      <c r="F70" s="49"/>
    </row>
    <row r="71" spans="1:11" s="50" customFormat="1" ht="19">
      <c r="A71" s="48" t="s">
        <v>97</v>
      </c>
      <c r="B71" s="49"/>
      <c r="C71" s="49"/>
      <c r="D71" s="49"/>
      <c r="E71" s="49"/>
      <c r="F71" s="49"/>
    </row>
    <row r="72" spans="1:11" s="50" customFormat="1" ht="19">
      <c r="B72" s="49"/>
      <c r="C72" s="49"/>
      <c r="D72" s="49"/>
      <c r="E72" s="49"/>
      <c r="F72" s="49"/>
    </row>
    <row r="73" spans="1:11" ht="19">
      <c r="A73" s="48" t="s">
        <v>89</v>
      </c>
      <c r="B73" s="49"/>
      <c r="C73" s="49"/>
      <c r="D73" s="49"/>
      <c r="E73" s="49"/>
      <c r="F73" s="49"/>
      <c r="G73" s="50"/>
      <c r="H73" s="50"/>
      <c r="I73" s="50"/>
      <c r="J73" s="50"/>
      <c r="K73" s="50"/>
    </row>
  </sheetData>
  <mergeCells count="1">
    <mergeCell ref="D3:K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Développement</vt:lpstr>
      <vt:lpstr>Exploitation</vt:lpstr>
      <vt:lpstr>Plan de charge</vt:lpstr>
      <vt:lpstr>Estimation rentabilité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2023-05-09T13:08:51Z</dcterms:created>
  <dcterms:modified xsi:type="dcterms:W3CDTF">2023-06-02T16:40:51Z</dcterms:modified>
</cp:coreProperties>
</file>