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externalLinks/_rels/externalLink2.xml.rels" ContentType="application/vnd.openxmlformats-package.relationships+xml"/>
  <Override PartName="/xl/externalLinks/externalLink2.xml" ContentType="application/vnd.openxmlformats-officedocument.spreadsheetml.externalLink+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MASTER" sheetId="1" state="visible" r:id="rId2"/>
    <sheet name="Yields" sheetId="2" state="visible" r:id="rId3"/>
    <sheet name="Private seed shares" sheetId="3" state="visible" r:id="rId4"/>
    <sheet name="Private protection shares" sheetId="4" state="visible" r:id="rId5"/>
    <sheet name="Public R&amp;D" sheetId="5" state="visible" r:id="rId6"/>
    <sheet name="Public crop shares" sheetId="6" state="visible" r:id="rId7"/>
    <sheet name="New Huffman figures" sheetId="7" state="visible" r:id="rId8"/>
    <sheet name="Crops" sheetId="8" state="visible" r:id="rId9"/>
    <sheet name="Export" sheetId="9" state="visible" r:id="rId10"/>
  </sheets>
  <externalReferences>
    <externalReference r:id="rId11"/>
  </externalReferences>
  <definedNames>
    <definedName function="false" hidden="false" name="ValidCrops" vbProcedure="false">Crops!$A$1:$A$4</definedName>
    <definedName function="false" hidden="false" localSheetId="8" name="ValidCrops" vbProcedure="false">[2]Crops!$A$1:$A$4</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E9" authorId="0">
      <text>
        <r>
          <rPr>
            <b val="true"/>
            <sz val="10"/>
            <color rgb="FF000000"/>
            <rFont val="Calibri"/>
            <family val="2"/>
            <charset val="1"/>
          </rPr>
          <t xml:space="preserve">"The figures on private R&amp;D in AIB-786 were based on an earlier methodology. For ERR-130, we developed a new series for crop breeding R&amp;D that was based on a more comprehensive accounting of R&amp;D spending by seed firms. We have since updated that series through 2014. I’ve attached the updated series here. The updated series hasn’t been published yet, but feel free to use it in your research. It will be coming out in a journal called Global Food Security later this year.
The series on “plant breeding R&amp;D” in AIB-786 and “crop seed and biotech R&amp;D” in ERR-130 and the attached essentially measure the same thing. For the years up to 1989, both estimates relied on occasional, independent surveys  of the U.S. seed industry and then interpolated estimates for unobserved years in between the surveys. AIB-786 interpolated using the R&amp;D spending growth rate of the leading US plant breeding firm (Pioneer Seed, now part of Dupont), which published its R&amp;D spending data. For ERR-130 and our recent update, we now assume a constant growth rate between observed years to fill in the spending trend. We are also more selective in the choice of survey estimates for these early years, using only those we judge to be the most comprehensive of the industry. For years since 1989, we now have more complete data on annual R&amp;D spending by most of the leading firms in the industry (Dupont, Monsanto, Dow, etc.) and make an allowance for other , smaller firms based on their market share."
Keith Fuglie, Resource and Rural Economics Division, Economic Research Service, U.S. Department of Agriculture. Private communication with Michael Webb, July 25, 2016.</t>
        </r>
      </text>
    </comment>
    <comment ref="F9" authorId="0">
      <text>
        <r>
          <rPr>
            <b val="true"/>
            <sz val="10"/>
            <color rgb="FF000000"/>
            <rFont val="Calibri"/>
            <family val="2"/>
            <charset val="1"/>
          </rPr>
          <t xml:space="preserve">"The figures on private R&amp;D in AIB-786 were based on an earlier methodology. For ERR-130, we developed a new series for crop breeding R&amp;D that was based on a more comprehensive accounting of R&amp;D spending by seed firms. We have since updated that series through 2014. I’ve attached the updated series here. The updated series hasn’t been published yet, but feel free to use it in your research. It will be coming out in a journal called Global Food Security later this year.
The series on “plant breeding R&amp;D” in AIB-786 and “crop seed and biotech R&amp;D” in ERR-130 and the attached essentially measure the same thing. For the years up to 1989, both estimates relied on occasional, independent surveys  of the U.S. seed industry and then interpolated estimates for unobserved years in between the surveys. AIB-786 interpolated using the R&amp;D spending growth rate of the leading US plant breeding firm (Pioneer Seed, now part of Dupont), which published its R&amp;D spending data. For ERR-130 and our recent update, we now assume a constant growth rate between observed years to fill in the spending trend. We are also more selective in the choice of survey estimates for these early years, using only those we judge to be the most comprehensive of the industry. For years since 1989, we now have more complete data on annual R&amp;D spending by most of the leading firms in the industry (Dupont, Monsanto, Dow, etc.) and make an allowance for other , smaller firms based on their market share."
Keith Fuglie, Resource and Rural Economics Division, Economic Research Service, U.S. Department of Agriculture. Private communication with Michael Webb, July 25, 2016.</t>
        </r>
      </text>
    </comment>
    <comment ref="K27" authorId="0">
      <text>
        <r>
          <rPr>
            <b val="true"/>
            <sz val="10"/>
            <color rgb="FF000000"/>
            <rFont val="Calibri"/>
            <family val="2"/>
            <charset val="1"/>
          </rPr>
          <t xml:space="preserve">May want to interpolate for public (e.g.) 1975 and 1989.</t>
        </r>
      </text>
    </comment>
  </commentList>
</comments>
</file>

<file path=xl/sharedStrings.xml><?xml version="1.0" encoding="utf-8"?>
<sst xmlns="http://schemas.openxmlformats.org/spreadsheetml/2006/main" count="770" uniqueCount="206">
  <si>
    <t xml:space="preserve">Seed R&amp;D and crop yields, 1960-2015</t>
  </si>
  <si>
    <t xml:space="preserve">Select crop:</t>
  </si>
  <si>
    <t xml:space="preserve">Corn</t>
  </si>
  <si>
    <t xml:space="preserve">Ideas</t>
  </si>
  <si>
    <t xml:space="preserve">Total R&amp;D (seed efficiency only)</t>
  </si>
  <si>
    <t xml:space="preserve">Total R&amp;D (seed efficiency and crop protection)</t>
  </si>
  <si>
    <t xml:space="preserve">Private crop seed and biotech R&amp;D</t>
  </si>
  <si>
    <t xml:space="preserve">Private crop protection chemicals</t>
  </si>
  <si>
    <t xml:space="preserve">Share of private *seed* R&amp;D on selected crop</t>
  </si>
  <si>
    <t xml:space="preserve">Share of private *protection* R&amp;D on selected crop</t>
  </si>
  <si>
    <t xml:space="preserve">Private R&amp;D on selected crop</t>
  </si>
  <si>
    <t xml:space="preserve">Public R&amp;D on selected crop</t>
  </si>
  <si>
    <t xml:space="preserve">Share of public R&amp;D for crop</t>
  </si>
  <si>
    <t xml:space="preserve">Warnings</t>
  </si>
  <si>
    <t xml:space="preserve">See warnings on sheet for cotton/wheat 1960-79.</t>
  </si>
  <si>
    <t xml:space="preserve">Averages of private *seed* shares, public protection shares, private protection sales shares.</t>
  </si>
  <si>
    <t xml:space="preserve">See warnings on sheet for 1969 and 1984.</t>
  </si>
  <si>
    <t xml:space="preserve">Comment</t>
  </si>
  <si>
    <t xml:space="preserve">Realized average yields</t>
  </si>
  <si>
    <t xml:space="preserve">Seed efficiency only</t>
  </si>
  <si>
    <r>
      <rPr>
        <sz val="12"/>
        <color rgb="FF000000"/>
        <rFont val="Calibri"/>
        <family val="2"/>
        <charset val="1"/>
      </rPr>
      <t xml:space="preserve">Seed efficiency </t>
    </r>
    <r>
      <rPr>
        <b val="true"/>
        <sz val="12"/>
        <color rgb="FF000000"/>
        <rFont val="Calibri"/>
        <family val="2"/>
        <charset val="1"/>
      </rPr>
      <t xml:space="preserve">and</t>
    </r>
    <r>
      <rPr>
        <sz val="12"/>
        <color rgb="FF000000"/>
        <rFont val="Calibri"/>
        <family val="2"/>
        <charset val="1"/>
      </rPr>
      <t xml:space="preserve"> crop protection</t>
    </r>
  </si>
  <si>
    <t xml:space="preserve">None</t>
  </si>
  <si>
    <t xml:space="preserve">All research, not just seed efficiency</t>
  </si>
  <si>
    <t xml:space="preserve">Biological efficiency only</t>
  </si>
  <si>
    <r>
      <rPr>
        <sz val="12"/>
        <color rgb="FF000000"/>
        <rFont val="Calibri"/>
        <family val="2"/>
        <charset val="1"/>
      </rPr>
      <t xml:space="preserve">Biological efficiency </t>
    </r>
    <r>
      <rPr>
        <b val="true"/>
        <sz val="12"/>
        <color rgb="FF000000"/>
        <rFont val="Calibri"/>
        <family val="2"/>
        <charset val="1"/>
      </rPr>
      <t xml:space="preserve">and</t>
    </r>
    <r>
      <rPr>
        <sz val="12"/>
        <color rgb="FF000000"/>
        <rFont val="Calibri"/>
        <family val="2"/>
        <charset val="1"/>
      </rPr>
      <t xml:space="preserve"> crop protection-maintenance</t>
    </r>
  </si>
  <si>
    <t xml:space="preserve">Units</t>
  </si>
  <si>
    <t xml:space="preserve">Bushels/acre (except cotton: lb/acre)</t>
  </si>
  <si>
    <t xml:space="preserve">$m nominal</t>
  </si>
  <si>
    <t xml:space="preserve">Percentage</t>
  </si>
  <si>
    <t xml:space="preserve">Calculation</t>
  </si>
  <si>
    <t xml:space="preserve">Original series</t>
  </si>
  <si>
    <t xml:space="preserve">Sum of public + private</t>
  </si>
  <si>
    <t xml:space="preserve">Original series. Black text is linear interpolation.</t>
  </si>
  <si>
    <t xml:space="preserve">Imputed series. Black text is linear interpolation.</t>
  </si>
  <si>
    <t xml:space="preserve">Seed R&amp;D for all crops * (share on this crop)</t>
  </si>
  <si>
    <t xml:space="preserve">Prev. col. + protection R&amp;D for all crops * (share on this crop)</t>
  </si>
  <si>
    <t xml:space="preserve">Crop R&amp;D * (share on efficiency)</t>
  </si>
  <si>
    <t xml:space="preserve">Original series (see New Huffman figures)</t>
  </si>
  <si>
    <t xml:space="preserve">Source</t>
  </si>
  <si>
    <t xml:space="preserve">USDA. See Yields sheet for links.</t>
  </si>
  <si>
    <t xml:space="preserve">N/A</t>
  </si>
  <si>
    <t xml:space="preserve">Fuglie (unpublished, private communication: see comment).</t>
  </si>
  <si>
    <t xml:space="preserve">See linked cells. Perrin (1960-79), Fernandez-Cornejo (1984-94), and Traxler (2001).</t>
  </si>
  <si>
    <t xml:space="preserve">See linked cells. Combination of private R&amp;D shares, public R&amp;D shares, sales figures.</t>
  </si>
  <si>
    <t xml:space="preserve">See linked cells. Huffman &amp; Evenson (2006), CRIS.</t>
  </si>
  <si>
    <t xml:space="preserve">Huffman &amp; Evenson (2006)</t>
  </si>
  <si>
    <t xml:space="preserve">Huffman (unpublished, private communication)</t>
  </si>
  <si>
    <t xml:space="preserve">Year</t>
  </si>
  <si>
    <t xml:space="preserve">Yields</t>
  </si>
  <si>
    <t xml:space="preserve">Soybeans</t>
  </si>
  <si>
    <t xml:space="preserve">Cotton</t>
  </si>
  <si>
    <t xml:space="preserve">Wheat</t>
  </si>
  <si>
    <t xml:space="preserve">Get data</t>
  </si>
  <si>
    <t xml:space="preserve">Private seed shares</t>
  </si>
  <si>
    <t xml:space="preserve">Fernandez-Cornejo</t>
  </si>
  <si>
    <t xml:space="preserve">Perrin et al., 1983</t>
  </si>
  <si>
    <t xml:space="preserve">Provded by Fuglie. Percentages calculated by Fuglie.</t>
  </si>
  <si>
    <t xml:space="preserve">Table 31</t>
  </si>
  <si>
    <t xml:space="preserve">Share of SY in private plant breeding R&amp;D</t>
  </si>
  <si>
    <t xml:space="preserve">Table 3</t>
  </si>
  <si>
    <t xml:space="preserve">Crop breeding research expenditures reported by 59 firms</t>
  </si>
  <si>
    <r>
      <rPr>
        <i val="true"/>
        <sz val="12"/>
        <color rgb="FF000000"/>
        <rFont val="Calibri"/>
        <family val="2"/>
        <charset val="1"/>
      </rPr>
      <t xml:space="preserve">% of total research expenditure</t>
    </r>
    <r>
      <rPr>
        <sz val="12"/>
        <color rgb="FF000000"/>
        <rFont val="Calibri"/>
        <family val="2"/>
        <charset val="1"/>
      </rPr>
      <t xml:space="preserve"> (calculated by Fuglie)</t>
    </r>
  </si>
  <si>
    <t xml:space="preserve">Hybrid corn</t>
  </si>
  <si>
    <t xml:space="preserve">Hybrid sorghum</t>
  </si>
  <si>
    <t xml:space="preserve">Others</t>
  </si>
  <si>
    <t xml:space="preserve">Cereals</t>
  </si>
  <si>
    <t xml:space="preserve">Forage and turf grasses</t>
  </si>
  <si>
    <t xml:space="preserve">Vegetables</t>
  </si>
  <si>
    <t xml:space="preserve">Huffman Evenson</t>
  </si>
  <si>
    <t xml:space="preserve">Other crops</t>
  </si>
  <si>
    <t xml:space="preserve">Table 4.4</t>
  </si>
  <si>
    <t xml:space="preserve">Absolute SYs in industry crop breeding R&amp;D</t>
  </si>
  <si>
    <t xml:space="preserve">Perrin, Richard K., K. A. Kunnings, and L.A. Ihnen. "Some effects of the US Plant Variety Protection Act of 1970." North Carolina State University. Dept. of Economics and Business. Economics research report (USA). no. 46. (1983).</t>
  </si>
  <si>
    <t xml:space="preserve">Share</t>
  </si>
  <si>
    <t xml:space="preserve">Corn-Sorghum</t>
  </si>
  <si>
    <t xml:space="preserve">Private seed shares derived series (combination of two tables above)</t>
  </si>
  <si>
    <t xml:space="preserve">Wheat-Rye</t>
  </si>
  <si>
    <t xml:space="preserve">Warning</t>
  </si>
  <si>
    <t xml:space="preserve">Using 'Cereals' for wheat, 1960-79, multiplied by wheat as a share of cereals in 1961 (HE Table 4.4). Cereals also includes barley, oats, etc. (And corn and sorghum, but these are listed separately in the source table.)</t>
  </si>
  <si>
    <t xml:space="preserve">Other Cereals</t>
  </si>
  <si>
    <t xml:space="preserve">Wheat as share of cereals:</t>
  </si>
  <si>
    <t xml:space="preserve">Using 'Other crops' for cotton, 1960-79. If we multiply the 'Other crops' figures by cotton as a share of other crops in 1961 (HE Table 4.4), as done in column T, we get implausibly small figures. This motivates our choice of the more conservative (larger) figures.</t>
  </si>
  <si>
    <t xml:space="preserve">Cotton &amp; Other Fibers</t>
  </si>
  <si>
    <t xml:space="preserve">Alternative cotton measure</t>
  </si>
  <si>
    <t xml:space="preserve">Forage, Pasture and Range</t>
  </si>
  <si>
    <t xml:space="preserve">Other crops x (cotton's share of other crops)</t>
  </si>
  <si>
    <t xml:space="preserve">Tobacco</t>
  </si>
  <si>
    <t xml:space="preserve">Cotton as share of other crops:</t>
  </si>
  <si>
    <t xml:space="preserve">Sugar</t>
  </si>
  <si>
    <t xml:space="preserve">Other Oilseeds</t>
  </si>
  <si>
    <t xml:space="preserve">Potatoes</t>
  </si>
  <si>
    <t xml:space="preserve">Citrus Fruits</t>
  </si>
  <si>
    <t xml:space="preserve">Other Fruits</t>
  </si>
  <si>
    <t xml:space="preserve">Tree Nuts</t>
  </si>
  <si>
    <t xml:space="preserve">Ornamentals</t>
  </si>
  <si>
    <t xml:space="preserve">Total</t>
  </si>
  <si>
    <t xml:space="preserve">In the private sector an SMY is equivalent to $25k in current dollars or $89,670 in 1984 prices.</t>
  </si>
  <si>
    <t xml:space="preserve">Fuglie 2011, p. 39</t>
  </si>
  <si>
    <t xml:space="preserve">It is not easy to estimate how much research is devoted to any particular crop. Companies breeding multiple crops may share resources, such as biotechnology-enabling technologies, across crops or may have other expenses, such as the costs of regulatory compliance, that are diffi cult to allocate. Nonetheless, it is clear that the largest proportion of seed/biotech research is directed toward corn (maize).</t>
  </si>
  <si>
    <r>
      <rPr>
        <sz val="12"/>
        <color rgb="FF000000"/>
        <rFont val="Calibri"/>
        <family val="2"/>
        <charset val="1"/>
      </rPr>
      <t xml:space="preserve">Expert opinion also suggests that </t>
    </r>
    <r>
      <rPr>
        <b val="true"/>
        <sz val="12"/>
        <color rgb="FF000000"/>
        <rFont val="Calibri"/>
        <family val="2"/>
        <charset val="1"/>
      </rPr>
      <t xml:space="preserve">corn</t>
    </r>
    <r>
      <rPr>
        <sz val="12"/>
        <color rgb="FF000000"/>
        <rFont val="Calibri"/>
        <family val="2"/>
        <charset val="1"/>
      </rPr>
      <t xml:space="preserve"> accounts for </t>
    </r>
    <r>
      <rPr>
        <b val="true"/>
        <sz val="12"/>
        <color rgb="FF000000"/>
        <rFont val="Calibri"/>
        <family val="2"/>
        <charset val="1"/>
      </rPr>
      <t xml:space="preserve">about </t>
    </r>
    <r>
      <rPr>
        <b val="true"/>
        <u val="single"/>
        <sz val="12"/>
        <color rgb="FF000000"/>
        <rFont val="Calibri (Body)"/>
        <family val="0"/>
        <charset val="1"/>
      </rPr>
      <t xml:space="preserve">45</t>
    </r>
    <r>
      <rPr>
        <b val="true"/>
        <sz val="12"/>
        <color rgb="FF000000"/>
        <rFont val="Calibri"/>
        <family val="2"/>
        <charset val="1"/>
      </rPr>
      <t xml:space="preserve"> percent</t>
    </r>
    <r>
      <rPr>
        <sz val="12"/>
        <color rgb="FF000000"/>
        <rFont val="Calibri"/>
        <family val="2"/>
        <charset val="1"/>
      </rPr>
      <t xml:space="preserve"> of all private-sector seed-related research (Cavalieri, 2009 “personal communication”).</t>
    </r>
  </si>
  <si>
    <t xml:space="preserve">Traxler et al. 2005</t>
  </si>
  <si>
    <t xml:space="preserve">https://nifa.usda.gov/resource/national-plant-breeding-study</t>
  </si>
  <si>
    <t xml:space="preserve">Greg Traxler, Albert K. A. Acquaye, Kenneth Frey, and Ann Marie Thro. Nov. 2005. Public Sector Plant Breeding Resources in the US: Study Results for the year 2001.
</t>
  </si>
  <si>
    <t xml:space="preserve">Excel files provided in private communication</t>
  </si>
  <si>
    <t xml:space="preserve">SYs</t>
  </si>
  <si>
    <t xml:space="preserve">Share of total</t>
  </si>
  <si>
    <t xml:space="preserve">Private crop protection shares</t>
  </si>
  <si>
    <t xml:space="preserve">No data were available on share of private crop protection R&amp;D expenditure devoted to each crop. As such, we took 3 related measures (crop protection sales shares [left top table], public crop protection shares [center top table], and private seed efficiency shares [right top table]) and took the average. Final values are in the light blue table, middle right.</t>
  </si>
  <si>
    <t xml:space="preserve">University of York, The Essential Chemical Industry (2013)</t>
  </si>
  <si>
    <t xml:space="preserve">Huffman and Evenson (2006), derived</t>
  </si>
  <si>
    <t xml:space="preserve">Private seed efficiency shares (selected years from previous tab, linearly interpolated)</t>
  </si>
  <si>
    <r>
      <rPr>
        <sz val="12"/>
        <color rgb="FF000000"/>
        <rFont val="Calibri"/>
        <family val="2"/>
        <charset val="1"/>
      </rPr>
      <t xml:space="preserve">Crop protection </t>
    </r>
    <r>
      <rPr>
        <b val="true"/>
        <i val="true"/>
        <sz val="12"/>
        <color rgb="FF000000"/>
        <rFont val="Calibri"/>
        <family val="2"/>
        <charset val="1"/>
      </rPr>
      <t xml:space="preserve">sales</t>
    </r>
  </si>
  <si>
    <r>
      <rPr>
        <b val="true"/>
        <i val="true"/>
        <sz val="12"/>
        <color rgb="FF000000"/>
        <rFont val="Calibri"/>
        <family val="2"/>
        <charset val="1"/>
      </rPr>
      <t xml:space="preserve">Public</t>
    </r>
    <r>
      <rPr>
        <sz val="12"/>
        <color rgb="FF000000"/>
        <rFont val="Calibri"/>
        <family val="2"/>
        <charset val="1"/>
      </rPr>
      <t xml:space="preserve"> crop protection shares</t>
    </r>
  </si>
  <si>
    <r>
      <rPr>
        <sz val="12"/>
        <color rgb="FF000000"/>
        <rFont val="Calibri (Body)"/>
        <family val="0"/>
        <charset val="1"/>
      </rPr>
      <t xml:space="preserve">Private </t>
    </r>
    <r>
      <rPr>
        <b val="true"/>
        <i val="true"/>
        <sz val="12"/>
        <color rgb="FF000000"/>
        <rFont val="Calibri (Body)"/>
        <family val="0"/>
        <charset val="1"/>
      </rPr>
      <t xml:space="preserve">seed efficiency</t>
    </r>
    <r>
      <rPr>
        <sz val="12"/>
        <color rgb="FF000000"/>
        <rFont val="Calibri (Body)"/>
        <family val="0"/>
        <charset val="1"/>
      </rPr>
      <t xml:space="preserve"> shares</t>
    </r>
  </si>
  <si>
    <t xml:space="preserve">Share of crop protection research spent on each crop</t>
  </si>
  <si>
    <t xml:space="preserve">Figure 2</t>
  </si>
  <si>
    <t xml:space="preserve">Sales value of crop protection chemicals worldwide by type of crop (2008)</t>
  </si>
  <si>
    <t xml:space="preserve">Other cereals (incl. wheat)</t>
  </si>
  <si>
    <t xml:space="preserve">Soybean</t>
  </si>
  <si>
    <t xml:space="preserve">Rice</t>
  </si>
  <si>
    <t xml:space="preserve">Fruit and vegetables</t>
  </si>
  <si>
    <t xml:space="preserve">Averaging the above three tables:</t>
  </si>
  <si>
    <t xml:space="preserve">Final values</t>
  </si>
  <si>
    <t xml:space="preserve">Each year, two values are averaged</t>
  </si>
  <si>
    <t xml:space="preserve">from the tables with that year.</t>
  </si>
  <si>
    <t xml:space="preserve">Supporting Huffman and Evenson (2006) tables used in calculations for middle table, above</t>
  </si>
  <si>
    <t xml:space="preserve">Table 4.9    Distribution of agricultural research expenditures by major research foci for federal and state institutions, 1969,1984, and 1997</t>
  </si>
  <si>
    <t xml:space="preserve">Research</t>
  </si>
  <si>
    <t xml:space="preserve">Biological</t>
  </si>
  <si>
    <t xml:space="preserve">Protection-</t>
  </si>
  <si>
    <t xml:space="preserve">Post-</t>
  </si>
  <si>
    <t xml:space="preserve">Commodities</t>
  </si>
  <si>
    <t xml:space="preserve">Efficiency</t>
  </si>
  <si>
    <t xml:space="preserve">Mechanization</t>
  </si>
  <si>
    <t xml:space="preserve">Management</t>
  </si>
  <si>
    <t xml:space="preserve">Maintenance</t>
  </si>
  <si>
    <t xml:space="preserve">Harvest</t>
  </si>
  <si>
    <t xml:space="preserve">Crops:</t>
  </si>
  <si>
    <t xml:space="preserve">(percentage of total expenditures on a commodity)</t>
  </si>
  <si>
    <t xml:space="preserve">Other Oil Seeds</t>
  </si>
  <si>
    <t xml:space="preserve">Forage</t>
  </si>
  <si>
    <t xml:space="preserve">Tobacco-Sugar</t>
  </si>
  <si>
    <t xml:space="preserve">Fruit-Vegetables</t>
  </si>
  <si>
    <t xml:space="preserve">New &amp; Misc. Crops</t>
  </si>
  <si>
    <t xml:space="preserve">Source: U.S. Department of Agriculture, Current Research Information System.</t>
  </si>
  <si>
    <t xml:space="preserve">Major research foci were defined by grouping CRIS Research Program Areas (RPAs). Proportions do not sum to 1.0 because a residual category is excluded.</t>
  </si>
  <si>
    <t xml:space="preserve">Table 4.5    Absolute and relative support for agricultural research, by commodity for federal and state institutions, 1969, 1984 and 1997 (thousands of 1984 dollars)</t>
  </si>
  <si>
    <t xml:space="preserve">Percent</t>
  </si>
  <si>
    <t xml:space="preserve">Other cereal</t>
  </si>
  <si>
    <t xml:space="preserve">Other oil seed</t>
  </si>
  <si>
    <t xml:space="preserve">Tobacco-sugar</t>
  </si>
  <si>
    <t xml:space="preserve">Potato</t>
  </si>
  <si>
    <t xml:space="preserve">Fruit-vegetable</t>
  </si>
  <si>
    <t xml:space="preserve">New &amp; misc. crops</t>
  </si>
  <si>
    <t xml:space="preserve">Subtotal, (crops)</t>
  </si>
  <si>
    <t xml:space="preserve">(Derived)</t>
  </si>
  <si>
    <t xml:space="preserve">Absolute expenditure</t>
  </si>
  <si>
    <t xml:space="preserve">Protection-Maintenance</t>
  </si>
  <si>
    <t xml:space="preserve">Public R&amp;D</t>
  </si>
  <si>
    <t xml:space="preserve">H&amp;E price index</t>
  </si>
  <si>
    <t xml:space="preserve">Absolute public research on commodity (thousands of 1984 dollars)</t>
  </si>
  <si>
    <t xml:space="preserve">Absolute public research on commodity, from CRIS (nominal, thousands)</t>
  </si>
  <si>
    <t xml:space="preserve">1984=1.0</t>
  </si>
  <si>
    <t xml:space="preserve">WARNING: when use H&amp;E deflator to get back nominal 1997 figures, very different from CRIS. So calculate conversion factor for H&amp;E figures to make consistent with CRIS. See rows 44/45 and formulae for 1969/1984 final numbers.</t>
  </si>
  <si>
    <t xml:space="preserve">Absolute public research on commodity ($m nominal)</t>
  </si>
  <si>
    <t xml:space="preserve">Original series from H&amp;E Table 4.5</t>
  </si>
  <si>
    <t xml:space="preserve">Original series from CRIS</t>
  </si>
  <si>
    <t xml:space="preserve">Table 4.1, p. 115</t>
  </si>
  <si>
    <t xml:space="preserve">Deflated H&amp;E (1969, 1984) and original CRIS</t>
  </si>
  <si>
    <t xml:space="preserve">Note: the figures in the right half of this row have been 'undeflated' to restore nominal values, then multiplied by a splicing factor. See text below.</t>
  </si>
  <si>
    <t xml:space="preserve">Explanation of series splicing:</t>
  </si>
  <si>
    <t xml:space="preserve">There are two raw series for public R&amp;D. One is the CRIS series, covering 1993-2015; the other is from Huffman and Evenson, covering 1969, 1984, and 1997. The year 1997 is thus an overlapping year. CRIS figures are nominal; H&amp;E figures have been deflated by a price index (provided here in column J). When we use this index to un-deflate the H&amp;E series to get back nominal figures, the amounts for the overlapping year (1997) are very different to the CRIS figures. That said, the CRIS figures are very close to 60% of the un-deflated H&amp;E figures for all four crops, suggesting that the error is simply with the price index. As such, we use the CRIS numbers for all the years available (1993-2015), and multiply the un-deflated H&amp;E figures for the years 1969 and 1984 by this 'splicing factor' to get a consistent series. The cells used for these calculations are immediately below. </t>
  </si>
  <si>
    <t xml:space="preserve">Deflated H&amp;E:</t>
  </si>
  <si>
    <t xml:space="preserve">Splicing factor:</t>
  </si>
  <si>
    <t xml:space="preserve">Public crop shares</t>
  </si>
  <si>
    <t xml:space="preserve">Huffman and Evenson (2006)</t>
  </si>
  <si>
    <t xml:space="preserve">% on biological efficiency</t>
  </si>
  <si>
    <t xml:space="preserve">% on protection-maintenance</t>
  </si>
  <si>
    <t xml:space="preserve">Table 4.9</t>
  </si>
  <si>
    <t xml:space="preserve">Distribution of commodity research expenditures: % on biological efficiency</t>
  </si>
  <si>
    <t xml:space="preserve">Commodity</t>
  </si>
  <si>
    <t xml:space="preserve">Public agricultural research can be classified into several major foci, as reflected in the CRIS Research Problem Areas (RPAs). We have defined five major research foci by aggregating RPAs into relatively homogeneous groups and constructing research expenditures for each of them. They are biological efficiency, mechanization, protection-maintenance, management, and post-harvest (see Huffman and Evenson 1994, Appendix Table 16, for details). There is a sixth residual category for RPAs that did not seem to fit into our classification scheme.</t>
  </si>
  <si>
    <t xml:space="preserve">(pp. 128-9)</t>
  </si>
  <si>
    <t xml:space="preserve">Table 4.5</t>
  </si>
  <si>
    <t xml:space="preserve">Absolute research support by commodity for federal and state institutions (thousands of 1984 dollars)</t>
  </si>
  <si>
    <t xml:space="preserve">Take smaller numbers to bias our results away from what we want…</t>
  </si>
  <si>
    <t xml:space="preserve">Multiplying…</t>
  </si>
  <si>
    <t xml:space="preserve">These are somewhat smaller than the research expenditures on breeding, reported in Table 28 in Fernandez-Cornejo:</t>
  </si>
  <si>
    <t xml:space="preserve">Table 28</t>
  </si>
  <si>
    <t xml:space="preserve">Research expenditures on crop breeding, public sector (million 1984 dollars)</t>
  </si>
  <si>
    <t xml:space="preserve">Source: Huffman and Evenson (1993)</t>
  </si>
  <si>
    <t xml:space="preserve">Email: cris@nifa.usda.gov; also Huffman and Evenson</t>
  </si>
  <si>
    <t xml:space="preserve">I've tried taking your % on biological efficiency, Tables 4.9 and 4.5, in 2ed, but get quite different numbers to F-C Table 28. ???</t>
  </si>
  <si>
    <t xml:space="preserve">Public R&amp;D - new Huffman figures</t>
  </si>
  <si>
    <t xml:space="preserve">Absolute productivity-directed public research on commodity ($m nominal)</t>
  </si>
  <si>
    <t xml:space="preserve">Huffman (private communication)</t>
  </si>
  <si>
    <r>
      <rPr>
        <b val="true"/>
        <sz val="16"/>
        <color rgb="FF000000"/>
        <rFont val="Calibri"/>
        <family val="2"/>
        <charset val="1"/>
      </rPr>
      <t xml:space="preserve">WARNING: THIS SHEET DOES </t>
    </r>
    <r>
      <rPr>
        <b val="true"/>
        <u val="single"/>
        <sz val="16"/>
        <color rgb="FF000000"/>
        <rFont val="Calibri (Body)"/>
        <family val="0"/>
        <charset val="1"/>
      </rPr>
      <t xml:space="preserve">NOT</t>
    </r>
    <r>
      <rPr>
        <b val="true"/>
        <sz val="16"/>
        <color rgb="FF000000"/>
        <rFont val="Calibri"/>
        <family val="2"/>
        <charset val="1"/>
      </rPr>
      <t xml:space="preserve"> DYNAMICALLY UPDATE</t>
    </r>
  </si>
  <si>
    <t xml:space="preserve">Total R&amp;D (seed efficienty only)</t>
  </si>
  <si>
    <t xml:space="preserve">Seed efficiency and crop protection</t>
  </si>
  <si>
    <t xml:space="preserve">CORN</t>
  </si>
  <si>
    <t xml:space="preserve">bushels/acre</t>
  </si>
  <si>
    <t xml:space="preserve">SOYBEAN</t>
  </si>
  <si>
    <t xml:space="preserve">COTTON</t>
  </si>
  <si>
    <t xml:space="preserve">lb/acre</t>
  </si>
  <si>
    <t xml:space="preserve">WHEAT</t>
  </si>
  <si>
    <t xml:space="preserve">NaN</t>
  </si>
</sst>
</file>

<file path=xl/styles.xml><?xml version="1.0" encoding="utf-8"?>
<styleSheet xmlns="http://schemas.openxmlformats.org/spreadsheetml/2006/main">
  <numFmts count="8">
    <numFmt numFmtId="164" formatCode="General"/>
    <numFmt numFmtId="165" formatCode="0.00"/>
    <numFmt numFmtId="166" formatCode="0.0"/>
    <numFmt numFmtId="167" formatCode="0.000"/>
    <numFmt numFmtId="168" formatCode="#,##0"/>
    <numFmt numFmtId="169" formatCode="#,##0_);\(#,##0\)"/>
    <numFmt numFmtId="170" formatCode="0.0_);\(0.0\)"/>
    <numFmt numFmtId="171" formatCode="#,##0.00"/>
  </numFmts>
  <fonts count="26">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20"/>
      <color rgb="FF3F3F76"/>
      <name val="Calibri"/>
      <family val="2"/>
      <charset val="1"/>
    </font>
    <font>
      <sz val="12"/>
      <color rgb="FFE7E6E6"/>
      <name val="Calibri"/>
      <family val="2"/>
      <charset val="1"/>
    </font>
    <font>
      <b val="true"/>
      <i val="true"/>
      <sz val="14"/>
      <color rgb="FF000000"/>
      <name val="Calibri"/>
      <family val="2"/>
      <charset val="1"/>
    </font>
    <font>
      <b val="true"/>
      <sz val="12"/>
      <color rgb="FF000000"/>
      <name val="Calibri"/>
      <family val="2"/>
      <charset val="1"/>
    </font>
    <font>
      <sz val="12"/>
      <color rgb="FF9C0006"/>
      <name val="Calibri"/>
      <family val="2"/>
      <charset val="1"/>
    </font>
    <font>
      <b val="true"/>
      <sz val="14"/>
      <color rgb="FF000000"/>
      <name val="Calibri"/>
      <family val="2"/>
      <charset val="1"/>
    </font>
    <font>
      <u val="single"/>
      <sz val="12"/>
      <color rgb="FF0563C1"/>
      <name val="Calibri"/>
      <family val="2"/>
      <charset val="1"/>
    </font>
    <font>
      <sz val="12"/>
      <color rgb="FF00B050"/>
      <name val="Calibri"/>
      <family val="2"/>
      <charset val="1"/>
    </font>
    <font>
      <sz val="12"/>
      <color rgb="FF00B0F0"/>
      <name val="Calibri"/>
      <family val="2"/>
      <charset val="1"/>
    </font>
    <font>
      <b val="true"/>
      <sz val="10"/>
      <color rgb="FF000000"/>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6"/>
      <color rgb="FF000000"/>
      <name val="Calibri"/>
      <family val="2"/>
      <charset val="1"/>
    </font>
    <font>
      <b val="true"/>
      <i val="true"/>
      <sz val="12"/>
      <color rgb="FF000000"/>
      <name val="Calibri"/>
      <family val="2"/>
      <charset val="1"/>
    </font>
    <font>
      <b val="true"/>
      <u val="single"/>
      <sz val="12"/>
      <color rgb="FF000000"/>
      <name val="Calibri (Body)"/>
      <family val="0"/>
      <charset val="1"/>
    </font>
    <font>
      <sz val="12"/>
      <color rgb="FF000000"/>
      <name val="Calibri (Body)"/>
      <family val="0"/>
      <charset val="1"/>
    </font>
    <font>
      <b val="true"/>
      <i val="true"/>
      <sz val="12"/>
      <color rgb="FF000000"/>
      <name val="Calibri (Body)"/>
      <family val="0"/>
      <charset val="1"/>
    </font>
    <font>
      <b val="true"/>
      <i val="true"/>
      <u val="single"/>
      <sz val="12"/>
      <color rgb="FF000000"/>
      <name val="Calibri"/>
      <family val="2"/>
      <charset val="1"/>
    </font>
    <font>
      <b val="true"/>
      <u val="single"/>
      <sz val="16"/>
      <color rgb="FF000000"/>
      <name val="Calibri (Body)"/>
      <family val="0"/>
      <charset val="1"/>
    </font>
    <font>
      <sz val="12"/>
      <color rgb="FF800000"/>
      <name val="Calibri"/>
      <family val="2"/>
      <charset val="1"/>
    </font>
  </fonts>
  <fills count="4">
    <fill>
      <patternFill patternType="none"/>
    </fill>
    <fill>
      <patternFill patternType="gray125"/>
    </fill>
    <fill>
      <patternFill patternType="solid">
        <fgColor rgb="FFFFC7CE"/>
        <bgColor rgb="FFE7E6E6"/>
      </patternFill>
    </fill>
    <fill>
      <patternFill patternType="solid">
        <fgColor rgb="FFDEEBF7"/>
        <bgColor rgb="FFE7E6E6"/>
      </patternFill>
    </fill>
  </fills>
  <borders count="4">
    <border diagonalUp="false" diagonalDown="false">
      <left/>
      <right/>
      <top/>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double"/>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3" xfId="0" applyFont="false" applyBorder="true" applyAlignment="true" applyProtection="false">
      <alignment horizontal="center" vertical="bottom" textRotation="0" wrapText="true" indent="0" shrinkToFit="false"/>
      <protection locked="true" hidden="false"/>
    </xf>
    <xf numFmtId="164" fontId="9" fillId="2" borderId="0" xfId="21" applyFont="true" applyBorder="true" applyAlignment="true" applyProtection="true">
      <alignment horizontal="center" vertical="center" textRotation="0" wrapText="true" indent="0" shrinkToFit="false"/>
      <protection locked="true" hidden="false"/>
    </xf>
    <xf numFmtId="164" fontId="9" fillId="2" borderId="3" xfId="21" applyFont="true" applyBorder="true" applyAlignment="true" applyProtection="tru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1" fillId="0" borderId="0" xfId="2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6" fontId="12"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12" fillId="0" borderId="3" xfId="0" applyFont="true" applyBorder="true" applyAlignment="true" applyProtection="false">
      <alignment horizontal="right" vertical="bottom" textRotation="0" wrapText="false" indent="0" shrinkToFit="false"/>
      <protection locked="true" hidden="false"/>
    </xf>
    <xf numFmtId="165" fontId="12" fillId="0" borderId="0" xfId="0" applyFont="tru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6" fontId="13" fillId="0" borderId="3" xfId="0" applyFont="true" applyBorder="true" applyAlignment="false" applyProtection="false">
      <alignment horizontal="general" vertical="bottom" textRotation="0" wrapText="false" indent="0" shrinkToFit="false"/>
      <protection locked="true" hidden="false"/>
    </xf>
    <xf numFmtId="166" fontId="13" fillId="0" borderId="0" xfId="0" applyFont="true" applyBorder="true" applyAlignment="false" applyProtection="false">
      <alignment horizontal="general" vertical="bottom" textRotation="0" wrapText="false" indent="0" shrinkToFit="false"/>
      <protection locked="true" hidden="false"/>
    </xf>
    <xf numFmtId="166" fontId="12"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2" borderId="0" xfId="21"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23" fillId="3" borderId="0" xfId="0" applyFont="true" applyBorder="true" applyAlignment="true" applyProtection="false">
      <alignment horizontal="center"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71" fontId="0" fillId="0" borderId="0" xfId="0" applyFont="false" applyBorder="false" applyAlignment="true" applyProtection="false">
      <alignment horizontal="right"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8080"/>
      <rgbColor rgb="FF0563C1"/>
      <rgbColor rgb="FFCCCCFF"/>
      <rgbColor rgb="FF000080"/>
      <rgbColor rgb="FFFF00FF"/>
      <rgbColor rgb="FFFFFF00"/>
      <rgbColor rgb="FF00FFFF"/>
      <rgbColor rgb="FF800080"/>
      <rgbColor rgb="FF9C0006"/>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2.xml"/><Relationship Id="rId12"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quickstats.nass.usda.gov/results/90C69DEC-38D6-31B4-9953-4C6EB5E82D79?pivot=short_desc" TargetMode="External"/><Relationship Id="rId2" Type="http://schemas.openxmlformats.org/officeDocument/2006/relationships/hyperlink" Target="https://quickstats.nass.usda.gov/results/C57CA751-B131-3065-9F7C-E7DE08D92F87" TargetMode="External"/><Relationship Id="rId3" Type="http://schemas.openxmlformats.org/officeDocument/2006/relationships/hyperlink" Target="https://quickstats.nass.usda.gov/results/50705405-3797-3A8C-88DE-285EE11B8851" TargetMode="External"/><Relationship Id="rId4" Type="http://schemas.openxmlformats.org/officeDocument/2006/relationships/hyperlink" Target="https://quickstats.nass.usda.gov/results/1B9214A3-3272-3861-89E4-3109EA773702" TargetMode="External"/><Relationship Id="rId5" Type="http://schemas.openxmlformats.org/officeDocument/2006/relationships/hyperlink" Target="https://quickstats.nass.usda.gov/"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67"/>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D22" activeCellId="0" sqref="D22"/>
    </sheetView>
  </sheetViews>
  <sheetFormatPr defaultRowHeight="16"/>
  <cols>
    <col collapsed="false" hidden="false" max="1" min="1" style="1" width="19.5"/>
    <col collapsed="false" hidden="false" max="2" min="2" style="1" width="23.2259259259259"/>
    <col collapsed="false" hidden="false" max="3" min="3" style="1" width="21.262962962963"/>
    <col collapsed="false" hidden="false" max="4" min="4" style="1" width="29.6925925925926"/>
    <col collapsed="false" hidden="false" max="5" min="5" style="1" width="24.3037037037037"/>
    <col collapsed="false" hidden="false" max="6" min="6" style="1" width="23.2259259259259"/>
    <col collapsed="false" hidden="false" max="7" min="7" style="1" width="28.6148148148148"/>
    <col collapsed="false" hidden="false" max="8" min="8" style="1" width="28.8111111111111"/>
    <col collapsed="false" hidden="false" max="9" min="9" style="1" width="14.8962962962963"/>
    <col collapsed="false" hidden="false" max="10" min="10" style="1" width="15.7777777777778"/>
    <col collapsed="false" hidden="false" max="11" min="11" style="1" width="19.1074074074074"/>
    <col collapsed="false" hidden="false" max="12" min="12" style="1" width="16.2666666666667"/>
    <col collapsed="false" hidden="false" max="13" min="13" style="1" width="18.5222222222222"/>
    <col collapsed="false" hidden="false" max="14" min="14" style="1" width="19.6962962962963"/>
    <col collapsed="false" hidden="false" max="15" min="15" style="1" width="19.0111111111111"/>
    <col collapsed="false" hidden="false" max="1025" min="16" style="1" width="11.3666666666667"/>
  </cols>
  <sheetData>
    <row r="1" customFormat="false" ht="25" hidden="false" customHeight="false" outlineLevel="0" collapsed="false">
      <c r="A1" s="2" t="s">
        <v>0</v>
      </c>
      <c r="B1" s="2"/>
      <c r="C1" s="2"/>
      <c r="D1" s="2"/>
      <c r="E1" s="2"/>
      <c r="F1" s="2"/>
      <c r="G1" s="2"/>
      <c r="H1" s="2"/>
      <c r="I1" s="2"/>
      <c r="J1" s="2"/>
      <c r="K1" s="2"/>
      <c r="L1" s="2"/>
      <c r="M1" s="2"/>
      <c r="N1" s="2"/>
      <c r="O1" s="2"/>
    </row>
    <row r="2" customFormat="false" ht="27" hidden="false" customHeight="false" outlineLevel="0" collapsed="false">
      <c r="A2" s="3" t="s">
        <v>1</v>
      </c>
      <c r="B2" s="4" t="s">
        <v>2</v>
      </c>
      <c r="C2" s="5" t="n">
        <f aca="false">VLOOKUP(B2,Crops!A1:B4,2,0)</f>
        <v>1</v>
      </c>
      <c r="D2" s="0"/>
      <c r="E2" s="6"/>
      <c r="F2" s="0"/>
      <c r="G2" s="0"/>
      <c r="H2" s="0"/>
      <c r="I2" s="0"/>
      <c r="J2" s="0"/>
      <c r="K2" s="6"/>
      <c r="L2" s="0"/>
      <c r="M2" s="0"/>
      <c r="N2" s="0"/>
      <c r="O2" s="0"/>
    </row>
    <row r="3" customFormat="false" ht="16" hidden="false" customHeight="false" outlineLevel="0" collapsed="false">
      <c r="A3" s="0"/>
      <c r="B3" s="0"/>
      <c r="C3" s="0"/>
      <c r="D3" s="0"/>
      <c r="E3" s="6"/>
      <c r="F3" s="0"/>
      <c r="G3" s="0"/>
      <c r="H3" s="0"/>
      <c r="I3" s="0"/>
      <c r="J3" s="0"/>
      <c r="K3" s="6"/>
      <c r="L3" s="0"/>
      <c r="M3" s="0"/>
      <c r="N3" s="0"/>
      <c r="O3" s="0"/>
    </row>
    <row r="4" customFormat="false" ht="52" hidden="false" customHeight="true" outlineLevel="0" collapsed="false">
      <c r="A4" s="7"/>
      <c r="B4" s="8" t="s">
        <v>3</v>
      </c>
      <c r="C4" s="8" t="s">
        <v>4</v>
      </c>
      <c r="D4" s="8" t="s">
        <v>5</v>
      </c>
      <c r="E4" s="9" t="s">
        <v>6</v>
      </c>
      <c r="F4" s="10" t="s">
        <v>7</v>
      </c>
      <c r="G4" s="10" t="s">
        <v>8</v>
      </c>
      <c r="H4" s="10" t="s">
        <v>9</v>
      </c>
      <c r="I4" s="10" t="s">
        <v>10</v>
      </c>
      <c r="J4" s="10" t="s">
        <v>10</v>
      </c>
      <c r="K4" s="9" t="s">
        <v>11</v>
      </c>
      <c r="L4" s="10" t="s">
        <v>12</v>
      </c>
      <c r="M4" s="10" t="s">
        <v>12</v>
      </c>
      <c r="N4" s="10" t="s">
        <v>11</v>
      </c>
      <c r="O4" s="10" t="s">
        <v>11</v>
      </c>
    </row>
    <row r="5" customFormat="false" ht="45" hidden="false" customHeight="true" outlineLevel="0" collapsed="false">
      <c r="A5" s="11" t="s">
        <v>13</v>
      </c>
      <c r="B5" s="12"/>
      <c r="C5" s="12"/>
      <c r="D5" s="12"/>
      <c r="E5" s="13"/>
      <c r="F5" s="12"/>
      <c r="G5" s="14" t="s">
        <v>14</v>
      </c>
      <c r="H5" s="14" t="s">
        <v>15</v>
      </c>
      <c r="I5" s="12"/>
      <c r="J5" s="12"/>
      <c r="K5" s="15" t="s">
        <v>16</v>
      </c>
      <c r="L5" s="12"/>
      <c r="M5" s="12"/>
      <c r="N5" s="0"/>
      <c r="O5" s="0"/>
    </row>
    <row r="6" customFormat="false" ht="48" hidden="false" customHeight="false" outlineLevel="0" collapsed="false">
      <c r="A6" s="11" t="s">
        <v>17</v>
      </c>
      <c r="B6" s="16" t="s">
        <v>18</v>
      </c>
      <c r="C6" s="16" t="s">
        <v>19</v>
      </c>
      <c r="D6" s="16" t="s">
        <v>20</v>
      </c>
      <c r="E6" s="17" t="s">
        <v>21</v>
      </c>
      <c r="F6" s="16" t="s">
        <v>21</v>
      </c>
      <c r="G6" s="18"/>
      <c r="H6" s="18"/>
      <c r="I6" s="16" t="s">
        <v>19</v>
      </c>
      <c r="J6" s="16" t="s">
        <v>20</v>
      </c>
      <c r="K6" s="17" t="s">
        <v>22</v>
      </c>
      <c r="L6" s="16" t="s">
        <v>23</v>
      </c>
      <c r="M6" s="16" t="s">
        <v>24</v>
      </c>
      <c r="N6" s="16" t="s">
        <v>23</v>
      </c>
      <c r="O6" s="16" t="s">
        <v>24</v>
      </c>
    </row>
    <row r="7" customFormat="false" ht="38" hidden="false" customHeight="false" outlineLevel="0" collapsed="false">
      <c r="A7" s="11" t="s">
        <v>25</v>
      </c>
      <c r="B7" s="19" t="s">
        <v>26</v>
      </c>
      <c r="C7" s="19" t="s">
        <v>27</v>
      </c>
      <c r="D7" s="19" t="s">
        <v>27</v>
      </c>
      <c r="E7" s="20" t="s">
        <v>27</v>
      </c>
      <c r="F7" s="18" t="s">
        <v>27</v>
      </c>
      <c r="G7" s="16" t="s">
        <v>28</v>
      </c>
      <c r="H7" s="16" t="s">
        <v>28</v>
      </c>
      <c r="I7" s="16" t="s">
        <v>27</v>
      </c>
      <c r="J7" s="16" t="s">
        <v>27</v>
      </c>
      <c r="K7" s="17" t="s">
        <v>27</v>
      </c>
      <c r="L7" s="16" t="s">
        <v>28</v>
      </c>
      <c r="M7" s="16" t="s">
        <v>28</v>
      </c>
      <c r="N7" s="16" t="s">
        <v>27</v>
      </c>
      <c r="O7" s="16" t="s">
        <v>27</v>
      </c>
    </row>
    <row r="8" customFormat="false" ht="80" hidden="false" customHeight="false" outlineLevel="0" collapsed="false">
      <c r="A8" s="11" t="s">
        <v>29</v>
      </c>
      <c r="B8" s="18" t="s">
        <v>30</v>
      </c>
      <c r="C8" s="18" t="s">
        <v>31</v>
      </c>
      <c r="D8" s="18" t="s">
        <v>31</v>
      </c>
      <c r="E8" s="20" t="s">
        <v>30</v>
      </c>
      <c r="F8" s="18" t="s">
        <v>30</v>
      </c>
      <c r="G8" s="16" t="s">
        <v>32</v>
      </c>
      <c r="H8" s="16" t="s">
        <v>33</v>
      </c>
      <c r="I8" s="16" t="s">
        <v>34</v>
      </c>
      <c r="J8" s="16" t="s">
        <v>35</v>
      </c>
      <c r="K8" s="20" t="s">
        <v>30</v>
      </c>
      <c r="L8" s="16" t="s">
        <v>32</v>
      </c>
      <c r="M8" s="16" t="s">
        <v>32</v>
      </c>
      <c r="N8" s="16" t="s">
        <v>36</v>
      </c>
      <c r="O8" s="16" t="s">
        <v>37</v>
      </c>
    </row>
    <row r="9" customFormat="false" ht="50" hidden="false" customHeight="true" outlineLevel="0" collapsed="false">
      <c r="A9" s="11" t="s">
        <v>38</v>
      </c>
      <c r="B9" s="12" t="s">
        <v>39</v>
      </c>
      <c r="C9" s="21" t="s">
        <v>40</v>
      </c>
      <c r="D9" s="21" t="s">
        <v>40</v>
      </c>
      <c r="E9" s="13" t="s">
        <v>41</v>
      </c>
      <c r="F9" s="12" t="s">
        <v>41</v>
      </c>
      <c r="G9" s="12" t="s">
        <v>42</v>
      </c>
      <c r="H9" s="12" t="s">
        <v>43</v>
      </c>
      <c r="I9" s="21" t="s">
        <v>40</v>
      </c>
      <c r="J9" s="21" t="s">
        <v>40</v>
      </c>
      <c r="K9" s="13" t="s">
        <v>44</v>
      </c>
      <c r="L9" s="12" t="s">
        <v>45</v>
      </c>
      <c r="M9" s="12" t="s">
        <v>45</v>
      </c>
      <c r="N9" s="21" t="s">
        <v>40</v>
      </c>
      <c r="O9" s="12" t="s">
        <v>46</v>
      </c>
    </row>
    <row r="10" customFormat="false" ht="16" hidden="false" customHeight="false" outlineLevel="0" collapsed="false">
      <c r="A10" s="0"/>
      <c r="B10" s="22"/>
      <c r="C10" s="0"/>
      <c r="D10" s="0"/>
      <c r="E10" s="6"/>
      <c r="F10" s="0"/>
      <c r="G10" s="0"/>
      <c r="H10" s="23"/>
      <c r="I10" s="0"/>
      <c r="J10" s="0"/>
      <c r="K10" s="6"/>
      <c r="L10" s="0"/>
      <c r="M10" s="0"/>
      <c r="N10" s="0"/>
      <c r="O10" s="0"/>
    </row>
    <row r="11" customFormat="false" ht="16" hidden="false" customHeight="false" outlineLevel="0" collapsed="false">
      <c r="A11" s="11" t="s">
        <v>47</v>
      </c>
      <c r="B11" s="22"/>
      <c r="C11" s="0"/>
      <c r="D11" s="0"/>
      <c r="E11" s="6"/>
      <c r="F11" s="0"/>
      <c r="G11" s="0"/>
      <c r="H11" s="23"/>
      <c r="I11" s="0"/>
      <c r="J11" s="0"/>
      <c r="K11" s="6"/>
      <c r="L11" s="0"/>
      <c r="M11" s="0"/>
      <c r="N11" s="0"/>
      <c r="O11" s="0"/>
    </row>
    <row r="12" customFormat="false" ht="16" hidden="false" customHeight="false" outlineLevel="0" collapsed="false">
      <c r="A12" s="1" t="n">
        <v>1960</v>
      </c>
      <c r="B12" s="24" t="n">
        <f aca="true">OFFSET(Yields!B3,0,$C$2-1)</f>
        <v>54.7</v>
      </c>
      <c r="C12" s="25"/>
      <c r="D12" s="25"/>
      <c r="E12" s="26" t="n">
        <v>3.57</v>
      </c>
      <c r="F12" s="24" t="n">
        <v>27</v>
      </c>
      <c r="G12" s="24" t="n">
        <f aca="true">OFFSET('Private seed shares'!N22,0,$C$2-1)</f>
        <v>0.524</v>
      </c>
      <c r="H12" s="27"/>
      <c r="I12" s="25" t="n">
        <f aca="false">G12*E12</f>
        <v>1.87068</v>
      </c>
      <c r="J12" s="25"/>
      <c r="K12" s="28"/>
      <c r="L12" s="25"/>
      <c r="M12" s="25"/>
      <c r="N12" s="25"/>
      <c r="O12" s="25" t="n">
        <f aca="true">OFFSET('New Huffman figures'!B7,0,C$2-1)</f>
        <v>4.05253685898919</v>
      </c>
    </row>
    <row r="13" customFormat="false" ht="16" hidden="false" customHeight="false" outlineLevel="0" collapsed="false">
      <c r="A13" s="1" t="n">
        <v>1961</v>
      </c>
      <c r="B13" s="24" t="n">
        <f aca="true">OFFSET(Yields!B4,0,$C$2-1)</f>
        <v>62.4</v>
      </c>
      <c r="C13" s="25"/>
      <c r="D13" s="25"/>
      <c r="E13" s="26" t="n">
        <v>3.92158646099393</v>
      </c>
      <c r="F13" s="24" t="n">
        <v>38</v>
      </c>
      <c r="G13" s="24"/>
      <c r="H13" s="27"/>
      <c r="I13" s="25"/>
      <c r="J13" s="25"/>
      <c r="K13" s="28"/>
      <c r="L13" s="25"/>
      <c r="M13" s="25"/>
      <c r="N13" s="25"/>
      <c r="O13" s="25" t="n">
        <f aca="true">OFFSET('New Huffman figures'!B8,0,C$2-1)</f>
        <v>4.30883278125688</v>
      </c>
    </row>
    <row r="14" customFormat="false" ht="16" hidden="false" customHeight="false" outlineLevel="0" collapsed="false">
      <c r="A14" s="1" t="n">
        <v>1962</v>
      </c>
      <c r="B14" s="24" t="n">
        <f aca="true">OFFSET(Yields!B5,0,$C$2-1)</f>
        <v>64.7</v>
      </c>
      <c r="C14" s="25"/>
      <c r="D14" s="25"/>
      <c r="E14" s="26" t="n">
        <v>4.30779842326355</v>
      </c>
      <c r="F14" s="24" t="n">
        <v>42</v>
      </c>
      <c r="G14" s="24"/>
      <c r="H14" s="27"/>
      <c r="I14" s="25"/>
      <c r="J14" s="25"/>
      <c r="K14" s="28"/>
      <c r="L14" s="25"/>
      <c r="M14" s="25"/>
      <c r="N14" s="25"/>
      <c r="O14" s="25" t="n">
        <f aca="true">OFFSET('New Huffman figures'!B9,0,C$2-1)</f>
        <v>4.67274790677456</v>
      </c>
    </row>
    <row r="15" customFormat="false" ht="16" hidden="false" customHeight="false" outlineLevel="0" collapsed="false">
      <c r="A15" s="1" t="n">
        <v>1963</v>
      </c>
      <c r="B15" s="24" t="n">
        <f aca="true">OFFSET(Yields!B6,0,$C$2-1)</f>
        <v>67.9</v>
      </c>
      <c r="C15" s="25"/>
      <c r="D15" s="25"/>
      <c r="E15" s="26" t="n">
        <v>4.73204593091353</v>
      </c>
      <c r="F15" s="24" t="n">
        <v>45</v>
      </c>
      <c r="G15" s="24"/>
      <c r="H15" s="27"/>
      <c r="I15" s="25"/>
      <c r="J15" s="25"/>
      <c r="K15" s="28"/>
      <c r="L15" s="25"/>
      <c r="M15" s="25"/>
      <c r="N15" s="25"/>
      <c r="O15" s="25" t="n">
        <f aca="true">OFFSET('New Huffman figures'!B10,0,C$2-1)</f>
        <v>4.9979411408124</v>
      </c>
    </row>
    <row r="16" customFormat="false" ht="16" hidden="false" customHeight="false" outlineLevel="0" collapsed="false">
      <c r="A16" s="1" t="n">
        <v>1964</v>
      </c>
      <c r="B16" s="24" t="n">
        <f aca="true">OFFSET(Yields!B7,0,$C$2-1)</f>
        <v>62.9</v>
      </c>
      <c r="C16" s="25"/>
      <c r="D16" s="25"/>
      <c r="E16" s="26" t="n">
        <v>5.19807486147672</v>
      </c>
      <c r="F16" s="24" t="n">
        <v>48</v>
      </c>
      <c r="G16" s="24"/>
      <c r="H16" s="27"/>
      <c r="I16" s="25"/>
      <c r="J16" s="25"/>
      <c r="K16" s="28"/>
      <c r="L16" s="25"/>
      <c r="M16" s="25"/>
      <c r="N16" s="25"/>
      <c r="O16" s="25" t="n">
        <f aca="true">OFFSET('New Huffman figures'!B11,0,C$2-1)</f>
        <v>5.58866524729244</v>
      </c>
    </row>
    <row r="17" customFormat="false" ht="16" hidden="false" customHeight="false" outlineLevel="0" collapsed="false">
      <c r="A17" s="1" t="n">
        <v>1965</v>
      </c>
      <c r="B17" s="24" t="n">
        <f aca="true">OFFSET(Yields!B8,0,$C$2-1)</f>
        <v>74.1</v>
      </c>
      <c r="C17" s="25"/>
      <c r="D17" s="25"/>
      <c r="E17" s="26" t="n">
        <v>5.71</v>
      </c>
      <c r="F17" s="24" t="n">
        <v>64</v>
      </c>
      <c r="G17" s="24" t="n">
        <f aca="true">OFFSET('Private seed shares'!N27,0,$C$2-1)</f>
        <v>0.475</v>
      </c>
      <c r="H17" s="27"/>
      <c r="I17" s="25" t="n">
        <f aca="false">G17*E17</f>
        <v>2.71225</v>
      </c>
      <c r="J17" s="25"/>
      <c r="K17" s="28"/>
      <c r="L17" s="25"/>
      <c r="M17" s="25"/>
      <c r="N17" s="25"/>
      <c r="O17" s="25" t="n">
        <f aca="true">OFFSET('New Huffman figures'!B12,0,C$2-1)</f>
        <v>6.08351071581156</v>
      </c>
    </row>
    <row r="18" customFormat="false" ht="16" hidden="false" customHeight="false" outlineLevel="0" collapsed="false">
      <c r="A18" s="1" t="n">
        <v>1966</v>
      </c>
      <c r="B18" s="24" t="n">
        <f aca="true">OFFSET(Yields!B9,0,$C$2-1)</f>
        <v>73.1</v>
      </c>
      <c r="C18" s="25"/>
      <c r="D18" s="25"/>
      <c r="E18" s="26" t="n">
        <v>6.5440660637555</v>
      </c>
      <c r="F18" s="24" t="n">
        <v>77</v>
      </c>
      <c r="G18" s="24"/>
      <c r="H18" s="27"/>
      <c r="I18" s="25"/>
      <c r="J18" s="25"/>
      <c r="K18" s="28"/>
      <c r="L18" s="25"/>
      <c r="M18" s="25"/>
      <c r="N18" s="25"/>
      <c r="O18" s="25" t="n">
        <f aca="true">OFFSET('New Huffman figures'!B13,0,C$2-1)</f>
        <v>6.79307396629512</v>
      </c>
    </row>
    <row r="19" customFormat="false" ht="16" hidden="false" customHeight="false" outlineLevel="0" collapsed="false">
      <c r="A19" s="1" t="n">
        <v>1967</v>
      </c>
      <c r="B19" s="24" t="n">
        <f aca="true">OFFSET(Yields!B10,0,$C$2-1)</f>
        <v>80.1</v>
      </c>
      <c r="C19" s="25"/>
      <c r="D19" s="25"/>
      <c r="E19" s="26" t="n">
        <v>7.49996508700462</v>
      </c>
      <c r="F19" s="24" t="n">
        <v>92</v>
      </c>
      <c r="G19" s="24"/>
      <c r="H19" s="27"/>
      <c r="I19" s="25"/>
      <c r="J19" s="25"/>
      <c r="K19" s="28"/>
      <c r="L19" s="25"/>
      <c r="M19" s="25"/>
      <c r="N19" s="25"/>
      <c r="O19" s="25" t="n">
        <f aca="true">OFFSET('New Huffman figures'!B14,0,C$2-1)</f>
        <v>7.4069195054022</v>
      </c>
    </row>
    <row r="20" customFormat="false" ht="16" hidden="false" customHeight="false" outlineLevel="0" collapsed="false">
      <c r="A20" s="1" t="n">
        <v>1968</v>
      </c>
      <c r="B20" s="24" t="n">
        <f aca="true">OFFSET(Yields!B11,0,$C$2-1)</f>
        <v>79.5</v>
      </c>
      <c r="C20" s="25"/>
      <c r="D20" s="25"/>
      <c r="E20" s="26" t="n">
        <v>8.5954933459226</v>
      </c>
      <c r="F20" s="24" t="n">
        <v>99</v>
      </c>
      <c r="G20" s="24"/>
      <c r="H20" s="27"/>
      <c r="I20" s="25"/>
      <c r="J20" s="25"/>
      <c r="K20" s="28"/>
      <c r="L20" s="25"/>
      <c r="M20" s="25"/>
      <c r="N20" s="25"/>
      <c r="O20" s="25" t="n">
        <f aca="true">OFFSET('New Huffman figures'!B15,0,C$2-1)</f>
        <v>7.46817824451396</v>
      </c>
    </row>
    <row r="21" customFormat="false" ht="16" hidden="false" customHeight="false" outlineLevel="0" collapsed="false">
      <c r="A21" s="1" t="n">
        <v>1969</v>
      </c>
      <c r="B21" s="24" t="n">
        <f aca="true">OFFSET(Yields!B12,0,$C$2-1)</f>
        <v>85.9</v>
      </c>
      <c r="C21" s="25" t="n">
        <f aca="false">I21+N21</f>
        <v>7.15624018953505</v>
      </c>
      <c r="D21" s="25" t="n">
        <f aca="false">J21+O21</f>
        <v>39.1844693973576</v>
      </c>
      <c r="E21" s="26" t="n">
        <v>9.85104663857938</v>
      </c>
      <c r="F21" s="24" t="n">
        <v>104</v>
      </c>
      <c r="G21" s="29" t="n">
        <f aca="false">G17+(4/5)*(G22-G17)</f>
        <v>0.443</v>
      </c>
      <c r="H21" s="27" t="n">
        <f aca="true">OFFSET('Private protection shares'!S14,0,$C$2-1)</f>
        <v>0.261379449263457</v>
      </c>
      <c r="I21" s="25" t="n">
        <f aca="false">G21*E21</f>
        <v>4.36401366089067</v>
      </c>
      <c r="J21" s="25" t="n">
        <f aca="false">I21+(H21*F21)</f>
        <v>31.5474763842902</v>
      </c>
      <c r="K21" s="30" t="n">
        <f aca="true">OFFSET('Public R&amp;D'!M16,0,C$2-1)</f>
        <v>7.67095200177029</v>
      </c>
      <c r="L21" s="31" t="n">
        <f aca="true">OFFSET('Public crop shares'!N4,0,C$2-1)</f>
        <v>0.364</v>
      </c>
      <c r="M21" s="31" t="n">
        <f aca="true">OFFSET('Public crop shares'!N4,0,C$2-1)+OFFSET('Public crop shares'!S4,0,C$2-1)</f>
        <v>0.65</v>
      </c>
      <c r="N21" s="25" t="n">
        <f aca="false">L21*K21</f>
        <v>2.79222652864439</v>
      </c>
      <c r="O21" s="25" t="n">
        <f aca="true">OFFSET('New Huffman figures'!B16,0,C$2-1)</f>
        <v>7.63699301306739</v>
      </c>
    </row>
    <row r="22" customFormat="false" ht="16" hidden="false" customHeight="false" outlineLevel="0" collapsed="false">
      <c r="A22" s="1" t="n">
        <v>1970</v>
      </c>
      <c r="B22" s="24" t="n">
        <f aca="true">OFFSET(Yields!B13,0,$C$2-1)</f>
        <v>72.4</v>
      </c>
      <c r="C22" s="25"/>
      <c r="D22" s="25"/>
      <c r="E22" s="26" t="n">
        <v>11.29</v>
      </c>
      <c r="F22" s="24" t="n">
        <v>126</v>
      </c>
      <c r="G22" s="24" t="n">
        <f aca="true">OFFSET('Private seed shares'!N32,0,$C$2-1)</f>
        <v>0.435</v>
      </c>
      <c r="H22" s="27"/>
      <c r="I22" s="25" t="n">
        <f aca="false">G22*E22</f>
        <v>4.91115</v>
      </c>
      <c r="J22" s="25"/>
      <c r="K22" s="30"/>
      <c r="L22" s="31"/>
      <c r="M22" s="31"/>
      <c r="N22" s="25"/>
      <c r="O22" s="25" t="n">
        <f aca="true">OFFSET('New Huffman figures'!B17,0,C$2-1)</f>
        <v>7.36174981412413</v>
      </c>
    </row>
    <row r="23" customFormat="false" ht="16" hidden="false" customHeight="false" outlineLevel="0" collapsed="false">
      <c r="A23" s="1" t="n">
        <v>1971</v>
      </c>
      <c r="B23" s="24" t="n">
        <f aca="true">OFFSET(Yields!B14,0,$C$2-1)</f>
        <v>88.1</v>
      </c>
      <c r="C23" s="25"/>
      <c r="D23" s="25"/>
      <c r="E23" s="26" t="n">
        <v>13.1443338331066</v>
      </c>
      <c r="F23" s="24" t="n">
        <v>130</v>
      </c>
      <c r="G23" s="24"/>
      <c r="H23" s="27"/>
      <c r="I23" s="25"/>
      <c r="J23" s="25"/>
      <c r="K23" s="30"/>
      <c r="L23" s="31"/>
      <c r="M23" s="31"/>
      <c r="N23" s="25"/>
      <c r="O23" s="25" t="n">
        <f aca="true">OFFSET('New Huffman figures'!B18,0,C$2-1)</f>
        <v>8.17863103398303</v>
      </c>
    </row>
    <row r="24" customFormat="false" ht="16" hidden="false" customHeight="false" outlineLevel="0" collapsed="false">
      <c r="A24" s="1" t="n">
        <v>1972</v>
      </c>
      <c r="B24" s="24" t="n">
        <f aca="true">OFFSET(Yields!B15,0,$C$2-1)</f>
        <v>97</v>
      </c>
      <c r="C24" s="25"/>
      <c r="D24" s="25"/>
      <c r="E24" s="26" t="n">
        <v>15.3032340049735</v>
      </c>
      <c r="F24" s="24" t="n">
        <v>108</v>
      </c>
      <c r="G24" s="24"/>
      <c r="H24" s="27"/>
      <c r="I24" s="25"/>
      <c r="J24" s="25"/>
      <c r="K24" s="30"/>
      <c r="L24" s="31"/>
      <c r="M24" s="31"/>
      <c r="N24" s="25"/>
      <c r="O24" s="25" t="n">
        <f aca="true">OFFSET('New Huffman figures'!B19,0,C$2-1)</f>
        <v>8.6806043156844</v>
      </c>
    </row>
    <row r="25" customFormat="false" ht="16" hidden="false" customHeight="false" outlineLevel="0" collapsed="false">
      <c r="A25" s="1" t="n">
        <v>1973</v>
      </c>
      <c r="B25" s="24" t="n">
        <f aca="true">OFFSET(Yields!B16,0,$C$2-1)</f>
        <v>91.3</v>
      </c>
      <c r="C25" s="25"/>
      <c r="D25" s="25"/>
      <c r="E25" s="26" t="n">
        <v>17.8167242238725</v>
      </c>
      <c r="F25" s="24" t="n">
        <v>114</v>
      </c>
      <c r="G25" s="24"/>
      <c r="H25" s="27"/>
      <c r="I25" s="25"/>
      <c r="J25" s="25"/>
      <c r="K25" s="30"/>
      <c r="L25" s="31"/>
      <c r="M25" s="31"/>
      <c r="N25" s="25"/>
      <c r="O25" s="25" t="n">
        <f aca="true">OFFSET('New Huffman figures'!B20,0,C$2-1)</f>
        <v>8.93658145620518</v>
      </c>
    </row>
    <row r="26" customFormat="false" ht="16" hidden="false" customHeight="false" outlineLevel="0" collapsed="false">
      <c r="A26" s="1" t="n">
        <v>1974</v>
      </c>
      <c r="B26" s="24" t="n">
        <f aca="true">OFFSET(Yields!B17,0,$C$2-1)</f>
        <v>71.9</v>
      </c>
      <c r="C26" s="25"/>
      <c r="D26" s="25"/>
      <c r="E26" s="26" t="n">
        <v>20.7430443765258</v>
      </c>
      <c r="F26" s="24" t="n">
        <v>137</v>
      </c>
      <c r="G26" s="24"/>
      <c r="H26" s="27"/>
      <c r="I26" s="25"/>
      <c r="J26" s="25"/>
      <c r="K26" s="30"/>
      <c r="L26" s="31"/>
      <c r="M26" s="31"/>
      <c r="N26" s="25"/>
      <c r="O26" s="25" t="n">
        <f aca="true">OFFSET('New Huffman figures'!B21,0,C$2-1)</f>
        <v>9.96809544985632</v>
      </c>
    </row>
    <row r="27" customFormat="false" ht="16" hidden="false" customHeight="false" outlineLevel="0" collapsed="false">
      <c r="A27" s="1" t="n">
        <v>1975</v>
      </c>
      <c r="B27" s="24" t="n">
        <f aca="true">OFFSET(Yields!B18,0,$C$2-1)</f>
        <v>86.4</v>
      </c>
      <c r="C27" s="25"/>
      <c r="D27" s="25"/>
      <c r="E27" s="26" t="n">
        <v>24.15</v>
      </c>
      <c r="F27" s="24" t="n">
        <v>176</v>
      </c>
      <c r="G27" s="24" t="n">
        <f aca="true">OFFSET('Private seed shares'!N37,0,$C$2-1)</f>
        <v>0.423</v>
      </c>
      <c r="H27" s="27"/>
      <c r="I27" s="25" t="n">
        <f aca="false">G27*E27</f>
        <v>10.21545</v>
      </c>
      <c r="J27" s="25"/>
      <c r="K27" s="30"/>
      <c r="L27" s="31"/>
      <c r="M27" s="31"/>
      <c r="N27" s="25"/>
      <c r="O27" s="25" t="n">
        <f aca="true">OFFSET('New Huffman figures'!B22,0,C$2-1)</f>
        <v>11.3205971784376</v>
      </c>
    </row>
    <row r="28" customFormat="false" ht="16" hidden="false" customHeight="false" outlineLevel="0" collapsed="false">
      <c r="A28" s="1" t="n">
        <v>1976</v>
      </c>
      <c r="B28" s="24" t="n">
        <f aca="true">OFFSET(Yields!B19,0,$C$2-1)</f>
        <v>88</v>
      </c>
      <c r="C28" s="25"/>
      <c r="D28" s="25"/>
      <c r="E28" s="26" t="n">
        <v>27.8366317670575</v>
      </c>
      <c r="F28" s="24" t="n">
        <v>205</v>
      </c>
      <c r="G28" s="24"/>
      <c r="H28" s="27"/>
      <c r="I28" s="25"/>
      <c r="J28" s="25"/>
      <c r="K28" s="30"/>
      <c r="L28" s="31"/>
      <c r="M28" s="31"/>
      <c r="N28" s="25"/>
      <c r="O28" s="25" t="n">
        <f aca="true">OFFSET('New Huffman figures'!B23,0,C$2-1)</f>
        <v>13.4350521635138</v>
      </c>
    </row>
    <row r="29" customFormat="false" ht="16" hidden="false" customHeight="false" outlineLevel="0" collapsed="false">
      <c r="A29" s="1" t="n">
        <v>1977</v>
      </c>
      <c r="B29" s="24" t="n">
        <f aca="true">OFFSET(Yields!B20,0,$C$2-1)</f>
        <v>90.8</v>
      </c>
      <c r="C29" s="25"/>
      <c r="D29" s="25"/>
      <c r="E29" s="26" t="n">
        <v>32.0860483699691</v>
      </c>
      <c r="F29" s="24" t="n">
        <v>236</v>
      </c>
      <c r="G29" s="24"/>
      <c r="H29" s="27"/>
      <c r="I29" s="25"/>
      <c r="J29" s="25"/>
      <c r="K29" s="30"/>
      <c r="L29" s="31"/>
      <c r="M29" s="31"/>
      <c r="N29" s="25"/>
      <c r="O29" s="25" t="n">
        <f aca="true">OFFSET('New Huffman figures'!B24,0,C$2-1)</f>
        <v>14.6631667676161</v>
      </c>
    </row>
    <row r="30" customFormat="false" ht="16" hidden="false" customHeight="false" outlineLevel="0" collapsed="false">
      <c r="A30" s="1" t="n">
        <v>1978</v>
      </c>
      <c r="B30" s="24" t="n">
        <f aca="true">OFFSET(Yields!B21,0,$C$2-1)</f>
        <v>101</v>
      </c>
      <c r="C30" s="25"/>
      <c r="D30" s="25"/>
      <c r="E30" s="26" t="n">
        <v>36.98416204285</v>
      </c>
      <c r="F30" s="24" t="n">
        <v>264</v>
      </c>
      <c r="G30" s="24"/>
      <c r="H30" s="27"/>
      <c r="I30" s="25"/>
      <c r="J30" s="25"/>
      <c r="K30" s="30"/>
      <c r="L30" s="31"/>
      <c r="M30" s="31"/>
      <c r="N30" s="25"/>
      <c r="O30" s="25" t="n">
        <f aca="true">OFFSET('New Huffman figures'!B25,0,C$2-1)</f>
        <v>16.7587200069091</v>
      </c>
    </row>
    <row r="31" customFormat="false" ht="16" hidden="false" customHeight="false" outlineLevel="0" collapsed="false">
      <c r="A31" s="1" t="n">
        <v>1979</v>
      </c>
      <c r="B31" s="24" t="n">
        <f aca="true">OFFSET(Yields!B22,0,$C$2-1)</f>
        <v>109.5</v>
      </c>
      <c r="C31" s="25"/>
      <c r="D31" s="25"/>
      <c r="E31" s="26" t="n">
        <v>42.63</v>
      </c>
      <c r="F31" s="24" t="n">
        <v>292</v>
      </c>
      <c r="G31" s="24" t="n">
        <f aca="true">OFFSET('Private seed shares'!N41,0,$C$2-1)</f>
        <v>0.463</v>
      </c>
      <c r="H31" s="27"/>
      <c r="I31" s="25" t="n">
        <f aca="false">G31*E31</f>
        <v>19.73769</v>
      </c>
      <c r="J31" s="25"/>
      <c r="K31" s="30"/>
      <c r="L31" s="31"/>
      <c r="M31" s="31"/>
      <c r="N31" s="25"/>
      <c r="O31" s="25" t="n">
        <f aca="true">OFFSET('New Huffman figures'!B26,0,C$2-1)</f>
        <v>19.5107998963664</v>
      </c>
    </row>
    <row r="32" customFormat="false" ht="16" hidden="false" customHeight="false" outlineLevel="0" collapsed="false">
      <c r="A32" s="1" t="n">
        <v>1980</v>
      </c>
      <c r="B32" s="24" t="n">
        <f aca="true">OFFSET(Yields!B23,0,$C$2-1)</f>
        <v>91</v>
      </c>
      <c r="C32" s="25"/>
      <c r="D32" s="25"/>
      <c r="E32" s="32" t="n">
        <v>59.3439115315298</v>
      </c>
      <c r="F32" s="24" t="n">
        <v>389.5</v>
      </c>
      <c r="G32" s="24"/>
      <c r="H32" s="27"/>
      <c r="I32" s="25"/>
      <c r="J32" s="25"/>
      <c r="K32" s="30"/>
      <c r="L32" s="31"/>
      <c r="M32" s="31"/>
      <c r="N32" s="25"/>
      <c r="O32" s="25" t="n">
        <f aca="true">OFFSET('New Huffman figures'!B27,0,C$2-1)</f>
        <v>22.361062014855</v>
      </c>
    </row>
    <row r="33" customFormat="false" ht="16" hidden="false" customHeight="false" outlineLevel="0" collapsed="false">
      <c r="A33" s="1" t="n">
        <v>1981</v>
      </c>
      <c r="B33" s="24" t="n">
        <f aca="true">OFFSET(Yields!B24,0,$C$2-1)</f>
        <v>108.9</v>
      </c>
      <c r="C33" s="25"/>
      <c r="D33" s="25"/>
      <c r="E33" s="32" t="n">
        <v>82.6108335881314</v>
      </c>
      <c r="F33" s="24" t="n">
        <v>487</v>
      </c>
      <c r="G33" s="24"/>
      <c r="H33" s="27"/>
      <c r="I33" s="25"/>
      <c r="J33" s="25"/>
      <c r="K33" s="30"/>
      <c r="L33" s="31"/>
      <c r="M33" s="31"/>
      <c r="N33" s="25"/>
      <c r="O33" s="25" t="n">
        <f aca="true">OFFSET('New Huffman figures'!B28,0,C$2-1)</f>
        <v>25.1519705941734</v>
      </c>
    </row>
    <row r="34" customFormat="false" ht="16" hidden="false" customHeight="false" outlineLevel="0" collapsed="false">
      <c r="A34" s="1" t="n">
        <v>1982</v>
      </c>
      <c r="B34" s="24" t="n">
        <f aca="true">OFFSET(Yields!B25,0,$C$2-1)</f>
        <v>113.2</v>
      </c>
      <c r="C34" s="25"/>
      <c r="D34" s="25"/>
      <c r="E34" s="26" t="n">
        <v>115</v>
      </c>
      <c r="F34" s="24" t="n">
        <v>537</v>
      </c>
      <c r="G34" s="24" t="n">
        <f aca="true">OFFSET('Private seed shares'!N44,0,$C$2-1)</f>
        <v>0.3638</v>
      </c>
      <c r="H34" s="27"/>
      <c r="I34" s="25" t="n">
        <f aca="false">G34*E34</f>
        <v>41.837</v>
      </c>
      <c r="J34" s="25"/>
      <c r="K34" s="30"/>
      <c r="L34" s="31"/>
      <c r="M34" s="31"/>
      <c r="N34" s="25"/>
      <c r="O34" s="25" t="n">
        <f aca="true">OFFSET('New Huffman figures'!B29,0,C$2-1)</f>
        <v>27.1713005186981</v>
      </c>
    </row>
    <row r="35" customFormat="false" ht="16" hidden="false" customHeight="false" outlineLevel="0" collapsed="false">
      <c r="A35" s="1" t="n">
        <v>1983</v>
      </c>
      <c r="B35" s="24" t="n">
        <f aca="true">OFFSET(Yields!B26,0,$C$2-1)</f>
        <v>81.1</v>
      </c>
      <c r="C35" s="25"/>
      <c r="D35" s="25"/>
      <c r="E35" s="26" t="n">
        <v>130.049292032261</v>
      </c>
      <c r="F35" s="24" t="n">
        <v>587</v>
      </c>
      <c r="G35" s="24"/>
      <c r="H35" s="27"/>
      <c r="I35" s="25"/>
      <c r="J35" s="25"/>
      <c r="K35" s="30"/>
      <c r="L35" s="31"/>
      <c r="M35" s="31"/>
      <c r="N35" s="25"/>
      <c r="O35" s="25" t="n">
        <f aca="true">OFFSET('New Huffman figures'!B30,0,C$2-1)</f>
        <v>30.0102955308079</v>
      </c>
    </row>
    <row r="36" customFormat="false" ht="16" hidden="false" customHeight="false" outlineLevel="0" collapsed="false">
      <c r="A36" s="1" t="n">
        <v>1984</v>
      </c>
      <c r="B36" s="24" t="n">
        <f aca="true">OFFSET(Yields!B27,0,$C$2-1)</f>
        <v>106.7</v>
      </c>
      <c r="C36" s="25" t="n">
        <f aca="false">I36+N36</f>
        <v>65.1207269057749</v>
      </c>
      <c r="D36" s="25" t="n">
        <f aca="false">J36+O36</f>
        <v>196.836151394463</v>
      </c>
      <c r="E36" s="26" t="n">
        <v>147.067985722541</v>
      </c>
      <c r="F36" s="24" t="n">
        <v>509.5</v>
      </c>
      <c r="G36" s="29" t="n">
        <f aca="false">G34+(2/7)*(G41-G34)</f>
        <v>0.3592</v>
      </c>
      <c r="H36" s="27" t="n">
        <f aca="true">OFFSET('Private protection shares'!S15,0,$C$2-1)</f>
        <v>0.221912437630867</v>
      </c>
      <c r="I36" s="25" t="n">
        <f aca="false">G36*E36</f>
        <v>52.8268204715367</v>
      </c>
      <c r="J36" s="25" t="n">
        <f aca="false">I36+(H36*F36)</f>
        <v>165.891207444463</v>
      </c>
      <c r="K36" s="30" t="n">
        <f aca="true">OFFSET('Public R&amp;D'!M31,0,C$2-1)</f>
        <v>28.2618538718118</v>
      </c>
      <c r="L36" s="31" t="n">
        <f aca="true">OFFSET('Public crop shares'!N5,0,C$2-1)</f>
        <v>0.435</v>
      </c>
      <c r="M36" s="31" t="n">
        <f aca="true">OFFSET('Public crop shares'!N5,0,C$2-1)+OFFSET('Public crop shares'!S5,0,C$2-1)</f>
        <v>0.773</v>
      </c>
      <c r="N36" s="25" t="n">
        <f aca="false">L36*K36</f>
        <v>12.2939064342381</v>
      </c>
      <c r="O36" s="25" t="n">
        <f aca="true">OFFSET('New Huffman figures'!B31,0,C$2-1)</f>
        <v>30.94494395</v>
      </c>
    </row>
    <row r="37" customFormat="false" ht="16" hidden="false" customHeight="false" outlineLevel="0" collapsed="false">
      <c r="A37" s="1" t="n">
        <v>1985</v>
      </c>
      <c r="B37" s="24" t="n">
        <f aca="true">OFFSET(Yields!B28,0,$C$2-1)</f>
        <v>118</v>
      </c>
      <c r="C37" s="25"/>
      <c r="D37" s="25"/>
      <c r="E37" s="26" t="n">
        <v>166.313803685452</v>
      </c>
      <c r="F37" s="24" t="n">
        <v>432</v>
      </c>
      <c r="G37" s="24"/>
      <c r="H37" s="27"/>
      <c r="I37" s="25"/>
      <c r="J37" s="25"/>
      <c r="K37" s="30"/>
      <c r="L37" s="31"/>
      <c r="M37" s="31"/>
      <c r="N37" s="25"/>
      <c r="O37" s="25" t="n">
        <f aca="true">OFFSET('New Huffman figures'!B32,0,C$2-1)</f>
        <v>33.6714243004016</v>
      </c>
    </row>
    <row r="38" customFormat="false" ht="16" hidden="false" customHeight="false" outlineLevel="0" collapsed="false">
      <c r="A38" s="1" t="n">
        <v>1986</v>
      </c>
      <c r="B38" s="24" t="n">
        <f aca="true">OFFSET(Yields!B29,0,$C$2-1)</f>
        <v>119.4</v>
      </c>
      <c r="C38" s="25"/>
      <c r="D38" s="25"/>
      <c r="E38" s="26" t="n">
        <v>188.078194995525</v>
      </c>
      <c r="F38" s="24" t="n">
        <v>415</v>
      </c>
      <c r="G38" s="24"/>
      <c r="H38" s="27"/>
      <c r="I38" s="25"/>
      <c r="J38" s="25"/>
      <c r="K38" s="30"/>
      <c r="L38" s="31"/>
      <c r="M38" s="31"/>
      <c r="N38" s="25"/>
      <c r="O38" s="25" t="n">
        <f aca="true">OFFSET('New Huffman figures'!B33,0,C$2-1)</f>
        <v>35.875191962359</v>
      </c>
    </row>
    <row r="39" customFormat="false" ht="16" hidden="false" customHeight="false" outlineLevel="0" collapsed="false">
      <c r="A39" s="1" t="n">
        <v>1987</v>
      </c>
      <c r="B39" s="24" t="n">
        <f aca="true">OFFSET(Yields!B30,0,$C$2-1)</f>
        <v>119.8</v>
      </c>
      <c r="C39" s="25"/>
      <c r="D39" s="25"/>
      <c r="E39" s="26" t="n">
        <v>212.690748746726</v>
      </c>
      <c r="F39" s="24" t="n">
        <v>398</v>
      </c>
      <c r="G39" s="24"/>
      <c r="H39" s="27"/>
      <c r="I39" s="25"/>
      <c r="J39" s="25"/>
      <c r="K39" s="30"/>
      <c r="L39" s="31"/>
      <c r="M39" s="31"/>
      <c r="N39" s="25"/>
      <c r="O39" s="25" t="n">
        <f aca="true">OFFSET('New Huffman figures'!B34,0,C$2-1)</f>
        <v>37.8227484424588</v>
      </c>
    </row>
    <row r="40" customFormat="false" ht="16" hidden="false" customHeight="false" outlineLevel="0" collapsed="false">
      <c r="A40" s="1" t="n">
        <v>1988</v>
      </c>
      <c r="B40" s="24" t="n">
        <f aca="true">OFFSET(Yields!B31,0,$C$2-1)</f>
        <v>84.6</v>
      </c>
      <c r="C40" s="25"/>
      <c r="D40" s="25"/>
      <c r="E40" s="26" t="n">
        <v>240.524185185419</v>
      </c>
      <c r="F40" s="24" t="n">
        <v>479.5</v>
      </c>
      <c r="G40" s="24"/>
      <c r="H40" s="27"/>
      <c r="I40" s="25"/>
      <c r="J40" s="25"/>
      <c r="K40" s="30"/>
      <c r="L40" s="31"/>
      <c r="M40" s="31"/>
      <c r="N40" s="25"/>
      <c r="O40" s="25" t="n">
        <f aca="true">OFFSET('New Huffman figures'!B35,0,C$2-1)</f>
        <v>40.6831450503205</v>
      </c>
    </row>
    <row r="41" customFormat="false" ht="16" hidden="false" customHeight="false" outlineLevel="0" collapsed="false">
      <c r="A41" s="1" t="n">
        <v>1989</v>
      </c>
      <c r="B41" s="24" t="n">
        <f aca="true">OFFSET(Yields!B32,0,$C$2-1)</f>
        <v>116.3</v>
      </c>
      <c r="C41" s="25"/>
      <c r="D41" s="25"/>
      <c r="E41" s="26" t="n">
        <v>272</v>
      </c>
      <c r="F41" s="24" t="n">
        <v>561</v>
      </c>
      <c r="G41" s="24" t="n">
        <f aca="true">OFFSET('Private seed shares'!N51,0,$C$2-1)</f>
        <v>0.3477</v>
      </c>
      <c r="H41" s="27"/>
      <c r="I41" s="25" t="n">
        <f aca="false">G41*E41</f>
        <v>94.5744</v>
      </c>
      <c r="J41" s="25"/>
      <c r="K41" s="30"/>
      <c r="L41" s="31"/>
      <c r="M41" s="31"/>
      <c r="N41" s="25"/>
      <c r="O41" s="25" t="n">
        <f aca="true">OFFSET('New Huffman figures'!B36,0,C$2-1)</f>
        <v>43.1554949447098</v>
      </c>
    </row>
    <row r="42" customFormat="false" ht="16" hidden="false" customHeight="false" outlineLevel="0" collapsed="false">
      <c r="A42" s="1" t="n">
        <v>1990</v>
      </c>
      <c r="B42" s="24" t="n">
        <f aca="true">OFFSET(Yields!B33,0,$C$2-1)</f>
        <v>118.5</v>
      </c>
      <c r="C42" s="25"/>
      <c r="D42" s="25"/>
      <c r="E42" s="32" t="n">
        <v>358.169085413082</v>
      </c>
      <c r="F42" s="24" t="n">
        <v>619.573110201004</v>
      </c>
      <c r="G42" s="24"/>
      <c r="H42" s="27"/>
      <c r="I42" s="25"/>
      <c r="J42" s="25"/>
      <c r="K42" s="30"/>
      <c r="L42" s="31"/>
      <c r="M42" s="31"/>
      <c r="N42" s="25"/>
      <c r="O42" s="25" t="n">
        <f aca="true">OFFSET('New Huffman figures'!B37,0,C$2-1)</f>
        <v>46.4844398694247</v>
      </c>
    </row>
    <row r="43" customFormat="false" ht="16" hidden="false" customHeight="false" outlineLevel="0" collapsed="false">
      <c r="A43" s="1" t="n">
        <v>1991</v>
      </c>
      <c r="B43" s="24" t="n">
        <f aca="true">OFFSET(Yields!B34,0,$C$2-1)</f>
        <v>108.6</v>
      </c>
      <c r="C43" s="25"/>
      <c r="D43" s="25"/>
      <c r="E43" s="32" t="n">
        <v>376.516840852759</v>
      </c>
      <c r="F43" s="24" t="n">
        <v>625.540893607172</v>
      </c>
      <c r="G43" s="24"/>
      <c r="H43" s="27"/>
      <c r="I43" s="25"/>
      <c r="J43" s="25"/>
      <c r="K43" s="30"/>
      <c r="L43" s="31"/>
      <c r="M43" s="31"/>
      <c r="N43" s="25"/>
      <c r="O43" s="25" t="n">
        <f aca="true">OFFSET('New Huffman figures'!B38,0,C$2-1)</f>
        <v>50.0752929222131</v>
      </c>
    </row>
    <row r="44" customFormat="false" ht="16" hidden="false" customHeight="false" outlineLevel="0" collapsed="false">
      <c r="A44" s="1" t="n">
        <v>1992</v>
      </c>
      <c r="B44" s="24" t="n">
        <f aca="true">OFFSET(Yields!B35,0,$C$2-1)</f>
        <v>131.5</v>
      </c>
      <c r="C44" s="25"/>
      <c r="D44" s="25"/>
      <c r="E44" s="32" t="n">
        <v>404.129129774065</v>
      </c>
      <c r="F44" s="24" t="n">
        <v>659.051773652923</v>
      </c>
      <c r="G44" s="24"/>
      <c r="H44" s="27"/>
      <c r="I44" s="25"/>
      <c r="J44" s="25"/>
      <c r="K44" s="30"/>
      <c r="L44" s="31"/>
      <c r="M44" s="31"/>
      <c r="N44" s="25"/>
      <c r="O44" s="25" t="n">
        <f aca="true">OFFSET('New Huffman figures'!B39,0,C$2-1)</f>
        <v>51.2352616780684</v>
      </c>
    </row>
    <row r="45" customFormat="false" ht="16" hidden="false" customHeight="false" outlineLevel="0" collapsed="false">
      <c r="A45" s="1" t="n">
        <v>1993</v>
      </c>
      <c r="B45" s="24" t="n">
        <f aca="true">OFFSET(Yields!B36,0,$C$2-1)</f>
        <v>100.7</v>
      </c>
      <c r="C45" s="25"/>
      <c r="D45" s="25"/>
      <c r="E45" s="32" t="n">
        <v>419.982885155704</v>
      </c>
      <c r="F45" s="24" t="n">
        <v>682.588686344823</v>
      </c>
      <c r="G45" s="24"/>
      <c r="H45" s="27"/>
      <c r="I45" s="25"/>
      <c r="J45" s="25"/>
      <c r="K45" s="30" t="n">
        <f aca="true">OFFSET('Public R&amp;D'!M40,0,C$2-1)</f>
        <v>92.123</v>
      </c>
      <c r="L45" s="29" t="n">
        <f aca="false">L36+(9/13)*(L49-L36)</f>
        <v>0.383769230769231</v>
      </c>
      <c r="M45" s="29" t="n">
        <f aca="false">M36+(9/13)*(M49-M36)</f>
        <v>0.678153846153846</v>
      </c>
      <c r="N45" s="25" t="n">
        <f aca="false">L45*K45</f>
        <v>35.3539728461538</v>
      </c>
      <c r="O45" s="25" t="n">
        <f aca="true">OFFSET('New Huffman figures'!B40,0,C$2-1)</f>
        <v>51.8356181081284</v>
      </c>
    </row>
    <row r="46" customFormat="false" ht="16" hidden="false" customHeight="false" outlineLevel="0" collapsed="false">
      <c r="A46" s="1" t="n">
        <v>1994</v>
      </c>
      <c r="B46" s="24" t="n">
        <f aca="true">OFFSET(Yields!B37,0,$C$2-1)</f>
        <v>138.6</v>
      </c>
      <c r="C46" s="25" t="n">
        <f aca="false">I46+N46</f>
        <v>182.996682310931</v>
      </c>
      <c r="D46" s="25" t="n">
        <f aca="false">J46+O46</f>
        <v>367.560475982962</v>
      </c>
      <c r="E46" s="32" t="n">
        <v>430.033585234859</v>
      </c>
      <c r="F46" s="24" t="n">
        <v>708.386906152001</v>
      </c>
      <c r="G46" s="24" t="n">
        <f aca="true">OFFSET('Private seed shares'!N56,0,$C$2-1)</f>
        <v>0.3405</v>
      </c>
      <c r="H46" s="33" t="n">
        <f aca="false">H36+(10/13)*(H49-H36)</f>
        <v>0.238066646345319</v>
      </c>
      <c r="I46" s="25" t="n">
        <f aca="false">G46*E46</f>
        <v>146.42643577247</v>
      </c>
      <c r="J46" s="25" t="n">
        <f aca="false">I46+(H46*F46)</f>
        <v>315.069730835013</v>
      </c>
      <c r="K46" s="30" t="n">
        <f aca="true">OFFSET('Public R&amp;D'!M41,0,C$2-1)</f>
        <v>96.727</v>
      </c>
      <c r="L46" s="29" t="n">
        <f aca="false">L36+(10/13)*(L49-L36)</f>
        <v>0.378076923076923</v>
      </c>
      <c r="M46" s="29" t="n">
        <f aca="false">M36+(10/13)*(M49-M36)</f>
        <v>0.667615384615385</v>
      </c>
      <c r="N46" s="25" t="n">
        <f aca="false">L46*K46</f>
        <v>36.5702465384615</v>
      </c>
      <c r="O46" s="25" t="n">
        <f aca="true">OFFSET('New Huffman figures'!B41,0,C$2-1)</f>
        <v>52.4907451479489</v>
      </c>
    </row>
    <row r="47" customFormat="false" ht="16" hidden="false" customHeight="false" outlineLevel="0" collapsed="false">
      <c r="A47" s="1" t="n">
        <v>1995</v>
      </c>
      <c r="B47" s="24" t="n">
        <f aca="true">OFFSET(Yields!B38,0,$C$2-1)</f>
        <v>113.5</v>
      </c>
      <c r="C47" s="25" t="n">
        <f aca="false">I47+N47</f>
        <v>217.622317961089</v>
      </c>
      <c r="D47" s="25" t="n">
        <f aca="false">J47+O47</f>
        <v>419.268860322693</v>
      </c>
      <c r="E47" s="32" t="n">
        <v>497.089777581256</v>
      </c>
      <c r="F47" s="24" t="n">
        <v>753.892510405735</v>
      </c>
      <c r="G47" s="25" t="n">
        <f aca="false">G46+(1/7)*(G53-G46)</f>
        <v>0.362069276790471</v>
      </c>
      <c r="H47" s="23" t="n">
        <f aca="false">H36+(11/13)*(H49-H36)</f>
        <v>0.239682067216765</v>
      </c>
      <c r="I47" s="25" t="n">
        <f aca="false">G47*E47</f>
        <v>179.980936268781</v>
      </c>
      <c r="J47" s="25" t="n">
        <f aca="false">I47+(H47*F47)</f>
        <v>360.675451622064</v>
      </c>
      <c r="K47" s="30" t="n">
        <f aca="true">OFFSET('Public R&amp;D'!M42,0,C$2-1)</f>
        <v>101.082</v>
      </c>
      <c r="L47" s="29" t="n">
        <f aca="false">L36+(11/13)*(L49-L36)</f>
        <v>0.372384615384615</v>
      </c>
      <c r="M47" s="29" t="n">
        <f aca="false">M36+(11/13)*(M49-M36)</f>
        <v>0.657076923076923</v>
      </c>
      <c r="N47" s="25" t="n">
        <f aca="false">L47*K47</f>
        <v>37.6413816923077</v>
      </c>
      <c r="O47" s="25" t="n">
        <f aca="true">OFFSET('New Huffman figures'!B42,0,C$2-1)</f>
        <v>58.5934087006286</v>
      </c>
    </row>
    <row r="48" customFormat="false" ht="16" hidden="false" customHeight="false" outlineLevel="0" collapsed="false">
      <c r="A48" s="1" t="n">
        <v>1996</v>
      </c>
      <c r="B48" s="24" t="n">
        <f aca="true">OFFSET(Yields!B39,0,$C$2-1)</f>
        <v>127.1</v>
      </c>
      <c r="C48" s="25" t="n">
        <f aca="false">I48+N48</f>
        <v>276.537508774368</v>
      </c>
      <c r="D48" s="25" t="n">
        <f aca="false">J48+O48</f>
        <v>492.85019308151</v>
      </c>
      <c r="E48" s="32" t="n">
        <v>626.755704313123</v>
      </c>
      <c r="F48" s="24" t="n">
        <v>834.519428225923</v>
      </c>
      <c r="G48" s="25" t="n">
        <f aca="false">G46+(2/7)*(G53-G46)</f>
        <v>0.383638553580941</v>
      </c>
      <c r="H48" s="23" t="n">
        <f aca="false">H36+(12/13)*(H49-H36)</f>
        <v>0.24129748808821</v>
      </c>
      <c r="I48" s="25" t="n">
        <f aca="false">G48*E48</f>
        <v>240.447651851291</v>
      </c>
      <c r="J48" s="25" t="n">
        <f aca="false">I48+(H48*F48)</f>
        <v>441.815093643015</v>
      </c>
      <c r="K48" s="30" t="n">
        <f aca="true">OFFSET('Public R&amp;D'!M43,0,C$2-1)</f>
        <v>98.42</v>
      </c>
      <c r="L48" s="29" t="n">
        <f aca="false">L36+(12/13)*(L49-L36)</f>
        <v>0.366692307692308</v>
      </c>
      <c r="M48" s="29" t="n">
        <f aca="false">M36+(12/13)*(M49-M36)</f>
        <v>0.646538461538461</v>
      </c>
      <c r="N48" s="25" t="n">
        <f aca="false">L48*K48</f>
        <v>36.0898569230769</v>
      </c>
      <c r="O48" s="25" t="n">
        <f aca="true">OFFSET('New Huffman figures'!B43,0,C$2-1)</f>
        <v>51.0350994384945</v>
      </c>
    </row>
    <row r="49" customFormat="false" ht="16" hidden="false" customHeight="false" outlineLevel="0" collapsed="false">
      <c r="A49" s="1" t="n">
        <v>1997</v>
      </c>
      <c r="B49" s="24" t="n">
        <f aca="true">OFFSET(Yields!B40,0,$C$2-1)</f>
        <v>126.7</v>
      </c>
      <c r="C49" s="25" t="n">
        <f aca="false">I49+N49</f>
        <v>346.329942854121</v>
      </c>
      <c r="D49" s="25" t="n">
        <f aca="false">J49+O49</f>
        <v>583.095807463632</v>
      </c>
      <c r="E49" s="32" t="n">
        <v>767.078747143702</v>
      </c>
      <c r="F49" s="24" t="n">
        <v>901.485129868401</v>
      </c>
      <c r="G49" s="25" t="n">
        <f aca="false">G46+(3/7)*(G53-G46)</f>
        <v>0.405207830371412</v>
      </c>
      <c r="H49" s="27" t="n">
        <f aca="true">OFFSET('Private protection shares'!S16,0,$C$2-1)</f>
        <v>0.242912908959655</v>
      </c>
      <c r="I49" s="25" t="n">
        <f aca="false">G49*E49</f>
        <v>310.826314854121</v>
      </c>
      <c r="J49" s="25" t="n">
        <f aca="false">I49+(H49*F49)</f>
        <v>529.808690134326</v>
      </c>
      <c r="K49" s="30" t="n">
        <f aca="true">OFFSET('Public R&amp;D'!M44,0,C$2-1)</f>
        <v>98.348</v>
      </c>
      <c r="L49" s="31" t="n">
        <f aca="true">OFFSET('Public crop shares'!N6,0,C$2-1)</f>
        <v>0.361</v>
      </c>
      <c r="M49" s="31" t="n">
        <f aca="true">OFFSET('Public crop shares'!N6,0,C$2-1)+OFFSET('Public crop shares'!S6,0,C$2-1)</f>
        <v>0.636</v>
      </c>
      <c r="N49" s="25" t="n">
        <f aca="false">L49*K49</f>
        <v>35.503628</v>
      </c>
      <c r="O49" s="25" t="n">
        <f aca="true">OFFSET('New Huffman figures'!B44,0,C$2-1)</f>
        <v>53.2871173293056</v>
      </c>
    </row>
    <row r="50" customFormat="false" ht="16" hidden="false" customHeight="false" outlineLevel="0" collapsed="false">
      <c r="A50" s="1" t="n">
        <v>1998</v>
      </c>
      <c r="B50" s="24" t="n">
        <f aca="true">OFFSET(Yields!B41,0,$C$2-1)</f>
        <v>134.4</v>
      </c>
      <c r="C50" s="25" t="n">
        <f aca="false">I50+N50</f>
        <v>435.903863608009</v>
      </c>
      <c r="D50" s="25" t="n">
        <f aca="false">J50+O50</f>
        <v>656.042710842332</v>
      </c>
      <c r="E50" s="32" t="n">
        <v>942.088766854827</v>
      </c>
      <c r="F50" s="24" t="n">
        <v>849.217564294021</v>
      </c>
      <c r="G50" s="25" t="n">
        <f aca="false">G46+(4/7)*(G53-G46)</f>
        <v>0.426777107161883</v>
      </c>
      <c r="H50" s="23" t="n">
        <f aca="false">H$49+(1/11)*(H$60-H$49)</f>
        <v>0.249079232578473</v>
      </c>
      <c r="I50" s="25" t="n">
        <f aca="false">G50*E50</f>
        <v>402.061918608009</v>
      </c>
      <c r="J50" s="25" t="n">
        <f aca="false">I50+(H50*F50)</f>
        <v>613.584377814523</v>
      </c>
      <c r="K50" s="30" t="n">
        <f aca="true">OFFSET('Public R&amp;D'!M45,0,C$2-1)</f>
        <v>93.745</v>
      </c>
      <c r="L50" s="29" t="n">
        <f aca="false">L49</f>
        <v>0.361</v>
      </c>
      <c r="M50" s="29" t="n">
        <f aca="false">M49</f>
        <v>0.636</v>
      </c>
      <c r="N50" s="25" t="n">
        <f aca="false">L50*K50</f>
        <v>33.841945</v>
      </c>
      <c r="O50" s="25" t="n">
        <f aca="true">OFFSET('New Huffman figures'!B45,0,C$2-1)</f>
        <v>42.4583330278086</v>
      </c>
    </row>
    <row r="51" customFormat="false" ht="16" hidden="false" customHeight="false" outlineLevel="0" collapsed="false">
      <c r="A51" s="1" t="n">
        <v>1999</v>
      </c>
      <c r="B51" s="24" t="n">
        <f aca="true">OFFSET(Yields!B42,0,$C$2-1)</f>
        <v>133.8</v>
      </c>
      <c r="C51" s="25" t="n">
        <f aca="false">I51+N51</f>
        <v>473.075623452825</v>
      </c>
      <c r="D51" s="25" t="n">
        <f aca="false">J51+O51</f>
        <v>676.126025231367</v>
      </c>
      <c r="E51" s="32" t="n">
        <v>974.191571709524</v>
      </c>
      <c r="F51" s="24" t="n">
        <v>756.902875714379</v>
      </c>
      <c r="G51" s="25" t="n">
        <f aca="false">G46+(5/7)*(G53-G46)</f>
        <v>0.448346383952354</v>
      </c>
      <c r="H51" s="23" t="n">
        <f aca="false">H$49+(2/11)*(H$60-H$49)</f>
        <v>0.25524555619729</v>
      </c>
      <c r="I51" s="25" t="n">
        <f aca="false">G51*E51</f>
        <v>436.775268452825</v>
      </c>
      <c r="J51" s="25" t="n">
        <f aca="false">I51+(H51*F51)</f>
        <v>629.97136395187</v>
      </c>
      <c r="K51" s="30" t="n">
        <f aca="true">OFFSET('Public R&amp;D'!M46,0,C$2-1)</f>
        <v>100.555</v>
      </c>
      <c r="L51" s="29" t="n">
        <f aca="false">L50</f>
        <v>0.361</v>
      </c>
      <c r="M51" s="29" t="n">
        <f aca="false">M50</f>
        <v>0.636</v>
      </c>
      <c r="N51" s="25" t="n">
        <f aca="false">L51*K51</f>
        <v>36.300355</v>
      </c>
      <c r="O51" s="25" t="n">
        <f aca="true">OFFSET('New Huffman figures'!B46,0,C$2-1)</f>
        <v>46.1546612794971</v>
      </c>
    </row>
    <row r="52" customFormat="false" ht="16" hidden="false" customHeight="false" outlineLevel="0" collapsed="false">
      <c r="A52" s="1" t="n">
        <v>2000</v>
      </c>
      <c r="B52" s="24" t="n">
        <f aca="true">OFFSET(Yields!B43,0,$C$2-1)</f>
        <v>136.9</v>
      </c>
      <c r="C52" s="25" t="n">
        <f aca="false">I52+N52</f>
        <v>520.081643915532</v>
      </c>
      <c r="D52" s="25" t="n">
        <f aca="false">J52+O52</f>
        <v>712.774844217496</v>
      </c>
      <c r="E52" s="32" t="n">
        <v>1024.6030642061</v>
      </c>
      <c r="F52" s="24" t="n">
        <v>702.753427880802</v>
      </c>
      <c r="G52" s="25" t="n">
        <f aca="false">G46+(6/7)*(G53-G46)</f>
        <v>0.469915660742824</v>
      </c>
      <c r="H52" s="23" t="n">
        <f aca="false">H$49+(3/11)*(H$60-H$49)</f>
        <v>0.261411879816108</v>
      </c>
      <c r="I52" s="25" t="n">
        <f aca="false">G52*E52</f>
        <v>481.477025915532</v>
      </c>
      <c r="J52" s="25" t="n">
        <f aca="false">I52+(H52*F52)</f>
        <v>665.185120545066</v>
      </c>
      <c r="K52" s="30" t="n">
        <f aca="true">OFFSET('Public R&amp;D'!M47,0,C$2-1)</f>
        <v>106.938</v>
      </c>
      <c r="L52" s="29" t="n">
        <f aca="false">L51</f>
        <v>0.361</v>
      </c>
      <c r="M52" s="29" t="n">
        <f aca="false">M51</f>
        <v>0.636</v>
      </c>
      <c r="N52" s="25" t="n">
        <f aca="false">L52*K52</f>
        <v>38.604618</v>
      </c>
      <c r="O52" s="25" t="n">
        <f aca="true">OFFSET('New Huffman figures'!B47,0,C$2-1)</f>
        <v>47.58972367243</v>
      </c>
    </row>
    <row r="53" customFormat="false" ht="16" hidden="false" customHeight="false" outlineLevel="0" collapsed="false">
      <c r="A53" s="1" t="n">
        <v>2001</v>
      </c>
      <c r="B53" s="24" t="n">
        <f aca="true">OFFSET(Yields!B44,0,$C$2-1)</f>
        <v>138.2</v>
      </c>
      <c r="C53" s="25" t="n">
        <f aca="false">I53+N53</f>
        <v>515.760697288212</v>
      </c>
      <c r="D53" s="25" t="n">
        <f aca="false">J53+O53</f>
        <v>663.299514777723</v>
      </c>
      <c r="E53" s="32" t="n">
        <v>968.33670158197</v>
      </c>
      <c r="F53" s="24" t="n">
        <v>530.694279500001</v>
      </c>
      <c r="G53" s="24" t="n">
        <f aca="true">OFFSET('Private seed shares'!N63,0,$C$2-1)</f>
        <v>0.491484937533295</v>
      </c>
      <c r="H53" s="23" t="n">
        <f aca="false">H$49+(4/11)*(H$60-H$49)</f>
        <v>0.267578203434925</v>
      </c>
      <c r="I53" s="25" t="n">
        <f aca="false">G53*E53</f>
        <v>475.922903288212</v>
      </c>
      <c r="J53" s="25" t="n">
        <f aca="false">I53+(H53*F53)</f>
        <v>617.925125170014</v>
      </c>
      <c r="K53" s="30" t="n">
        <f aca="true">OFFSET('Public R&amp;D'!M48,0,C$2-1)</f>
        <v>110.354</v>
      </c>
      <c r="L53" s="29" t="n">
        <f aca="false">L52</f>
        <v>0.361</v>
      </c>
      <c r="M53" s="29" t="n">
        <f aca="false">M52</f>
        <v>0.636</v>
      </c>
      <c r="N53" s="25" t="n">
        <f aca="false">L53*K53</f>
        <v>39.837794</v>
      </c>
      <c r="O53" s="25" t="n">
        <f aca="true">OFFSET('New Huffman figures'!B48,0,C$2-1)</f>
        <v>45.3743896077088</v>
      </c>
    </row>
    <row r="54" customFormat="false" ht="16" hidden="false" customHeight="false" outlineLevel="0" collapsed="false">
      <c r="A54" s="1" t="n">
        <v>2002</v>
      </c>
      <c r="B54" s="24" t="n">
        <f aca="true">OFFSET(Yields!B45,0,$C$2-1)</f>
        <v>129.3</v>
      </c>
      <c r="C54" s="25" t="n">
        <f aca="false">I54+N54</f>
        <v>530.654913527264</v>
      </c>
      <c r="D54" s="25" t="n">
        <f aca="false">J54+O54</f>
        <v>679.365448089768</v>
      </c>
      <c r="E54" s="32" t="n">
        <v>992.796737528114</v>
      </c>
      <c r="F54" s="24" t="n">
        <v>534.42421233957</v>
      </c>
      <c r="G54" s="25" t="n">
        <f aca="false">G53</f>
        <v>0.491484937533295</v>
      </c>
      <c r="H54" s="23" t="n">
        <f aca="false">H$49+(5/11)*(H$60-H$49)</f>
        <v>0.273744527053743</v>
      </c>
      <c r="I54" s="25" t="n">
        <f aca="false">G54*E54</f>
        <v>487.944642527264</v>
      </c>
      <c r="J54" s="25" t="n">
        <f aca="false">I54+(H54*F54)</f>
        <v>634.240345780229</v>
      </c>
      <c r="K54" s="30" t="n">
        <f aca="true">OFFSET('Public R&amp;D'!M49,0,C$2-1)</f>
        <v>118.311</v>
      </c>
      <c r="L54" s="29" t="n">
        <f aca="false">L53</f>
        <v>0.361</v>
      </c>
      <c r="M54" s="29" t="n">
        <f aca="false">M53</f>
        <v>0.636</v>
      </c>
      <c r="N54" s="25" t="n">
        <f aca="false">L54*K54</f>
        <v>42.710271</v>
      </c>
      <c r="O54" s="25" t="n">
        <f aca="true">OFFSET('New Huffman figures'!B49,0,C$2-1)</f>
        <v>45.1251023095393</v>
      </c>
    </row>
    <row r="55" customFormat="false" ht="16" hidden="false" customHeight="false" outlineLevel="0" collapsed="false">
      <c r="A55" s="1" t="n">
        <v>2003</v>
      </c>
      <c r="B55" s="24" t="n">
        <f aca="true">OFFSET(Yields!B46,0,$C$2-1)</f>
        <v>142.2</v>
      </c>
      <c r="C55" s="25" t="n">
        <f aca="false">I55+N55</f>
        <v>532.213864751022</v>
      </c>
      <c r="D55" s="25" t="n">
        <f aca="false">J55+O55</f>
        <v>689.534791427861</v>
      </c>
      <c r="E55" s="32" t="n">
        <v>995.804862723523</v>
      </c>
      <c r="F55" s="24" t="n">
        <v>555.045383145603</v>
      </c>
      <c r="G55" s="25" t="n">
        <f aca="false">G54</f>
        <v>0.491484937533295</v>
      </c>
      <c r="H55" s="23" t="n">
        <f aca="false">H$49+(6/11)*(H$60-H$49)</f>
        <v>0.27991085067256</v>
      </c>
      <c r="I55" s="25" t="n">
        <f aca="false">G55*E55</f>
        <v>489.423090751022</v>
      </c>
      <c r="J55" s="25" t="n">
        <f aca="false">I55+(H55*F55)</f>
        <v>644.786316109185</v>
      </c>
      <c r="K55" s="30" t="n">
        <f aca="true">OFFSET('Public R&amp;D'!M50,0,C$2-1)</f>
        <v>118.534</v>
      </c>
      <c r="L55" s="29" t="n">
        <f aca="false">L54</f>
        <v>0.361</v>
      </c>
      <c r="M55" s="29" t="n">
        <f aca="false">M54</f>
        <v>0.636</v>
      </c>
      <c r="N55" s="25" t="n">
        <f aca="false">L55*K55</f>
        <v>42.790774</v>
      </c>
      <c r="O55" s="25" t="n">
        <f aca="true">OFFSET('New Huffman figures'!B50,0,C$2-1)</f>
        <v>44.7484753186759</v>
      </c>
    </row>
    <row r="56" customFormat="false" ht="16" hidden="false" customHeight="false" outlineLevel="0" collapsed="false">
      <c r="A56" s="1" t="n">
        <v>2004</v>
      </c>
      <c r="B56" s="24" t="n">
        <f aca="true">OFFSET(Yields!B47,0,$C$2-1)</f>
        <v>160.3</v>
      </c>
      <c r="C56" s="25" t="n">
        <f aca="false">I56+N56</f>
        <v>567.469685231618</v>
      </c>
      <c r="D56" s="25" t="n">
        <f aca="false">J56+O56</f>
        <v>745.299467383735</v>
      </c>
      <c r="E56" s="32" t="n">
        <v>1061.12072701371</v>
      </c>
      <c r="F56" s="24" t="n">
        <v>602.376990434418</v>
      </c>
      <c r="G56" s="25" t="n">
        <f aca="false">G55</f>
        <v>0.491484937533295</v>
      </c>
      <c r="H56" s="23" t="n">
        <f aca="false">H$49+(7/11)*(H$60-H$49)</f>
        <v>0.286077174291378</v>
      </c>
      <c r="I56" s="25" t="n">
        <f aca="false">G56*E56</f>
        <v>521.524854231618</v>
      </c>
      <c r="J56" s="25" t="n">
        <f aca="false">I56+(H56*F56)</f>
        <v>693.85116151324</v>
      </c>
      <c r="K56" s="30" t="n">
        <f aca="true">OFFSET('Public R&amp;D'!M51,0,C$2-1)</f>
        <v>127.271</v>
      </c>
      <c r="L56" s="29" t="n">
        <f aca="false">L55</f>
        <v>0.361</v>
      </c>
      <c r="M56" s="29" t="n">
        <f aca="false">M55</f>
        <v>0.636</v>
      </c>
      <c r="N56" s="25" t="n">
        <f aca="false">L56*K56</f>
        <v>45.944831</v>
      </c>
      <c r="O56" s="25" t="n">
        <f aca="true">OFFSET('New Huffman figures'!B51,0,C$2-1)</f>
        <v>51.448305870495</v>
      </c>
    </row>
    <row r="57" customFormat="false" ht="16" hidden="false" customHeight="false" outlineLevel="0" collapsed="false">
      <c r="A57" s="1" t="n">
        <v>2005</v>
      </c>
      <c r="B57" s="24" t="n">
        <f aca="true">OFFSET(Yields!B48,0,$C$2-1)</f>
        <v>147.9</v>
      </c>
      <c r="C57" s="25" t="n">
        <f aca="false">I57+N57</f>
        <v>575.578418216116</v>
      </c>
      <c r="D57" s="25" t="n">
        <f aca="false">J57+O57</f>
        <v>761.469897590544</v>
      </c>
      <c r="E57" s="32" t="n">
        <v>1080.31334160703</v>
      </c>
      <c r="F57" s="24" t="n">
        <v>607.933594872561</v>
      </c>
      <c r="G57" s="25" t="n">
        <f aca="false">G56</f>
        <v>0.491484937533295</v>
      </c>
      <c r="H57" s="23" t="n">
        <f aca="false">H$49+(8/11)*(H$60-H$49)</f>
        <v>0.292243497910195</v>
      </c>
      <c r="I57" s="25" t="n">
        <f aca="false">G57*E57</f>
        <v>530.957735216116</v>
      </c>
      <c r="J57" s="25" t="n">
        <f aca="false">I57+(H57*F57)</f>
        <v>708.622375478793</v>
      </c>
      <c r="K57" s="30" t="n">
        <f aca="true">OFFSET('Public R&amp;D'!M52,0,C$2-1)</f>
        <v>123.603</v>
      </c>
      <c r="L57" s="29" t="n">
        <f aca="false">L56</f>
        <v>0.361</v>
      </c>
      <c r="M57" s="29" t="n">
        <f aca="false">M56</f>
        <v>0.636</v>
      </c>
      <c r="N57" s="25" t="n">
        <f aca="false">L57*K57</f>
        <v>44.620683</v>
      </c>
      <c r="O57" s="25" t="n">
        <f aca="true">OFFSET('New Huffman figures'!B52,0,C$2-1)</f>
        <v>52.8475221117504</v>
      </c>
    </row>
    <row r="58" customFormat="false" ht="16" hidden="false" customHeight="false" outlineLevel="0" collapsed="false">
      <c r="A58" s="1" t="n">
        <v>2006</v>
      </c>
      <c r="B58" s="24" t="n">
        <f aca="true">OFFSET(Yields!B49,0,$C$2-1)</f>
        <v>149.1</v>
      </c>
      <c r="C58" s="25" t="n">
        <f aca="false">I58+N58</f>
        <v>658.839528555514</v>
      </c>
      <c r="D58" s="25" t="n">
        <f aca="false">J58+O58</f>
        <v>880.9028826123</v>
      </c>
      <c r="E58" s="32" t="n">
        <v>1253.01192269762</v>
      </c>
      <c r="F58" s="24" t="n">
        <v>592.200661856757</v>
      </c>
      <c r="G58" s="25" t="n">
        <f aca="false">G57</f>
        <v>0.491484937533295</v>
      </c>
      <c r="H58" s="23" t="n">
        <f aca="false">H$49+(19/11)*(H$60-H$49)</f>
        <v>0.360073057717188</v>
      </c>
      <c r="I58" s="25" t="n">
        <f aca="false">G58*E58</f>
        <v>615.836486555514</v>
      </c>
      <c r="J58" s="25" t="n">
        <f aca="false">I58+(H58*F58)</f>
        <v>829.071989652419</v>
      </c>
      <c r="K58" s="30" t="n">
        <f aca="true">OFFSET('Public R&amp;D'!M53,0,C$2-1)</f>
        <v>119.122</v>
      </c>
      <c r="L58" s="29" t="n">
        <f aca="false">L57</f>
        <v>0.361</v>
      </c>
      <c r="M58" s="29" t="n">
        <f aca="false">M57</f>
        <v>0.636</v>
      </c>
      <c r="N58" s="25" t="n">
        <f aca="false">L58*K58</f>
        <v>43.003042</v>
      </c>
      <c r="O58" s="25" t="n">
        <f aca="true">OFFSET('New Huffman figures'!B53,0,C$2-1)</f>
        <v>51.8308929598805</v>
      </c>
    </row>
    <row r="59" customFormat="false" ht="16" hidden="false" customHeight="false" outlineLevel="0" collapsed="false">
      <c r="A59" s="1" t="n">
        <v>2007</v>
      </c>
      <c r="B59" s="24" t="n">
        <f aca="true">OFFSET(Yields!B50,0,$C$2-1)</f>
        <v>150.7</v>
      </c>
      <c r="C59" s="25" t="n">
        <f aca="false">I59+N59</f>
        <v>727.873083552503</v>
      </c>
      <c r="D59" s="25" t="n">
        <f aca="false">J59+O59</f>
        <v>925.921407851605</v>
      </c>
      <c r="E59" s="32" t="n">
        <v>1390.65275933548</v>
      </c>
      <c r="F59" s="24" t="n">
        <v>617.566543268255</v>
      </c>
      <c r="G59" s="25" t="n">
        <f aca="false">G58</f>
        <v>0.491484937533295</v>
      </c>
      <c r="H59" s="23" t="n">
        <f aca="false">H$49+(10/11)*(H$60-H$49)</f>
        <v>0.30457614514783</v>
      </c>
      <c r="I59" s="25" t="n">
        <f aca="false">G59*E59</f>
        <v>683.484884552503</v>
      </c>
      <c r="J59" s="25" t="n">
        <f aca="false">I59+(H59*F59)</f>
        <v>871.580921673419</v>
      </c>
      <c r="K59" s="30" t="n">
        <f aca="true">OFFSET('Public R&amp;D'!M54,0,C$2-1)</f>
        <v>122.959</v>
      </c>
      <c r="L59" s="29" t="n">
        <f aca="false">L58</f>
        <v>0.361</v>
      </c>
      <c r="M59" s="29" t="n">
        <f aca="false">M58</f>
        <v>0.636</v>
      </c>
      <c r="N59" s="25" t="n">
        <f aca="false">L59*K59</f>
        <v>44.388199</v>
      </c>
      <c r="O59" s="25" t="n">
        <f aca="true">OFFSET('New Huffman figures'!B54,0,C$2-1)</f>
        <v>54.3404861781861</v>
      </c>
    </row>
    <row r="60" customFormat="false" ht="16" hidden="false" customHeight="false" outlineLevel="0" collapsed="false">
      <c r="A60" s="1" t="n">
        <v>2008</v>
      </c>
      <c r="B60" s="24" t="n">
        <f aca="true">OFFSET(Yields!B51,0,$C$2-1)</f>
        <v>153.3</v>
      </c>
      <c r="C60" s="25" t="n">
        <f aca="false">I60+N60</f>
        <v>884.072729213493</v>
      </c>
      <c r="D60" s="25" t="n">
        <f aca="false">J60+O60</f>
        <v>1106.47671769746</v>
      </c>
      <c r="E60" s="32" t="n">
        <v>1710.12074028526</v>
      </c>
      <c r="F60" s="24" t="n">
        <v>686.718012938141</v>
      </c>
      <c r="G60" s="25" t="n">
        <f aca="false">G59</f>
        <v>0.491484937533295</v>
      </c>
      <c r="H60" s="27" t="n">
        <f aca="true">OFFSET('Private protection shares'!S17,0,$C$2-1)</f>
        <v>0.310742468766648</v>
      </c>
      <c r="I60" s="25" t="n">
        <f aca="false">G60*E60</f>
        <v>840.498585213493</v>
      </c>
      <c r="J60" s="25" t="n">
        <f aca="false">I60+(H60*F60)</f>
        <v>1053.89103590042</v>
      </c>
      <c r="K60" s="30" t="n">
        <f aca="true">OFFSET('Public R&amp;D'!M55,0,C$2-1)</f>
        <v>120.704</v>
      </c>
      <c r="L60" s="29" t="n">
        <f aca="false">L59</f>
        <v>0.361</v>
      </c>
      <c r="M60" s="29" t="n">
        <f aca="false">M59</f>
        <v>0.636</v>
      </c>
      <c r="N60" s="25" t="n">
        <f aca="false">L60*K60</f>
        <v>43.574144</v>
      </c>
      <c r="O60" s="25" t="n">
        <f aca="true">OFFSET('New Huffman figures'!B55,0,C$2-1)</f>
        <v>52.5856817970427</v>
      </c>
    </row>
    <row r="61" customFormat="false" ht="16" hidden="false" customHeight="false" outlineLevel="0" collapsed="false">
      <c r="A61" s="1" t="n">
        <v>2009</v>
      </c>
      <c r="B61" s="24" t="n">
        <f aca="true">OFFSET(Yields!B52,0,$C$2-1)</f>
        <v>164.4</v>
      </c>
      <c r="C61" s="25" t="n">
        <f aca="false">I61+N61</f>
        <v>962.830029536435</v>
      </c>
      <c r="D61" s="25" t="n">
        <f aca="false">J61+O61</f>
        <v>1209.63941878637</v>
      </c>
      <c r="E61" s="32" t="n">
        <v>1869.38227069104</v>
      </c>
      <c r="F61" s="24" t="n">
        <v>760.895071371004</v>
      </c>
      <c r="G61" s="25" t="n">
        <f aca="false">G60</f>
        <v>0.491484937533295</v>
      </c>
      <c r="H61" s="23" t="n">
        <f aca="false">H60</f>
        <v>0.310742468766648</v>
      </c>
      <c r="I61" s="25" t="n">
        <f aca="false">G61*E61</f>
        <v>918.773228536435</v>
      </c>
      <c r="J61" s="25" t="n">
        <f aca="false">I61+(H61*F61)</f>
        <v>1155.21564148664</v>
      </c>
      <c r="K61" s="30" t="n">
        <f aca="true">OFFSET('Public R&amp;D'!M56,0,C$2-1)</f>
        <v>122.041</v>
      </c>
      <c r="L61" s="29" t="n">
        <f aca="false">L60</f>
        <v>0.361</v>
      </c>
      <c r="M61" s="29" t="n">
        <f aca="false">M60</f>
        <v>0.636</v>
      </c>
      <c r="N61" s="25" t="n">
        <f aca="false">L61*K61</f>
        <v>44.056801</v>
      </c>
      <c r="O61" s="25" t="n">
        <f aca="true">OFFSET('New Huffman figures'!B56,0,C$2-1)</f>
        <v>54.423777299739</v>
      </c>
    </row>
    <row r="62" customFormat="false" ht="16" hidden="false" customHeight="false" outlineLevel="0" collapsed="false">
      <c r="A62" s="1" t="n">
        <v>2010</v>
      </c>
      <c r="B62" s="24" t="n">
        <f aca="true">OFFSET(Yields!B53,0,$C$2-1)</f>
        <v>152.6</v>
      </c>
      <c r="C62" s="25" t="n">
        <f aca="false">I62+N62</f>
        <v>1084.84265562167</v>
      </c>
      <c r="D62" s="25"/>
      <c r="E62" s="32" t="n">
        <v>2132.1925324531</v>
      </c>
      <c r="F62" s="24" t="n">
        <v>847.034997186881</v>
      </c>
      <c r="G62" s="25" t="n">
        <f aca="false">G61</f>
        <v>0.491484937533295</v>
      </c>
      <c r="H62" s="23" t="n">
        <f aca="false">H61</f>
        <v>0.310742468766648</v>
      </c>
      <c r="I62" s="25" t="n">
        <f aca="false">G62*E62</f>
        <v>1047.94051362167</v>
      </c>
      <c r="J62" s="25" t="n">
        <f aca="false">I62+(H62*F62)</f>
        <v>1311.15025977927</v>
      </c>
      <c r="K62" s="30" t="n">
        <f aca="true">OFFSET('Public R&amp;D'!M57,0,C$2-1)</f>
        <v>102.222</v>
      </c>
      <c r="L62" s="29" t="n">
        <f aca="false">L61</f>
        <v>0.361</v>
      </c>
      <c r="M62" s="29" t="n">
        <f aca="false">M61</f>
        <v>0.636</v>
      </c>
      <c r="N62" s="25" t="n">
        <f aca="false">L62*K62</f>
        <v>36.902142</v>
      </c>
      <c r="O62" s="25"/>
    </row>
    <row r="63" customFormat="false" ht="16" hidden="false" customHeight="false" outlineLevel="0" collapsed="false">
      <c r="A63" s="1" t="n">
        <v>2011</v>
      </c>
      <c r="B63" s="24" t="n">
        <f aca="true">OFFSET(Yields!B54,0,$C$2-1)</f>
        <v>146.8</v>
      </c>
      <c r="C63" s="25" t="n">
        <f aca="false">I63+N63</f>
        <v>1234.76033435961</v>
      </c>
      <c r="D63" s="25"/>
      <c r="E63" s="32" t="n">
        <v>2436.85092847525</v>
      </c>
      <c r="F63" s="24" t="n">
        <v>929.018192904191</v>
      </c>
      <c r="G63" s="25" t="n">
        <f aca="false">G62</f>
        <v>0.491484937533295</v>
      </c>
      <c r="H63" s="23" t="n">
        <f aca="false">H62</f>
        <v>0.310742468766648</v>
      </c>
      <c r="I63" s="25" t="n">
        <f aca="false">G63*E63</f>
        <v>1197.67552635961</v>
      </c>
      <c r="J63" s="25" t="n">
        <f aca="false">I63+(H63*F63)</f>
        <v>1486.36093315179</v>
      </c>
      <c r="K63" s="30" t="n">
        <f aca="true">OFFSET('Public R&amp;D'!M58,0,C$2-1)</f>
        <v>102.728</v>
      </c>
      <c r="L63" s="29" t="n">
        <f aca="false">L62</f>
        <v>0.361</v>
      </c>
      <c r="M63" s="29" t="n">
        <f aca="false">M62</f>
        <v>0.636</v>
      </c>
      <c r="N63" s="25" t="n">
        <f aca="false">L63*K63</f>
        <v>37.084808</v>
      </c>
      <c r="O63" s="25"/>
    </row>
    <row r="64" customFormat="false" ht="16" hidden="false" customHeight="false" outlineLevel="0" collapsed="false">
      <c r="A64" s="1" t="n">
        <v>2012</v>
      </c>
      <c r="B64" s="24" t="n">
        <f aca="true">OFFSET(Yields!B55,0,$C$2-1)</f>
        <v>123.1</v>
      </c>
      <c r="C64" s="25" t="n">
        <f aca="false">I64+N64</f>
        <v>1308.34823359874</v>
      </c>
      <c r="D64" s="25"/>
      <c r="E64" s="32" t="n">
        <v>2585.51741173687</v>
      </c>
      <c r="F64" s="24" t="n">
        <v>1031.18229698141</v>
      </c>
      <c r="G64" s="25" t="n">
        <f aca="false">G63</f>
        <v>0.491484937533295</v>
      </c>
      <c r="H64" s="23" t="n">
        <f aca="false">H63</f>
        <v>0.310742468766648</v>
      </c>
      <c r="I64" s="25" t="n">
        <f aca="false">G64*E64</f>
        <v>1270.74286359874</v>
      </c>
      <c r="J64" s="25" t="n">
        <f aca="false">I64+(H64*F64)</f>
        <v>1591.17499631121</v>
      </c>
      <c r="K64" s="30" t="n">
        <f aca="true">OFFSET('Public R&amp;D'!M59,0,C$2-1)</f>
        <v>104.17</v>
      </c>
      <c r="L64" s="29" t="n">
        <f aca="false">L63</f>
        <v>0.361</v>
      </c>
      <c r="M64" s="29" t="n">
        <f aca="false">M63</f>
        <v>0.636</v>
      </c>
      <c r="N64" s="25" t="n">
        <f aca="false">L64*K64</f>
        <v>37.60537</v>
      </c>
      <c r="O64" s="25"/>
    </row>
    <row r="65" customFormat="false" ht="16" hidden="false" customHeight="false" outlineLevel="0" collapsed="false">
      <c r="A65" s="1" t="n">
        <v>2013</v>
      </c>
      <c r="B65" s="24" t="n">
        <f aca="true">OFFSET(Yields!B56,0,$C$2-1)</f>
        <v>158.1</v>
      </c>
      <c r="C65" s="25" t="n">
        <f aca="false">I65+N65</f>
        <v>1342.6981418622</v>
      </c>
      <c r="D65" s="25"/>
      <c r="E65" s="32" t="n">
        <v>2658.0105636985</v>
      </c>
      <c r="F65" s="24" t="n">
        <v>1112.61633083074</v>
      </c>
      <c r="G65" s="25" t="n">
        <f aca="false">G64</f>
        <v>0.491484937533295</v>
      </c>
      <c r="H65" s="23" t="n">
        <f aca="false">H64</f>
        <v>0.310742468766648</v>
      </c>
      <c r="I65" s="25" t="n">
        <f aca="false">G65*E65</f>
        <v>1306.3721558622</v>
      </c>
      <c r="J65" s="25" t="n">
        <f aca="false">I65+(H65*F65)</f>
        <v>1652.10930129463</v>
      </c>
      <c r="K65" s="30" t="n">
        <f aca="true">OFFSET('Public R&amp;D'!M60,0,C$2-1)</f>
        <v>100.626</v>
      </c>
      <c r="L65" s="29" t="n">
        <f aca="false">L64</f>
        <v>0.361</v>
      </c>
      <c r="M65" s="29" t="n">
        <f aca="false">M64</f>
        <v>0.636</v>
      </c>
      <c r="N65" s="25" t="n">
        <f aca="false">L65*K65</f>
        <v>36.325986</v>
      </c>
      <c r="O65" s="25"/>
    </row>
    <row r="66" customFormat="false" ht="16" hidden="false" customHeight="false" outlineLevel="0" collapsed="false">
      <c r="A66" s="1" t="n">
        <v>2014</v>
      </c>
      <c r="B66" s="24" t="n">
        <f aca="true">OFFSET(Yields!B57,0,$C$2-1)</f>
        <v>171</v>
      </c>
      <c r="C66" s="25" t="n">
        <f aca="false">I66+N66</f>
        <v>1418.92217762312</v>
      </c>
      <c r="D66" s="25"/>
      <c r="E66" s="32" t="n">
        <v>2816.80321796095</v>
      </c>
      <c r="F66" s="24" t="n">
        <v>1152.74257160915</v>
      </c>
      <c r="G66" s="25" t="n">
        <f aca="false">G65</f>
        <v>0.491484937533295</v>
      </c>
      <c r="H66" s="23" t="n">
        <f aca="false">H65</f>
        <v>0.310742468766648</v>
      </c>
      <c r="I66" s="25" t="n">
        <f aca="false">G66*E66</f>
        <v>1384.41635362312</v>
      </c>
      <c r="J66" s="25" t="n">
        <f aca="false">I66+(H66*F66)</f>
        <v>1742.62242617736</v>
      </c>
      <c r="K66" s="30" t="n">
        <f aca="true">OFFSET('Public R&amp;D'!M61,0,C$2-1)</f>
        <v>95.584</v>
      </c>
      <c r="L66" s="29" t="n">
        <f aca="false">L65</f>
        <v>0.361</v>
      </c>
      <c r="M66" s="29" t="n">
        <f aca="false">M65</f>
        <v>0.636</v>
      </c>
      <c r="N66" s="25" t="n">
        <f aca="false">L66*K66</f>
        <v>34.505824</v>
      </c>
      <c r="O66" s="25"/>
    </row>
    <row r="67" customFormat="false" ht="16" hidden="false" customHeight="false" outlineLevel="0" collapsed="false">
      <c r="A67" s="1" t="n">
        <v>2015</v>
      </c>
      <c r="B67" s="24" t="n">
        <f aca="true">OFFSET(Yields!B58,0,$C$2-1)</f>
        <v>168.4</v>
      </c>
      <c r="C67" s="25"/>
      <c r="D67" s="25"/>
      <c r="E67" s="25"/>
      <c r="F67" s="25"/>
      <c r="G67" s="25"/>
      <c r="H67" s="25"/>
      <c r="I67" s="25"/>
      <c r="J67" s="25"/>
      <c r="K67" s="25"/>
      <c r="L67" s="25"/>
      <c r="M67" s="25"/>
      <c r="N67" s="25"/>
      <c r="O67" s="25"/>
    </row>
  </sheetData>
  <mergeCells count="1">
    <mergeCell ref="A1:O1"/>
  </mergeCells>
  <dataValidations count="1">
    <dataValidation allowBlank="true" operator="between" showDropDown="false" showErrorMessage="true" showInputMessage="true" sqref="B2" type="list">
      <formula1>ValidCrops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RowHeight="16"/>
  <cols>
    <col collapsed="false" hidden="false" max="1025" min="1" style="0" width="10.9740740740741"/>
  </cols>
  <sheetData>
    <row r="1" customFormat="false" ht="24" hidden="false" customHeight="false" outlineLevel="0" collapsed="false">
      <c r="A1" s="2" t="s">
        <v>48</v>
      </c>
      <c r="B1" s="2"/>
      <c r="C1" s="2"/>
      <c r="D1" s="2"/>
      <c r="E1" s="2"/>
    </row>
    <row r="2" customFormat="false" ht="16" hidden="false" customHeight="false" outlineLevel="0" collapsed="false">
      <c r="A2" s="34" t="s">
        <v>47</v>
      </c>
      <c r="B2" s="34" t="s">
        <v>2</v>
      </c>
      <c r="C2" s="34" t="s">
        <v>49</v>
      </c>
      <c r="D2" s="34" t="s">
        <v>50</v>
      </c>
      <c r="E2" s="34" t="s">
        <v>51</v>
      </c>
    </row>
    <row r="3" customFormat="false" ht="16" hidden="false" customHeight="false" outlineLevel="0" collapsed="false">
      <c r="A3" s="0" t="n">
        <v>1960</v>
      </c>
      <c r="B3" s="35" t="n">
        <v>54.7</v>
      </c>
      <c r="C3" s="35" t="n">
        <v>23.5</v>
      </c>
      <c r="D3" s="35" t="n">
        <v>446</v>
      </c>
      <c r="E3" s="35" t="n">
        <v>26.1</v>
      </c>
    </row>
    <row r="4" customFormat="false" ht="16" hidden="false" customHeight="false" outlineLevel="0" collapsed="false">
      <c r="A4" s="0" t="n">
        <v>1961</v>
      </c>
      <c r="B4" s="35" t="n">
        <v>62.4</v>
      </c>
      <c r="C4" s="35" t="n">
        <v>25.1</v>
      </c>
      <c r="D4" s="35" t="n">
        <v>438</v>
      </c>
      <c r="E4" s="35" t="n">
        <v>23.9</v>
      </c>
    </row>
    <row r="5" customFormat="false" ht="16" hidden="false" customHeight="false" outlineLevel="0" collapsed="false">
      <c r="A5" s="0" t="n">
        <v>1962</v>
      </c>
      <c r="B5" s="35" t="n">
        <v>64.7</v>
      </c>
      <c r="C5" s="35" t="n">
        <v>24.2</v>
      </c>
      <c r="D5" s="35" t="n">
        <v>457</v>
      </c>
      <c r="E5" s="35" t="n">
        <v>25</v>
      </c>
    </row>
    <row r="6" customFormat="false" ht="16" hidden="false" customHeight="false" outlineLevel="0" collapsed="false">
      <c r="A6" s="0" t="n">
        <v>1963</v>
      </c>
      <c r="B6" s="35" t="n">
        <v>67.9</v>
      </c>
      <c r="C6" s="35" t="n">
        <v>24.4</v>
      </c>
      <c r="D6" s="35" t="n">
        <v>517</v>
      </c>
      <c r="E6" s="35" t="n">
        <v>25.2</v>
      </c>
    </row>
    <row r="7" customFormat="false" ht="16" hidden="false" customHeight="false" outlineLevel="0" collapsed="false">
      <c r="A7" s="0" t="n">
        <v>1964</v>
      </c>
      <c r="B7" s="35" t="n">
        <v>62.9</v>
      </c>
      <c r="C7" s="35" t="n">
        <v>22.8</v>
      </c>
      <c r="D7" s="35" t="n">
        <v>517</v>
      </c>
      <c r="E7" s="35" t="n">
        <v>25.8</v>
      </c>
    </row>
    <row r="8" customFormat="false" ht="16" hidden="false" customHeight="false" outlineLevel="0" collapsed="false">
      <c r="A8" s="0" t="n">
        <v>1965</v>
      </c>
      <c r="B8" s="35" t="n">
        <v>74.1</v>
      </c>
      <c r="C8" s="35" t="n">
        <v>24.5</v>
      </c>
      <c r="D8" s="35" t="n">
        <v>527</v>
      </c>
      <c r="E8" s="35" t="n">
        <v>26.5</v>
      </c>
    </row>
    <row r="9" customFormat="false" ht="16" hidden="false" customHeight="false" outlineLevel="0" collapsed="false">
      <c r="A9" s="0" t="n">
        <v>1966</v>
      </c>
      <c r="B9" s="35" t="n">
        <v>73.1</v>
      </c>
      <c r="C9" s="35" t="n">
        <v>25.4</v>
      </c>
      <c r="D9" s="35" t="n">
        <v>480</v>
      </c>
      <c r="E9" s="35" t="n">
        <v>26.3</v>
      </c>
    </row>
    <row r="10" customFormat="false" ht="16" hidden="false" customHeight="false" outlineLevel="0" collapsed="false">
      <c r="A10" s="0" t="n">
        <v>1967</v>
      </c>
      <c r="B10" s="35" t="n">
        <v>80.1</v>
      </c>
      <c r="C10" s="35" t="n">
        <v>24.5</v>
      </c>
      <c r="D10" s="35" t="n">
        <v>447</v>
      </c>
      <c r="E10" s="35" t="n">
        <v>25.8</v>
      </c>
    </row>
    <row r="11" customFormat="false" ht="16" hidden="false" customHeight="false" outlineLevel="0" collapsed="false">
      <c r="A11" s="0" t="n">
        <v>1968</v>
      </c>
      <c r="B11" s="35" t="n">
        <v>79.5</v>
      </c>
      <c r="C11" s="35" t="n">
        <v>26.7</v>
      </c>
      <c r="D11" s="35" t="n">
        <v>516</v>
      </c>
      <c r="E11" s="35" t="n">
        <v>28.4</v>
      </c>
    </row>
    <row r="12" customFormat="false" ht="16" hidden="false" customHeight="false" outlineLevel="0" collapsed="false">
      <c r="A12" s="0" t="n">
        <v>1969</v>
      </c>
      <c r="B12" s="35" t="n">
        <v>85.9</v>
      </c>
      <c r="C12" s="35" t="n">
        <v>27.4</v>
      </c>
      <c r="D12" s="35" t="n">
        <v>434</v>
      </c>
      <c r="E12" s="35" t="n">
        <v>30.6</v>
      </c>
    </row>
    <row r="13" customFormat="false" ht="16" hidden="false" customHeight="false" outlineLevel="0" collapsed="false">
      <c r="A13" s="0" t="n">
        <v>1970</v>
      </c>
      <c r="B13" s="35" t="n">
        <v>72.4</v>
      </c>
      <c r="C13" s="35" t="n">
        <v>26.7</v>
      </c>
      <c r="D13" s="35" t="n">
        <v>438</v>
      </c>
      <c r="E13" s="35" t="n">
        <v>31</v>
      </c>
    </row>
    <row r="14" customFormat="false" ht="16" hidden="false" customHeight="false" outlineLevel="0" collapsed="false">
      <c r="A14" s="0" t="n">
        <v>1971</v>
      </c>
      <c r="B14" s="35" t="n">
        <v>88.1</v>
      </c>
      <c r="C14" s="35" t="n">
        <v>27.5</v>
      </c>
      <c r="D14" s="35" t="n">
        <v>438</v>
      </c>
      <c r="E14" s="35" t="n">
        <v>33.9</v>
      </c>
    </row>
    <row r="15" customFormat="false" ht="16" hidden="false" customHeight="false" outlineLevel="0" collapsed="false">
      <c r="A15" s="0" t="n">
        <v>1972</v>
      </c>
      <c r="B15" s="35" t="n">
        <v>97</v>
      </c>
      <c r="C15" s="35" t="n">
        <v>27.8</v>
      </c>
      <c r="D15" s="35" t="n">
        <v>507</v>
      </c>
      <c r="E15" s="35" t="n">
        <v>32.7</v>
      </c>
    </row>
    <row r="16" customFormat="false" ht="16" hidden="false" customHeight="false" outlineLevel="0" collapsed="false">
      <c r="A16" s="0" t="n">
        <v>1973</v>
      </c>
      <c r="B16" s="35" t="n">
        <v>91.3</v>
      </c>
      <c r="C16" s="35" t="n">
        <v>27.8</v>
      </c>
      <c r="D16" s="35" t="n">
        <v>520</v>
      </c>
      <c r="E16" s="35" t="n">
        <v>31.6</v>
      </c>
    </row>
    <row r="17" customFormat="false" ht="16" hidden="false" customHeight="false" outlineLevel="0" collapsed="false">
      <c r="A17" s="0" t="n">
        <v>1974</v>
      </c>
      <c r="B17" s="35" t="n">
        <v>71.9</v>
      </c>
      <c r="C17" s="35" t="n">
        <v>23.7</v>
      </c>
      <c r="D17" s="35" t="n">
        <v>442</v>
      </c>
      <c r="E17" s="35" t="n">
        <v>27.3</v>
      </c>
    </row>
    <row r="18" customFormat="false" ht="16" hidden="false" customHeight="false" outlineLevel="0" collapsed="false">
      <c r="A18" s="0" t="n">
        <v>1975</v>
      </c>
      <c r="B18" s="35" t="n">
        <v>86.4</v>
      </c>
      <c r="C18" s="35" t="n">
        <v>28.9</v>
      </c>
      <c r="D18" s="35" t="n">
        <v>453</v>
      </c>
      <c r="E18" s="35" t="n">
        <v>30.6</v>
      </c>
    </row>
    <row r="19" customFormat="false" ht="16" hidden="false" customHeight="false" outlineLevel="0" collapsed="false">
      <c r="A19" s="0" t="n">
        <v>1976</v>
      </c>
      <c r="B19" s="35" t="n">
        <v>88</v>
      </c>
      <c r="C19" s="35" t="n">
        <v>26.1</v>
      </c>
      <c r="D19" s="35" t="n">
        <v>465</v>
      </c>
      <c r="E19" s="35" t="n">
        <v>30.3</v>
      </c>
    </row>
    <row r="20" customFormat="false" ht="16" hidden="false" customHeight="false" outlineLevel="0" collapsed="false">
      <c r="A20" s="0" t="n">
        <v>1977</v>
      </c>
      <c r="B20" s="35" t="n">
        <v>90.8</v>
      </c>
      <c r="C20" s="35" t="n">
        <v>30.6</v>
      </c>
      <c r="D20" s="35" t="n">
        <v>520</v>
      </c>
      <c r="E20" s="35" t="n">
        <v>30.7</v>
      </c>
    </row>
    <row r="21" customFormat="false" ht="16" hidden="false" customHeight="false" outlineLevel="0" collapsed="false">
      <c r="A21" s="0" t="n">
        <v>1978</v>
      </c>
      <c r="B21" s="35" t="n">
        <v>101</v>
      </c>
      <c r="C21" s="35" t="n">
        <v>29.4</v>
      </c>
      <c r="D21" s="35" t="n">
        <v>420</v>
      </c>
      <c r="E21" s="35" t="n">
        <v>31.4</v>
      </c>
    </row>
    <row r="22" customFormat="false" ht="16" hidden="false" customHeight="false" outlineLevel="0" collapsed="false">
      <c r="A22" s="0" t="n">
        <v>1979</v>
      </c>
      <c r="B22" s="35" t="n">
        <v>109.5</v>
      </c>
      <c r="C22" s="35" t="n">
        <v>32.1</v>
      </c>
      <c r="D22" s="35" t="n">
        <v>547</v>
      </c>
      <c r="E22" s="35" t="n">
        <v>34.2</v>
      </c>
    </row>
    <row r="23" customFormat="false" ht="16" hidden="false" customHeight="false" outlineLevel="0" collapsed="false">
      <c r="A23" s="0" t="n">
        <v>1980</v>
      </c>
      <c r="B23" s="35" t="n">
        <v>91</v>
      </c>
      <c r="C23" s="35" t="n">
        <v>26.5</v>
      </c>
      <c r="D23" s="35" t="n">
        <v>404</v>
      </c>
      <c r="E23" s="35" t="n">
        <v>33.5</v>
      </c>
    </row>
    <row r="24" customFormat="false" ht="16" hidden="false" customHeight="false" outlineLevel="0" collapsed="false">
      <c r="A24" s="0" t="n">
        <v>1981</v>
      </c>
      <c r="B24" s="35" t="n">
        <v>108.9</v>
      </c>
      <c r="C24" s="35" t="n">
        <v>30.1</v>
      </c>
      <c r="D24" s="35" t="n">
        <v>542</v>
      </c>
      <c r="E24" s="35" t="n">
        <v>34.5</v>
      </c>
    </row>
    <row r="25" customFormat="false" ht="16" hidden="false" customHeight="false" outlineLevel="0" collapsed="false">
      <c r="A25" s="0" t="n">
        <v>1982</v>
      </c>
      <c r="B25" s="35" t="n">
        <v>113.2</v>
      </c>
      <c r="C25" s="35" t="n">
        <v>31.5</v>
      </c>
      <c r="D25" s="35" t="n">
        <v>590</v>
      </c>
      <c r="E25" s="35" t="n">
        <v>35.5</v>
      </c>
    </row>
    <row r="26" customFormat="false" ht="16" hidden="false" customHeight="false" outlineLevel="0" collapsed="false">
      <c r="A26" s="0" t="n">
        <v>1983</v>
      </c>
      <c r="B26" s="35" t="n">
        <v>81.1</v>
      </c>
      <c r="C26" s="35" t="n">
        <v>26.2</v>
      </c>
      <c r="D26" s="35" t="n">
        <v>508</v>
      </c>
      <c r="E26" s="35" t="n">
        <v>39.4</v>
      </c>
    </row>
    <row r="27" customFormat="false" ht="16" hidden="false" customHeight="false" outlineLevel="0" collapsed="false">
      <c r="A27" s="0" t="n">
        <v>1984</v>
      </c>
      <c r="B27" s="35" t="n">
        <v>106.7</v>
      </c>
      <c r="C27" s="35" t="n">
        <v>28.1</v>
      </c>
      <c r="D27" s="35" t="n">
        <v>600</v>
      </c>
      <c r="E27" s="35" t="n">
        <v>38.8</v>
      </c>
    </row>
    <row r="28" customFormat="false" ht="16" hidden="false" customHeight="false" outlineLevel="0" collapsed="false">
      <c r="A28" s="0" t="n">
        <v>1985</v>
      </c>
      <c r="B28" s="35" t="n">
        <v>118</v>
      </c>
      <c r="C28" s="35" t="n">
        <v>34.1</v>
      </c>
      <c r="D28" s="35" t="n">
        <v>630</v>
      </c>
      <c r="E28" s="35" t="n">
        <v>37.5</v>
      </c>
    </row>
    <row r="29" customFormat="false" ht="16" hidden="false" customHeight="false" outlineLevel="0" collapsed="false">
      <c r="A29" s="0" t="n">
        <v>1986</v>
      </c>
      <c r="B29" s="35" t="n">
        <v>119.4</v>
      </c>
      <c r="C29" s="35" t="n">
        <v>33.3</v>
      </c>
      <c r="D29" s="35" t="n">
        <v>552</v>
      </c>
      <c r="E29" s="35" t="n">
        <v>34.4</v>
      </c>
    </row>
    <row r="30" customFormat="false" ht="16" hidden="false" customHeight="false" outlineLevel="0" collapsed="false">
      <c r="A30" s="0" t="n">
        <v>1987</v>
      </c>
      <c r="B30" s="35" t="n">
        <v>119.8</v>
      </c>
      <c r="C30" s="35" t="n">
        <v>33.9</v>
      </c>
      <c r="D30" s="35" t="n">
        <v>706</v>
      </c>
      <c r="E30" s="35" t="n">
        <v>37.7</v>
      </c>
    </row>
    <row r="31" customFormat="false" ht="16" hidden="false" customHeight="false" outlineLevel="0" collapsed="false">
      <c r="A31" s="0" t="n">
        <v>1988</v>
      </c>
      <c r="B31" s="35" t="n">
        <v>84.6</v>
      </c>
      <c r="C31" s="35" t="n">
        <v>27</v>
      </c>
      <c r="D31" s="35" t="n">
        <v>619</v>
      </c>
      <c r="E31" s="35" t="n">
        <v>34.1</v>
      </c>
    </row>
    <row r="32" customFormat="false" ht="16" hidden="false" customHeight="false" outlineLevel="0" collapsed="false">
      <c r="A32" s="0" t="n">
        <v>1989</v>
      </c>
      <c r="B32" s="35" t="n">
        <v>116.3</v>
      </c>
      <c r="C32" s="35" t="n">
        <v>32.3</v>
      </c>
      <c r="D32" s="35" t="n">
        <v>614</v>
      </c>
      <c r="E32" s="35" t="n">
        <v>32.7</v>
      </c>
    </row>
    <row r="33" customFormat="false" ht="16" hidden="false" customHeight="false" outlineLevel="0" collapsed="false">
      <c r="A33" s="0" t="n">
        <v>1990</v>
      </c>
      <c r="B33" s="35" t="n">
        <v>118.5</v>
      </c>
      <c r="C33" s="35" t="n">
        <v>34.1</v>
      </c>
      <c r="D33" s="35" t="n">
        <v>634</v>
      </c>
      <c r="E33" s="35" t="n">
        <v>39.5</v>
      </c>
    </row>
    <row r="34" customFormat="false" ht="16" hidden="false" customHeight="false" outlineLevel="0" collapsed="false">
      <c r="A34" s="0" t="n">
        <v>1991</v>
      </c>
      <c r="B34" s="35" t="n">
        <v>108.6</v>
      </c>
      <c r="C34" s="35" t="n">
        <v>34.2</v>
      </c>
      <c r="D34" s="35" t="n">
        <v>652</v>
      </c>
      <c r="E34" s="35" t="n">
        <v>34.3</v>
      </c>
    </row>
    <row r="35" customFormat="false" ht="16" hidden="false" customHeight="false" outlineLevel="0" collapsed="false">
      <c r="A35" s="0" t="n">
        <v>1992</v>
      </c>
      <c r="B35" s="35" t="n">
        <v>131.5</v>
      </c>
      <c r="C35" s="35" t="n">
        <v>37.6</v>
      </c>
      <c r="D35" s="35" t="n">
        <v>700</v>
      </c>
      <c r="E35" s="35" t="n">
        <v>39.3</v>
      </c>
    </row>
    <row r="36" customFormat="false" ht="16" hidden="false" customHeight="false" outlineLevel="0" collapsed="false">
      <c r="A36" s="0" t="n">
        <v>1993</v>
      </c>
      <c r="B36" s="35" t="n">
        <v>100.7</v>
      </c>
      <c r="C36" s="35" t="n">
        <v>32.6</v>
      </c>
      <c r="D36" s="35" t="n">
        <v>606</v>
      </c>
      <c r="E36" s="35" t="n">
        <v>38.2</v>
      </c>
    </row>
    <row r="37" customFormat="false" ht="16" hidden="false" customHeight="false" outlineLevel="0" collapsed="false">
      <c r="A37" s="0" t="n">
        <v>1994</v>
      </c>
      <c r="B37" s="35" t="n">
        <v>138.6</v>
      </c>
      <c r="C37" s="35" t="n">
        <v>41.4</v>
      </c>
      <c r="D37" s="35" t="n">
        <v>708</v>
      </c>
      <c r="E37" s="35" t="n">
        <v>37.6</v>
      </c>
    </row>
    <row r="38" customFormat="false" ht="16" hidden="false" customHeight="false" outlineLevel="0" collapsed="false">
      <c r="A38" s="0" t="n">
        <v>1995</v>
      </c>
      <c r="B38" s="35" t="n">
        <v>113.5</v>
      </c>
      <c r="C38" s="35" t="n">
        <v>35.3</v>
      </c>
      <c r="D38" s="35" t="n">
        <v>537</v>
      </c>
      <c r="E38" s="35" t="n">
        <v>35.8</v>
      </c>
    </row>
    <row r="39" customFormat="false" ht="16" hidden="false" customHeight="false" outlineLevel="0" collapsed="false">
      <c r="A39" s="0" t="n">
        <v>1996</v>
      </c>
      <c r="B39" s="35" t="n">
        <v>127.1</v>
      </c>
      <c r="C39" s="35" t="n">
        <v>37.6</v>
      </c>
      <c r="D39" s="35" t="n">
        <v>705</v>
      </c>
      <c r="E39" s="35" t="n">
        <v>36.3</v>
      </c>
    </row>
    <row r="40" customFormat="false" ht="16" hidden="false" customHeight="false" outlineLevel="0" collapsed="false">
      <c r="A40" s="0" t="n">
        <v>1997</v>
      </c>
      <c r="B40" s="35" t="n">
        <v>126.7</v>
      </c>
      <c r="C40" s="35" t="n">
        <v>38.9</v>
      </c>
      <c r="D40" s="35" t="n">
        <v>673</v>
      </c>
      <c r="E40" s="35" t="n">
        <v>39.5</v>
      </c>
    </row>
    <row r="41" customFormat="false" ht="16" hidden="false" customHeight="false" outlineLevel="0" collapsed="false">
      <c r="A41" s="0" t="n">
        <v>1998</v>
      </c>
      <c r="B41" s="35" t="n">
        <v>134.4</v>
      </c>
      <c r="C41" s="35" t="n">
        <v>38.9</v>
      </c>
      <c r="D41" s="35" t="n">
        <v>625</v>
      </c>
      <c r="E41" s="35" t="n">
        <v>43.2</v>
      </c>
    </row>
    <row r="42" customFormat="false" ht="16" hidden="false" customHeight="false" outlineLevel="0" collapsed="false">
      <c r="A42" s="0" t="n">
        <v>1999</v>
      </c>
      <c r="B42" s="35" t="n">
        <v>133.8</v>
      </c>
      <c r="C42" s="35" t="n">
        <v>36.6</v>
      </c>
      <c r="D42" s="35" t="n">
        <v>607</v>
      </c>
      <c r="E42" s="35" t="n">
        <v>42.7</v>
      </c>
    </row>
    <row r="43" customFormat="false" ht="16" hidden="false" customHeight="false" outlineLevel="0" collapsed="false">
      <c r="A43" s="0" t="n">
        <v>2000</v>
      </c>
      <c r="B43" s="35" t="n">
        <v>136.9</v>
      </c>
      <c r="C43" s="35" t="n">
        <v>38.1</v>
      </c>
      <c r="D43" s="35" t="n">
        <v>632</v>
      </c>
      <c r="E43" s="35" t="n">
        <v>42</v>
      </c>
    </row>
    <row r="44" customFormat="false" ht="16" hidden="false" customHeight="false" outlineLevel="0" collapsed="false">
      <c r="A44" s="0" t="n">
        <v>2001</v>
      </c>
      <c r="B44" s="35" t="n">
        <v>138.2</v>
      </c>
      <c r="C44" s="35" t="n">
        <v>39.6</v>
      </c>
      <c r="D44" s="35" t="n">
        <v>705</v>
      </c>
      <c r="E44" s="35" t="n">
        <v>40.2</v>
      </c>
    </row>
    <row r="45" customFormat="false" ht="16" hidden="false" customHeight="false" outlineLevel="0" collapsed="false">
      <c r="A45" s="0" t="n">
        <v>2002</v>
      </c>
      <c r="B45" s="35" t="n">
        <v>129.3</v>
      </c>
      <c r="C45" s="35" t="n">
        <v>38</v>
      </c>
      <c r="D45" s="35" t="n">
        <v>665</v>
      </c>
      <c r="E45" s="35" t="n">
        <v>35</v>
      </c>
    </row>
    <row r="46" customFormat="false" ht="16" hidden="false" customHeight="false" outlineLevel="0" collapsed="false">
      <c r="A46" s="0" t="n">
        <v>2003</v>
      </c>
      <c r="B46" s="35" t="n">
        <v>142.2</v>
      </c>
      <c r="C46" s="35" t="n">
        <v>33.9</v>
      </c>
      <c r="D46" s="35" t="n">
        <v>730</v>
      </c>
      <c r="E46" s="35" t="n">
        <v>44.2</v>
      </c>
    </row>
    <row r="47" customFormat="false" ht="16" hidden="false" customHeight="false" outlineLevel="0" collapsed="false">
      <c r="A47" s="0" t="n">
        <v>2004</v>
      </c>
      <c r="B47" s="35" t="n">
        <v>160.3</v>
      </c>
      <c r="C47" s="35" t="n">
        <v>42.2</v>
      </c>
      <c r="D47" s="35" t="n">
        <v>855</v>
      </c>
      <c r="E47" s="35" t="n">
        <v>43.2</v>
      </c>
    </row>
    <row r="48" customFormat="false" ht="16" hidden="false" customHeight="false" outlineLevel="0" collapsed="false">
      <c r="A48" s="0" t="n">
        <v>2005</v>
      </c>
      <c r="B48" s="35" t="n">
        <v>147.9</v>
      </c>
      <c r="C48" s="35" t="n">
        <v>43.1</v>
      </c>
      <c r="D48" s="35" t="n">
        <v>831</v>
      </c>
      <c r="E48" s="35" t="n">
        <v>42</v>
      </c>
    </row>
    <row r="49" customFormat="false" ht="16" hidden="false" customHeight="false" outlineLevel="0" collapsed="false">
      <c r="A49" s="0" t="n">
        <v>2006</v>
      </c>
      <c r="B49" s="35" t="n">
        <v>149.1</v>
      </c>
      <c r="C49" s="35" t="n">
        <v>42.9</v>
      </c>
      <c r="D49" s="35" t="n">
        <v>814</v>
      </c>
      <c r="E49" s="35" t="n">
        <v>38.6</v>
      </c>
    </row>
    <row r="50" customFormat="false" ht="16" hidden="false" customHeight="false" outlineLevel="0" collapsed="false">
      <c r="A50" s="0" t="n">
        <v>2007</v>
      </c>
      <c r="B50" s="35" t="n">
        <v>150.7</v>
      </c>
      <c r="C50" s="35" t="n">
        <v>41.7</v>
      </c>
      <c r="D50" s="35" t="n">
        <v>879</v>
      </c>
      <c r="E50" s="35" t="n">
        <v>40.2</v>
      </c>
    </row>
    <row r="51" customFormat="false" ht="16" hidden="false" customHeight="false" outlineLevel="0" collapsed="false">
      <c r="A51" s="0" t="n">
        <v>2008</v>
      </c>
      <c r="B51" s="35" t="n">
        <v>153.3</v>
      </c>
      <c r="C51" s="35" t="n">
        <v>39.7</v>
      </c>
      <c r="D51" s="35" t="n">
        <v>813</v>
      </c>
      <c r="E51" s="35" t="n">
        <v>44.8</v>
      </c>
    </row>
    <row r="52" customFormat="false" ht="16" hidden="false" customHeight="false" outlineLevel="0" collapsed="false">
      <c r="A52" s="0" t="n">
        <v>2009</v>
      </c>
      <c r="B52" s="35" t="n">
        <v>164.4</v>
      </c>
      <c r="C52" s="35" t="n">
        <v>44</v>
      </c>
      <c r="D52" s="35" t="n">
        <v>776</v>
      </c>
      <c r="E52" s="35" t="n">
        <v>44.3</v>
      </c>
    </row>
    <row r="53" customFormat="false" ht="16" hidden="false" customHeight="false" outlineLevel="0" collapsed="false">
      <c r="A53" s="0" t="n">
        <v>2010</v>
      </c>
      <c r="B53" s="35" t="n">
        <v>152.6</v>
      </c>
      <c r="C53" s="35" t="n">
        <v>43.5</v>
      </c>
      <c r="D53" s="35" t="n">
        <v>812</v>
      </c>
      <c r="E53" s="35" t="n">
        <v>46.1</v>
      </c>
    </row>
    <row r="54" customFormat="false" ht="16" hidden="false" customHeight="false" outlineLevel="0" collapsed="false">
      <c r="A54" s="0" t="n">
        <v>2011</v>
      </c>
      <c r="B54" s="35" t="n">
        <v>146.8</v>
      </c>
      <c r="C54" s="35" t="n">
        <v>42</v>
      </c>
      <c r="D54" s="35" t="n">
        <v>790</v>
      </c>
      <c r="E54" s="35" t="n">
        <v>43.6</v>
      </c>
    </row>
    <row r="55" customFormat="false" ht="16" hidden="false" customHeight="false" outlineLevel="0" collapsed="false">
      <c r="A55" s="0" t="n">
        <v>2012</v>
      </c>
      <c r="B55" s="35" t="n">
        <v>123.1</v>
      </c>
      <c r="C55" s="35" t="n">
        <v>40</v>
      </c>
      <c r="D55" s="35" t="n">
        <v>892</v>
      </c>
      <c r="E55" s="35" t="n">
        <v>46.2</v>
      </c>
    </row>
    <row r="56" customFormat="false" ht="16" hidden="false" customHeight="false" outlineLevel="0" collapsed="false">
      <c r="A56" s="0" t="n">
        <v>2013</v>
      </c>
      <c r="B56" s="35" t="n">
        <v>158.1</v>
      </c>
      <c r="C56" s="35" t="n">
        <v>44</v>
      </c>
      <c r="D56" s="35" t="n">
        <v>821</v>
      </c>
      <c r="E56" s="35" t="n">
        <v>47.1</v>
      </c>
    </row>
    <row r="57" customFormat="false" ht="16" hidden="false" customHeight="false" outlineLevel="0" collapsed="false">
      <c r="A57" s="0" t="n">
        <v>2014</v>
      </c>
      <c r="B57" s="35" t="n">
        <v>171</v>
      </c>
      <c r="C57" s="35" t="n">
        <v>47.5</v>
      </c>
      <c r="D57" s="35" t="n">
        <v>838</v>
      </c>
      <c r="E57" s="35" t="n">
        <v>43.7</v>
      </c>
    </row>
    <row r="58" customFormat="false" ht="16" hidden="false" customHeight="false" outlineLevel="0" collapsed="false">
      <c r="A58" s="0" t="n">
        <v>2015</v>
      </c>
      <c r="B58" s="35" t="n">
        <v>168.4</v>
      </c>
      <c r="C58" s="35" t="n">
        <v>48</v>
      </c>
      <c r="D58" s="35" t="n">
        <v>766</v>
      </c>
      <c r="E58" s="35" t="n">
        <v>43.6</v>
      </c>
    </row>
    <row r="59" customFormat="false" ht="16" hidden="false" customHeight="false" outlineLevel="0" collapsed="false">
      <c r="B59" s="22" t="s">
        <v>38</v>
      </c>
      <c r="C59" s="22" t="s">
        <v>38</v>
      </c>
      <c r="D59" s="22" t="s">
        <v>38</v>
      </c>
      <c r="E59" s="22" t="s">
        <v>38</v>
      </c>
    </row>
    <row r="61" customFormat="false" ht="16" hidden="false" customHeight="false" outlineLevel="0" collapsed="false">
      <c r="A61" s="22" t="s">
        <v>52</v>
      </c>
    </row>
  </sheetData>
  <mergeCells count="1">
    <mergeCell ref="A1:E1"/>
  </mergeCells>
  <hyperlinks>
    <hyperlink ref="B59" r:id="rId1" display="Source"/>
    <hyperlink ref="C59" r:id="rId2" display="Source"/>
    <hyperlink ref="D59" r:id="rId3" display="Source"/>
    <hyperlink ref="E59" r:id="rId4" display="Source"/>
    <hyperlink ref="A61" r:id="rId5" location="C57CA751-B131-3065-9F7C-E7DE08D92F87" display="Get da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T7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cols>
    <col collapsed="false" hidden="false" max="4" min="1" style="0" width="10.9740740740741"/>
    <col collapsed="false" hidden="false" max="5" min="5" style="0" width="16.7555555555556"/>
    <col collapsed="false" hidden="false" max="6" min="6" style="0" width="10.9740740740741"/>
    <col collapsed="false" hidden="false" max="7" min="7" style="0" width="21.6555555555556"/>
    <col collapsed="false" hidden="false" max="1025" min="8" style="0" width="10.9740740740741"/>
  </cols>
  <sheetData>
    <row r="1" customFormat="false" ht="24" hidden="false" customHeight="false" outlineLevel="0" collapsed="false">
      <c r="A1" s="2" t="s">
        <v>53</v>
      </c>
      <c r="B1" s="2"/>
      <c r="C1" s="2"/>
      <c r="D1" s="2"/>
      <c r="E1" s="2"/>
      <c r="F1" s="2"/>
      <c r="G1" s="2"/>
      <c r="H1" s="2"/>
      <c r="I1" s="2"/>
      <c r="J1" s="2"/>
      <c r="K1" s="2"/>
      <c r="L1" s="2"/>
      <c r="M1" s="2"/>
      <c r="N1" s="2"/>
      <c r="O1" s="2"/>
      <c r="P1" s="2"/>
      <c r="Q1" s="2"/>
      <c r="R1" s="2"/>
      <c r="S1" s="2"/>
    </row>
    <row r="2" customFormat="false" ht="16" hidden="false" customHeight="false" outlineLevel="0" collapsed="false">
      <c r="A2" s="36" t="s">
        <v>54</v>
      </c>
      <c r="G2" s="36" t="s">
        <v>55</v>
      </c>
    </row>
    <row r="3" customFormat="false" ht="16" hidden="false" customHeight="false" outlineLevel="0" collapsed="false">
      <c r="G3" s="0" t="s">
        <v>56</v>
      </c>
    </row>
    <row r="4" customFormat="false" ht="16" hidden="false" customHeight="false" outlineLevel="0" collapsed="false">
      <c r="A4" s="34" t="s">
        <v>57</v>
      </c>
      <c r="B4" s="0" t="s">
        <v>58</v>
      </c>
      <c r="G4" s="34" t="s">
        <v>59</v>
      </c>
      <c r="H4" s="0" t="s">
        <v>60</v>
      </c>
    </row>
    <row r="5" customFormat="false" ht="16" hidden="false" customHeight="false" outlineLevel="0" collapsed="false">
      <c r="B5" s="34" t="n">
        <v>1982</v>
      </c>
      <c r="C5" s="34" t="n">
        <v>1989</v>
      </c>
      <c r="D5" s="34" t="n">
        <v>1994</v>
      </c>
      <c r="H5" s="37" t="s">
        <v>61</v>
      </c>
    </row>
    <row r="6" customFormat="false" ht="16" hidden="false" customHeight="false" outlineLevel="0" collapsed="false">
      <c r="A6" s="34" t="s">
        <v>2</v>
      </c>
      <c r="B6" s="0" t="n">
        <v>0.3638</v>
      </c>
      <c r="C6" s="0" t="n">
        <v>0.3477</v>
      </c>
      <c r="D6" s="0" t="n">
        <v>0.3405</v>
      </c>
      <c r="H6" s="34" t="n">
        <v>1960</v>
      </c>
      <c r="I6" s="34" t="n">
        <v>1965</v>
      </c>
      <c r="J6" s="34" t="n">
        <v>1970</v>
      </c>
      <c r="K6" s="34" t="n">
        <v>1975</v>
      </c>
      <c r="L6" s="34" t="n">
        <v>1979</v>
      </c>
    </row>
    <row r="7" customFormat="false" ht="16" hidden="false" customHeight="false" outlineLevel="0" collapsed="false">
      <c r="A7" s="34" t="s">
        <v>49</v>
      </c>
      <c r="B7" s="0" t="n">
        <v>0.0742</v>
      </c>
      <c r="C7" s="0" t="n">
        <v>0.0806</v>
      </c>
      <c r="D7" s="0" t="n">
        <v>0.0674</v>
      </c>
      <c r="G7" s="0" t="s">
        <v>62</v>
      </c>
      <c r="H7" s="0" t="n">
        <v>0.524</v>
      </c>
      <c r="I7" s="0" t="n">
        <v>0.475</v>
      </c>
      <c r="J7" s="0" t="n">
        <v>0.435</v>
      </c>
      <c r="K7" s="0" t="n">
        <v>0.423</v>
      </c>
      <c r="L7" s="0" t="n">
        <v>0.463</v>
      </c>
    </row>
    <row r="8" customFormat="false" ht="16" hidden="false" customHeight="false" outlineLevel="0" collapsed="false">
      <c r="A8" s="34" t="s">
        <v>50</v>
      </c>
      <c r="B8" s="0" t="n">
        <v>0.0399</v>
      </c>
      <c r="C8" s="0" t="n">
        <v>0.0159</v>
      </c>
      <c r="D8" s="0" t="n">
        <v>0.0688</v>
      </c>
      <c r="G8" s="0" t="s">
        <v>63</v>
      </c>
      <c r="H8" s="0" t="n">
        <v>0.125</v>
      </c>
      <c r="I8" s="0" t="n">
        <v>0.116</v>
      </c>
      <c r="J8" s="0" t="n">
        <v>0.106</v>
      </c>
      <c r="K8" s="0" t="n">
        <v>0.072</v>
      </c>
      <c r="L8" s="0" t="n">
        <v>0.067</v>
      </c>
    </row>
    <row r="9" customFormat="false" ht="16" hidden="false" customHeight="false" outlineLevel="0" collapsed="false">
      <c r="A9" s="34" t="s">
        <v>51</v>
      </c>
      <c r="B9" s="0" t="n">
        <v>0.0599</v>
      </c>
      <c r="C9" s="0" t="n">
        <v>0.044</v>
      </c>
      <c r="D9" s="0" t="n">
        <v>0.036</v>
      </c>
      <c r="G9" s="0" t="s">
        <v>49</v>
      </c>
      <c r="H9" s="0" t="n">
        <v>0</v>
      </c>
      <c r="I9" s="0" t="n">
        <v>0.006</v>
      </c>
      <c r="J9" s="0" t="n">
        <v>0.023</v>
      </c>
      <c r="K9" s="0" t="n">
        <v>0.086</v>
      </c>
      <c r="L9" s="0" t="n">
        <v>0.101</v>
      </c>
    </row>
    <row r="10" customFormat="false" ht="16" hidden="false" customHeight="false" outlineLevel="0" collapsed="false">
      <c r="A10" s="34" t="s">
        <v>64</v>
      </c>
      <c r="B10" s="0" t="n">
        <v>0.4622</v>
      </c>
      <c r="C10" s="0" t="n">
        <v>0.5117</v>
      </c>
      <c r="D10" s="0" t="n">
        <v>0.4873</v>
      </c>
      <c r="G10" s="0" t="s">
        <v>65</v>
      </c>
      <c r="H10" s="0" t="n">
        <v>0.002</v>
      </c>
      <c r="I10" s="0" t="n">
        <v>0.052</v>
      </c>
      <c r="J10" s="0" t="n">
        <v>0.096</v>
      </c>
      <c r="K10" s="0" t="n">
        <v>0.129</v>
      </c>
      <c r="L10" s="0" t="n">
        <v>0.102</v>
      </c>
    </row>
    <row r="11" customFormat="false" ht="16" hidden="false" customHeight="false" outlineLevel="0" collapsed="false">
      <c r="G11" s="0" t="s">
        <v>66</v>
      </c>
      <c r="H11" s="0" t="n">
        <v>0.072</v>
      </c>
      <c r="I11" s="0" t="n">
        <v>0.1</v>
      </c>
      <c r="J11" s="0" t="n">
        <v>0.095</v>
      </c>
      <c r="K11" s="0" t="n">
        <v>0.075</v>
      </c>
      <c r="L11" s="0" t="n">
        <v>0.072</v>
      </c>
    </row>
    <row r="12" customFormat="false" ht="16" hidden="false" customHeight="false" outlineLevel="0" collapsed="false">
      <c r="G12" s="0" t="s">
        <v>67</v>
      </c>
      <c r="H12" s="0" t="n">
        <v>0.279</v>
      </c>
      <c r="I12" s="0" t="n">
        <v>0.246</v>
      </c>
      <c r="J12" s="0" t="n">
        <v>0.223</v>
      </c>
      <c r="K12" s="0" t="n">
        <v>0.175</v>
      </c>
      <c r="L12" s="0" t="n">
        <v>0.176</v>
      </c>
    </row>
    <row r="13" customFormat="false" ht="16" hidden="false" customHeight="false" outlineLevel="0" collapsed="false">
      <c r="A13" s="36" t="s">
        <v>68</v>
      </c>
      <c r="G13" s="0" t="s">
        <v>69</v>
      </c>
      <c r="H13" s="0" t="n">
        <v>0.002</v>
      </c>
      <c r="I13" s="0" t="n">
        <v>0.004</v>
      </c>
      <c r="J13" s="0" t="n">
        <v>0.02</v>
      </c>
      <c r="K13" s="0" t="n">
        <v>0.041</v>
      </c>
      <c r="L13" s="0" t="n">
        <v>0.021</v>
      </c>
    </row>
    <row r="15" customFormat="false" ht="16" hidden="false" customHeight="false" outlineLevel="0" collapsed="false">
      <c r="A15" s="34" t="s">
        <v>70</v>
      </c>
      <c r="B15" s="0" t="s">
        <v>71</v>
      </c>
      <c r="G15" s="0" t="s">
        <v>72</v>
      </c>
    </row>
    <row r="16" customFormat="false" ht="16" hidden="false" customHeight="false" outlineLevel="0" collapsed="false">
      <c r="B16" s="34" t="n">
        <v>1961</v>
      </c>
      <c r="C16" s="37" t="s">
        <v>73</v>
      </c>
    </row>
    <row r="17" customFormat="false" ht="21" hidden="false" customHeight="false" outlineLevel="0" collapsed="false">
      <c r="A17" s="38" t="s">
        <v>74</v>
      </c>
      <c r="B17" s="0" t="n">
        <v>107</v>
      </c>
      <c r="C17" s="39" t="n">
        <f aca="false">B17/B$32</f>
        <v>0.140789473684211</v>
      </c>
      <c r="M17" s="40" t="s">
        <v>75</v>
      </c>
    </row>
    <row r="18" customFormat="false" ht="16" hidden="false" customHeight="false" outlineLevel="0" collapsed="false">
      <c r="A18" s="38" t="s">
        <v>76</v>
      </c>
      <c r="B18" s="0" t="n">
        <v>20</v>
      </c>
      <c r="C18" s="39" t="n">
        <f aca="false">B18/B$32</f>
        <v>0.0263157894736842</v>
      </c>
      <c r="N18" s="41" t="s">
        <v>77</v>
      </c>
      <c r="O18" s="0" t="s">
        <v>78</v>
      </c>
    </row>
    <row r="19" customFormat="false" ht="16" hidden="false" customHeight="false" outlineLevel="0" collapsed="false">
      <c r="A19" s="0" t="s">
        <v>79</v>
      </c>
      <c r="B19" s="0" t="n">
        <v>17</v>
      </c>
      <c r="C19" s="39" t="n">
        <f aca="false">B19/B$32</f>
        <v>0.0223684210526316</v>
      </c>
      <c r="E19" s="42" t="s">
        <v>80</v>
      </c>
      <c r="O19" s="0" t="s">
        <v>81</v>
      </c>
    </row>
    <row r="20" customFormat="false" ht="16" hidden="false" customHeight="false" outlineLevel="0" collapsed="false">
      <c r="A20" s="38" t="s">
        <v>82</v>
      </c>
      <c r="B20" s="0" t="n">
        <v>21</v>
      </c>
      <c r="C20" s="39" t="n">
        <f aca="false">B20/B$32</f>
        <v>0.0276315789473684</v>
      </c>
      <c r="F20" s="43" t="n">
        <f aca="false">(B18/(B18+B19))</f>
        <v>0.540540540540541</v>
      </c>
      <c r="H20" s="38"/>
      <c r="I20" s="38"/>
      <c r="J20" s="38"/>
      <c r="N20" s="34" t="s">
        <v>2</v>
      </c>
      <c r="O20" s="34" t="s">
        <v>49</v>
      </c>
      <c r="P20" s="34" t="s">
        <v>50</v>
      </c>
      <c r="Q20" s="34" t="s">
        <v>51</v>
      </c>
      <c r="T20" s="34" t="s">
        <v>83</v>
      </c>
    </row>
    <row r="21" customFormat="false" ht="16" hidden="false" customHeight="false" outlineLevel="0" collapsed="false">
      <c r="A21" s="0" t="s">
        <v>84</v>
      </c>
      <c r="B21" s="0" t="n">
        <v>46</v>
      </c>
      <c r="C21" s="39" t="n">
        <f aca="false">B21/B$32</f>
        <v>0.0605263157894737</v>
      </c>
      <c r="M21" s="34" t="s">
        <v>47</v>
      </c>
      <c r="T21" s="37" t="s">
        <v>85</v>
      </c>
    </row>
    <row r="22" customFormat="false" ht="16" hidden="false" customHeight="false" outlineLevel="0" collapsed="false">
      <c r="A22" s="0" t="s">
        <v>86</v>
      </c>
      <c r="B22" s="44" t="n">
        <v>44</v>
      </c>
      <c r="C22" s="39" t="n">
        <f aca="false">B22/B$32</f>
        <v>0.0578947368421053</v>
      </c>
      <c r="E22" s="42" t="s">
        <v>87</v>
      </c>
      <c r="M22" s="0" t="n">
        <v>1960</v>
      </c>
      <c r="N22" s="0" t="n">
        <f aca="false">H7</f>
        <v>0.524</v>
      </c>
      <c r="O22" s="0" t="n">
        <f aca="false">H9</f>
        <v>0</v>
      </c>
      <c r="P22" s="41" t="n">
        <f aca="false">H13</f>
        <v>0.002</v>
      </c>
      <c r="Q22" s="41" t="n">
        <f aca="false">H10*F20</f>
        <v>0.00108108108108108</v>
      </c>
      <c r="T22" s="0" t="n">
        <f aca="false">H13*F23</f>
        <v>0.00011965811965812</v>
      </c>
    </row>
    <row r="23" customFormat="false" ht="16" hidden="false" customHeight="false" outlineLevel="0" collapsed="false">
      <c r="A23" s="0" t="s">
        <v>88</v>
      </c>
      <c r="B23" s="44" t="n">
        <v>96</v>
      </c>
      <c r="C23" s="39" t="n">
        <f aca="false">B23/B$32</f>
        <v>0.126315789473684</v>
      </c>
      <c r="F23" s="43" t="n">
        <f aca="false">B20/(B20+B22+B23+B25+B28+B29+B30+B31)</f>
        <v>0.0598290598290598</v>
      </c>
      <c r="M23" s="0" t="n">
        <v>1961</v>
      </c>
      <c r="P23" s="41"/>
      <c r="Q23" s="41"/>
    </row>
    <row r="24" customFormat="false" ht="16" hidden="false" customHeight="false" outlineLevel="0" collapsed="false">
      <c r="A24" s="38" t="s">
        <v>49</v>
      </c>
      <c r="B24" s="0" t="n">
        <v>1</v>
      </c>
      <c r="C24" s="39" t="n">
        <f aca="false">B24/B$32</f>
        <v>0.00131578947368421</v>
      </c>
      <c r="M24" s="0" t="n">
        <v>1962</v>
      </c>
      <c r="P24" s="41"/>
      <c r="Q24" s="41"/>
    </row>
    <row r="25" customFormat="false" ht="16" hidden="false" customHeight="false" outlineLevel="0" collapsed="false">
      <c r="A25" s="0" t="s">
        <v>89</v>
      </c>
      <c r="B25" s="44" t="n">
        <v>3</v>
      </c>
      <c r="C25" s="39" t="n">
        <f aca="false">B25/B$32</f>
        <v>0.00394736842105263</v>
      </c>
      <c r="M25" s="0" t="n">
        <v>1963</v>
      </c>
      <c r="P25" s="41"/>
      <c r="Q25" s="41"/>
    </row>
    <row r="26" customFormat="false" ht="16" hidden="false" customHeight="false" outlineLevel="0" collapsed="false">
      <c r="A26" s="0" t="s">
        <v>90</v>
      </c>
      <c r="B26" s="0" t="n">
        <v>55</v>
      </c>
      <c r="C26" s="39" t="n">
        <f aca="false">B26/B$32</f>
        <v>0.0723684210526316</v>
      </c>
      <c r="M26" s="0" t="n">
        <v>1964</v>
      </c>
      <c r="P26" s="41"/>
      <c r="Q26" s="41"/>
    </row>
    <row r="27" customFormat="false" ht="16" hidden="false" customHeight="false" outlineLevel="0" collapsed="false">
      <c r="A27" s="0" t="s">
        <v>67</v>
      </c>
      <c r="B27" s="0" t="n">
        <v>163</v>
      </c>
      <c r="C27" s="39" t="n">
        <f aca="false">B27/B$32</f>
        <v>0.214473684210526</v>
      </c>
      <c r="M27" s="0" t="n">
        <v>1965</v>
      </c>
      <c r="N27" s="0" t="n">
        <f aca="false">I7</f>
        <v>0.475</v>
      </c>
      <c r="O27" s="0" t="n">
        <f aca="false">I9</f>
        <v>0.006</v>
      </c>
      <c r="P27" s="41" t="n">
        <f aca="false">I13</f>
        <v>0.004</v>
      </c>
      <c r="Q27" s="41" t="n">
        <f aca="false">I10*F20</f>
        <v>0.0281081081081081</v>
      </c>
      <c r="T27" s="0" t="n">
        <f aca="false">I13*F23</f>
        <v>0.000239316239316239</v>
      </c>
    </row>
    <row r="28" customFormat="false" ht="16" hidden="false" customHeight="false" outlineLevel="0" collapsed="false">
      <c r="A28" s="0" t="s">
        <v>91</v>
      </c>
      <c r="B28" s="44" t="n">
        <v>35</v>
      </c>
      <c r="C28" s="39" t="n">
        <f aca="false">B28/B$32</f>
        <v>0.0460526315789474</v>
      </c>
      <c r="M28" s="0" t="n">
        <v>1966</v>
      </c>
      <c r="P28" s="41"/>
      <c r="Q28" s="41"/>
    </row>
    <row r="29" customFormat="false" ht="16" hidden="false" customHeight="false" outlineLevel="0" collapsed="false">
      <c r="A29" s="0" t="s">
        <v>92</v>
      </c>
      <c r="B29" s="44" t="n">
        <v>31</v>
      </c>
      <c r="C29" s="39" t="n">
        <f aca="false">B29/B$32</f>
        <v>0.0407894736842105</v>
      </c>
      <c r="M29" s="0" t="n">
        <v>1967</v>
      </c>
      <c r="P29" s="41"/>
      <c r="Q29" s="41"/>
    </row>
    <row r="30" customFormat="false" ht="16" hidden="false" customHeight="false" outlineLevel="0" collapsed="false">
      <c r="A30" s="0" t="s">
        <v>93</v>
      </c>
      <c r="B30" s="44" t="n">
        <v>4</v>
      </c>
      <c r="C30" s="39" t="n">
        <f aca="false">B30/B$32</f>
        <v>0.00526315789473684</v>
      </c>
      <c r="M30" s="0" t="n">
        <v>1968</v>
      </c>
      <c r="P30" s="41"/>
      <c r="Q30" s="41"/>
    </row>
    <row r="31" customFormat="false" ht="16" hidden="false" customHeight="false" outlineLevel="0" collapsed="false">
      <c r="A31" s="0" t="s">
        <v>94</v>
      </c>
      <c r="B31" s="44" t="n">
        <v>117</v>
      </c>
      <c r="C31" s="39" t="n">
        <f aca="false">B31/B$32</f>
        <v>0.153947368421053</v>
      </c>
      <c r="M31" s="0" t="n">
        <v>1969</v>
      </c>
      <c r="P31" s="41"/>
      <c r="Q31" s="41"/>
    </row>
    <row r="32" customFormat="false" ht="16" hidden="false" customHeight="false" outlineLevel="0" collapsed="false">
      <c r="A32" s="0" t="s">
        <v>95</v>
      </c>
      <c r="B32" s="34" t="n">
        <f aca="false">SUM(B17:B31)</f>
        <v>760</v>
      </c>
      <c r="C32" s="45" t="n">
        <f aca="false">SUM(C17:C31)</f>
        <v>1</v>
      </c>
      <c r="M32" s="0" t="n">
        <v>1970</v>
      </c>
      <c r="N32" s="0" t="n">
        <f aca="false">J7</f>
        <v>0.435</v>
      </c>
      <c r="O32" s="0" t="n">
        <f aca="false">J9</f>
        <v>0.023</v>
      </c>
      <c r="P32" s="41" t="n">
        <f aca="false">J13</f>
        <v>0.02</v>
      </c>
      <c r="Q32" s="41" t="n">
        <f aca="false">J10*F20</f>
        <v>0.0518918918918919</v>
      </c>
      <c r="T32" s="0" t="n">
        <f aca="false">J13*F23</f>
        <v>0.0011965811965812</v>
      </c>
    </row>
    <row r="33" customFormat="false" ht="16" hidden="false" customHeight="false" outlineLevel="0" collapsed="false">
      <c r="M33" s="0" t="n">
        <v>1971</v>
      </c>
      <c r="P33" s="41"/>
      <c r="Q33" s="41"/>
    </row>
    <row r="34" customFormat="false" ht="16" hidden="false" customHeight="false" outlineLevel="0" collapsed="false">
      <c r="A34" s="0" t="s">
        <v>96</v>
      </c>
      <c r="M34" s="0" t="n">
        <v>1972</v>
      </c>
      <c r="P34" s="41"/>
      <c r="Q34" s="41"/>
    </row>
    <row r="35" customFormat="false" ht="16" hidden="false" customHeight="false" outlineLevel="0" collapsed="false">
      <c r="M35" s="0" t="n">
        <v>1973</v>
      </c>
      <c r="P35" s="41"/>
      <c r="Q35" s="41"/>
    </row>
    <row r="36" customFormat="false" ht="16" hidden="false" customHeight="false" outlineLevel="0" collapsed="false">
      <c r="M36" s="0" t="n">
        <v>1974</v>
      </c>
      <c r="P36" s="41"/>
      <c r="Q36" s="41"/>
    </row>
    <row r="37" customFormat="false" ht="16" hidden="false" customHeight="false" outlineLevel="0" collapsed="false">
      <c r="M37" s="0" t="n">
        <v>1975</v>
      </c>
      <c r="N37" s="0" t="n">
        <f aca="false">K7</f>
        <v>0.423</v>
      </c>
      <c r="O37" s="0" t="n">
        <f aca="false">K9</f>
        <v>0.086</v>
      </c>
      <c r="P37" s="41" t="n">
        <f aca="false">K13</f>
        <v>0.041</v>
      </c>
      <c r="Q37" s="41" t="n">
        <f aca="false">K10*F20</f>
        <v>0.0697297297297297</v>
      </c>
      <c r="T37" s="0" t="n">
        <f aca="false">K13*F23</f>
        <v>0.00245299145299145</v>
      </c>
    </row>
    <row r="38" customFormat="false" ht="16" hidden="false" customHeight="false" outlineLevel="0" collapsed="false">
      <c r="M38" s="0" t="n">
        <v>1976</v>
      </c>
      <c r="P38" s="41"/>
      <c r="Q38" s="41"/>
    </row>
    <row r="39" customFormat="false" ht="16" hidden="false" customHeight="false" outlineLevel="0" collapsed="false">
      <c r="M39" s="0" t="n">
        <v>1977</v>
      </c>
      <c r="P39" s="41"/>
      <c r="Q39" s="41"/>
    </row>
    <row r="40" customFormat="false" ht="16" hidden="false" customHeight="false" outlineLevel="0" collapsed="false">
      <c r="M40" s="0" t="n">
        <v>1978</v>
      </c>
      <c r="P40" s="41"/>
      <c r="Q40" s="41"/>
    </row>
    <row r="41" customFormat="false" ht="16" hidden="false" customHeight="false" outlineLevel="0" collapsed="false">
      <c r="M41" s="0" t="n">
        <v>1979</v>
      </c>
      <c r="N41" s="0" t="n">
        <f aca="false">L7</f>
        <v>0.463</v>
      </c>
      <c r="O41" s="0" t="n">
        <f aca="false">L9</f>
        <v>0.101</v>
      </c>
      <c r="P41" s="41" t="n">
        <f aca="false">L13</f>
        <v>0.021</v>
      </c>
      <c r="Q41" s="41" t="n">
        <f aca="false">L10*F20</f>
        <v>0.0551351351351351</v>
      </c>
      <c r="T41" s="0" t="n">
        <f aca="false">L13*F23</f>
        <v>0.00125641025641026</v>
      </c>
    </row>
    <row r="42" customFormat="false" ht="16" hidden="false" customHeight="false" outlineLevel="0" collapsed="false">
      <c r="M42" s="0" t="n">
        <v>1980</v>
      </c>
    </row>
    <row r="43" customFormat="false" ht="16" hidden="false" customHeight="false" outlineLevel="0" collapsed="false">
      <c r="A43" s="36" t="s">
        <v>97</v>
      </c>
      <c r="M43" s="0" t="n">
        <v>1981</v>
      </c>
    </row>
    <row r="44" customFormat="false" ht="49" hidden="false" customHeight="true" outlineLevel="0" collapsed="false">
      <c r="A44" s="46" t="s">
        <v>98</v>
      </c>
      <c r="B44" s="46"/>
      <c r="C44" s="46"/>
      <c r="D44" s="46"/>
      <c r="E44" s="46"/>
      <c r="F44" s="46"/>
      <c r="G44" s="46"/>
      <c r="H44" s="46"/>
      <c r="I44" s="46"/>
      <c r="J44" s="46"/>
      <c r="K44" s="46"/>
      <c r="M44" s="0" t="n">
        <v>1982</v>
      </c>
      <c r="N44" s="0" t="n">
        <f aca="false">B6</f>
        <v>0.3638</v>
      </c>
      <c r="O44" s="0" t="n">
        <f aca="false">B7</f>
        <v>0.0742</v>
      </c>
      <c r="P44" s="0" t="n">
        <f aca="false">B8</f>
        <v>0.0399</v>
      </c>
      <c r="Q44" s="0" t="n">
        <f aca="false">B9</f>
        <v>0.0599</v>
      </c>
    </row>
    <row r="45" customFormat="false" ht="16" hidden="false" customHeight="false" outlineLevel="0" collapsed="false">
      <c r="A45" s="0" t="s">
        <v>99</v>
      </c>
      <c r="M45" s="0" t="n">
        <v>1983</v>
      </c>
    </row>
    <row r="46" customFormat="false" ht="16" hidden="false" customHeight="false" outlineLevel="0" collapsed="false">
      <c r="M46" s="0" t="n">
        <v>1984</v>
      </c>
    </row>
    <row r="47" customFormat="false" ht="16" hidden="false" customHeight="false" outlineLevel="0" collapsed="false">
      <c r="M47" s="0" t="n">
        <v>1985</v>
      </c>
    </row>
    <row r="48" customFormat="false" ht="16" hidden="false" customHeight="false" outlineLevel="0" collapsed="false">
      <c r="M48" s="0" t="n">
        <v>1986</v>
      </c>
    </row>
    <row r="49" customFormat="false" ht="16" hidden="false" customHeight="false" outlineLevel="0" collapsed="false">
      <c r="M49" s="0" t="n">
        <v>1987</v>
      </c>
    </row>
    <row r="50" customFormat="false" ht="16" hidden="false" customHeight="false" outlineLevel="0" collapsed="false">
      <c r="M50" s="0" t="n">
        <v>1988</v>
      </c>
    </row>
    <row r="51" customFormat="false" ht="16" hidden="false" customHeight="false" outlineLevel="0" collapsed="false">
      <c r="M51" s="0" t="n">
        <v>1989</v>
      </c>
      <c r="N51" s="0" t="n">
        <f aca="false">C6</f>
        <v>0.3477</v>
      </c>
      <c r="O51" s="0" t="n">
        <f aca="false">C7</f>
        <v>0.0806</v>
      </c>
      <c r="P51" s="0" t="n">
        <f aca="false">C8</f>
        <v>0.0159</v>
      </c>
      <c r="Q51" s="0" t="n">
        <f aca="false">C9</f>
        <v>0.044</v>
      </c>
    </row>
    <row r="52" customFormat="false" ht="16" hidden="false" customHeight="false" outlineLevel="0" collapsed="false">
      <c r="A52" s="36" t="s">
        <v>100</v>
      </c>
      <c r="M52" s="0" t="n">
        <v>1990</v>
      </c>
    </row>
    <row r="53" customFormat="false" ht="16" hidden="false" customHeight="false" outlineLevel="0" collapsed="false">
      <c r="A53" s="0" t="s">
        <v>101</v>
      </c>
      <c r="M53" s="0" t="n">
        <v>1991</v>
      </c>
    </row>
    <row r="54" customFormat="false" ht="16" hidden="false" customHeight="false" outlineLevel="0" collapsed="false">
      <c r="A54" s="47" t="s">
        <v>102</v>
      </c>
      <c r="M54" s="0" t="n">
        <v>1992</v>
      </c>
    </row>
    <row r="55" customFormat="false" ht="16" hidden="false" customHeight="false" outlineLevel="0" collapsed="false">
      <c r="A55" s="0" t="s">
        <v>103</v>
      </c>
      <c r="M55" s="0" t="n">
        <v>1993</v>
      </c>
    </row>
    <row r="56" customFormat="false" ht="16" hidden="false" customHeight="false" outlineLevel="0" collapsed="false">
      <c r="M56" s="0" t="n">
        <v>1994</v>
      </c>
      <c r="N56" s="0" t="n">
        <f aca="false">D6</f>
        <v>0.3405</v>
      </c>
      <c r="O56" s="0" t="n">
        <f aca="false">D7</f>
        <v>0.0674</v>
      </c>
      <c r="P56" s="0" t="n">
        <f aca="false">D8</f>
        <v>0.0688</v>
      </c>
      <c r="Q56" s="0" t="n">
        <f aca="false">D9</f>
        <v>0.036</v>
      </c>
    </row>
    <row r="57" customFormat="false" ht="16" hidden="false" customHeight="false" outlineLevel="0" collapsed="false">
      <c r="A57" s="48" t="n">
        <v>2001</v>
      </c>
      <c r="B57" s="0" t="s">
        <v>104</v>
      </c>
      <c r="C57" s="0" t="s">
        <v>105</v>
      </c>
      <c r="M57" s="0" t="n">
        <v>1995</v>
      </c>
    </row>
    <row r="58" customFormat="false" ht="16" hidden="false" customHeight="false" outlineLevel="0" collapsed="false">
      <c r="A58" s="0" t="s">
        <v>2</v>
      </c>
      <c r="B58" s="0" t="n">
        <v>715</v>
      </c>
      <c r="C58" s="43" t="n">
        <f aca="false">B58/B$62</f>
        <v>0.491484937533295</v>
      </c>
      <c r="M58" s="0" t="n">
        <v>1996</v>
      </c>
    </row>
    <row r="59" customFormat="false" ht="16" hidden="false" customHeight="false" outlineLevel="0" collapsed="false">
      <c r="A59" s="0" t="s">
        <v>49</v>
      </c>
      <c r="B59" s="0" t="n">
        <v>171.6</v>
      </c>
      <c r="C59" s="43" t="n">
        <f aca="false">B59/B$62</f>
        <v>0.117956385007991</v>
      </c>
      <c r="M59" s="0" t="n">
        <v>1997</v>
      </c>
    </row>
    <row r="60" customFormat="false" ht="16" hidden="false" customHeight="false" outlineLevel="0" collapsed="false">
      <c r="A60" s="0" t="s">
        <v>50</v>
      </c>
      <c r="B60" s="0" t="n">
        <v>122.5</v>
      </c>
      <c r="C60" s="43" t="n">
        <f aca="false">B60/B$62</f>
        <v>0.0842054613256345</v>
      </c>
      <c r="M60" s="0" t="n">
        <v>1998</v>
      </c>
    </row>
    <row r="61" customFormat="false" ht="16" hidden="false" customHeight="false" outlineLevel="0" collapsed="false">
      <c r="A61" s="0" t="s">
        <v>51</v>
      </c>
      <c r="B61" s="0" t="n">
        <v>36</v>
      </c>
      <c r="C61" s="43" t="n">
        <f aca="false">B61/B$62</f>
        <v>0.0247460947569212</v>
      </c>
      <c r="M61" s="0" t="n">
        <v>1999</v>
      </c>
    </row>
    <row r="62" customFormat="false" ht="16" hidden="false" customHeight="false" outlineLevel="0" collapsed="false">
      <c r="A62" s="34" t="s">
        <v>95</v>
      </c>
      <c r="B62" s="0" t="n">
        <v>1454.775</v>
      </c>
      <c r="M62" s="0" t="n">
        <v>2000</v>
      </c>
    </row>
    <row r="63" customFormat="false" ht="16" hidden="false" customHeight="false" outlineLevel="0" collapsed="false">
      <c r="M63" s="0" t="n">
        <v>2001</v>
      </c>
      <c r="N63" s="43" t="n">
        <f aca="false">C58</f>
        <v>0.491484937533295</v>
      </c>
      <c r="O63" s="43" t="n">
        <f aca="false">C59</f>
        <v>0.117956385007991</v>
      </c>
      <c r="P63" s="43" t="n">
        <f aca="false">C60</f>
        <v>0.0842054613256345</v>
      </c>
      <c r="Q63" s="43" t="n">
        <f aca="false">C61</f>
        <v>0.0247460947569212</v>
      </c>
    </row>
    <row r="64" customFormat="false" ht="16" hidden="false" customHeight="false" outlineLevel="0" collapsed="false">
      <c r="M64" s="0" t="n">
        <v>2002</v>
      </c>
    </row>
    <row r="65" customFormat="false" ht="16" hidden="false" customHeight="false" outlineLevel="0" collapsed="false">
      <c r="M65" s="0" t="n">
        <v>2003</v>
      </c>
    </row>
    <row r="66" customFormat="false" ht="16" hidden="false" customHeight="false" outlineLevel="0" collapsed="false">
      <c r="M66" s="0" t="n">
        <v>2004</v>
      </c>
    </row>
    <row r="67" customFormat="false" ht="16" hidden="false" customHeight="false" outlineLevel="0" collapsed="false">
      <c r="M67" s="0" t="n">
        <v>2005</v>
      </c>
    </row>
    <row r="68" customFormat="false" ht="16" hidden="false" customHeight="false" outlineLevel="0" collapsed="false">
      <c r="M68" s="0" t="n">
        <v>2006</v>
      </c>
    </row>
    <row r="69" customFormat="false" ht="16" hidden="false" customHeight="false" outlineLevel="0" collapsed="false">
      <c r="M69" s="0" t="n">
        <v>2007</v>
      </c>
    </row>
    <row r="70" customFormat="false" ht="16" hidden="false" customHeight="false" outlineLevel="0" collapsed="false">
      <c r="M70" s="0" t="n">
        <v>2008</v>
      </c>
    </row>
    <row r="71" customFormat="false" ht="16" hidden="false" customHeight="false" outlineLevel="0" collapsed="false">
      <c r="M71" s="0" t="n">
        <v>2009</v>
      </c>
    </row>
    <row r="72" customFormat="false" ht="16" hidden="false" customHeight="false" outlineLevel="0" collapsed="false">
      <c r="M72" s="0" t="n">
        <v>2010</v>
      </c>
    </row>
    <row r="73" customFormat="false" ht="16" hidden="false" customHeight="false" outlineLevel="0" collapsed="false">
      <c r="M73" s="0" t="n">
        <v>2011</v>
      </c>
    </row>
    <row r="74" customFormat="false" ht="16" hidden="false" customHeight="false" outlineLevel="0" collapsed="false">
      <c r="M74" s="0" t="n">
        <v>2012</v>
      </c>
    </row>
    <row r="75" customFormat="false" ht="16" hidden="false" customHeight="false" outlineLevel="0" collapsed="false">
      <c r="M75" s="0" t="n">
        <v>2013</v>
      </c>
    </row>
    <row r="76" customFormat="false" ht="16" hidden="false" customHeight="false" outlineLevel="0" collapsed="false">
      <c r="M76" s="0" t="n">
        <v>2014</v>
      </c>
    </row>
    <row r="77" customFormat="false" ht="16" hidden="false" customHeight="false" outlineLevel="0" collapsed="false">
      <c r="M77" s="0" t="n">
        <v>2015</v>
      </c>
    </row>
  </sheetData>
  <mergeCells count="2">
    <mergeCell ref="A1:S1"/>
    <mergeCell ref="A44:K4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X7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RowHeight="16"/>
  <cols>
    <col collapsed="false" hidden="false" max="1" min="1" style="0" width="24.3037037037037"/>
    <col collapsed="false" hidden="false" max="1025" min="2" style="0" width="10.9740740740741"/>
  </cols>
  <sheetData>
    <row r="1" customFormat="false" ht="24" hidden="false" customHeight="false" outlineLevel="0" collapsed="false">
      <c r="A1" s="2" t="s">
        <v>106</v>
      </c>
      <c r="B1" s="2"/>
      <c r="C1" s="2"/>
      <c r="D1" s="2"/>
      <c r="E1" s="2"/>
      <c r="F1" s="2"/>
      <c r="G1" s="2"/>
      <c r="H1" s="2"/>
      <c r="I1" s="2"/>
      <c r="J1" s="2"/>
      <c r="K1" s="2"/>
      <c r="L1" s="2"/>
      <c r="M1" s="2"/>
      <c r="N1" s="2"/>
      <c r="O1" s="2"/>
      <c r="P1" s="2"/>
      <c r="Q1" s="2"/>
      <c r="R1" s="2"/>
      <c r="S1" s="2"/>
    </row>
    <row r="2" customFormat="false" ht="66" hidden="false" customHeight="true" outlineLevel="0" collapsed="false">
      <c r="F2" s="49" t="s">
        <v>107</v>
      </c>
      <c r="G2" s="49"/>
      <c r="H2" s="49"/>
      <c r="I2" s="49"/>
      <c r="J2" s="49"/>
      <c r="K2" s="49"/>
      <c r="L2" s="49"/>
      <c r="M2" s="49"/>
    </row>
    <row r="4" customFormat="false" ht="16" hidden="false" customHeight="false" outlineLevel="0" collapsed="false">
      <c r="A4" s="36" t="s">
        <v>108</v>
      </c>
      <c r="I4" s="36" t="s">
        <v>109</v>
      </c>
      <c r="O4" s="36" t="s">
        <v>110</v>
      </c>
    </row>
    <row r="5" customFormat="false" ht="16" hidden="false" customHeight="false" outlineLevel="0" collapsed="false">
      <c r="A5" s="44" t="s">
        <v>111</v>
      </c>
      <c r="I5" s="42" t="s">
        <v>112</v>
      </c>
      <c r="O5" s="50" t="s">
        <v>113</v>
      </c>
    </row>
    <row r="6" customFormat="false" ht="16" hidden="false" customHeight="false" outlineLevel="0" collapsed="false">
      <c r="J6" s="0" t="s">
        <v>114</v>
      </c>
    </row>
    <row r="7" customFormat="false" ht="16" hidden="false" customHeight="false" outlineLevel="0" collapsed="false">
      <c r="A7" s="34" t="s">
        <v>115</v>
      </c>
      <c r="B7" s="0" t="s">
        <v>116</v>
      </c>
      <c r="J7" s="34" t="n">
        <v>1969</v>
      </c>
      <c r="K7" s="34" t="n">
        <v>1984</v>
      </c>
      <c r="L7" s="34" t="n">
        <v>1997</v>
      </c>
      <c r="P7" s="34" t="n">
        <v>1969</v>
      </c>
      <c r="Q7" s="34" t="n">
        <v>1984</v>
      </c>
      <c r="R7" s="34" t="n">
        <v>1997</v>
      </c>
      <c r="S7" s="34" t="n">
        <v>2008</v>
      </c>
    </row>
    <row r="8" customFormat="false" ht="16" hidden="false" customHeight="false" outlineLevel="0" collapsed="false">
      <c r="A8" s="0" t="s">
        <v>2</v>
      </c>
      <c r="B8" s="0" t="n">
        <v>0.13</v>
      </c>
      <c r="I8" s="34" t="s">
        <v>2</v>
      </c>
      <c r="J8" s="51" t="n">
        <f aca="false">B64/B75</f>
        <v>0.0797588985269137</v>
      </c>
      <c r="K8" s="51" t="n">
        <f aca="false">C64/C75</f>
        <v>0.0846248752617332</v>
      </c>
      <c r="L8" s="51" t="n">
        <f aca="false">D64/D75</f>
        <v>0.0806179875478983</v>
      </c>
      <c r="O8" s="34" t="s">
        <v>2</v>
      </c>
      <c r="P8" s="43" t="n">
        <f aca="false">'Private seed shares'!N27+(4/5)*('Private seed shares'!N32-'Private seed shares'!N27)</f>
        <v>0.443</v>
      </c>
      <c r="Q8" s="43" t="n">
        <f aca="false">'Private seed shares'!N44+(2/7)*('Private seed shares'!N51-'Private seed shares'!N44)</f>
        <v>0.3592</v>
      </c>
      <c r="R8" s="43" t="n">
        <f aca="false">'Private seed shares'!N56+(3/7)*('Private seed shares'!N63-'Private seed shares'!N56)</f>
        <v>0.405207830371412</v>
      </c>
      <c r="S8" s="43" t="n">
        <f aca="false">'Private seed shares'!N63</f>
        <v>0.491484937533295</v>
      </c>
    </row>
    <row r="9" customFormat="false" ht="16" hidden="false" customHeight="false" outlineLevel="0" collapsed="false">
      <c r="A9" s="0" t="s">
        <v>117</v>
      </c>
      <c r="B9" s="0" t="n">
        <v>0.18</v>
      </c>
      <c r="I9" s="34" t="s">
        <v>49</v>
      </c>
      <c r="J9" s="51" t="n">
        <f aca="false">B67/B75</f>
        <v>0.0448196798286698</v>
      </c>
      <c r="K9" s="51" t="n">
        <f aca="false">C67/C75</f>
        <v>0.0993519377336154</v>
      </c>
      <c r="L9" s="51" t="n">
        <f aca="false">D67/D75</f>
        <v>0.0701070970513261</v>
      </c>
      <c r="O9" s="34" t="s">
        <v>49</v>
      </c>
      <c r="P9" s="43" t="n">
        <f aca="false">'Private seed shares'!O27+(4/5)*('Private seed shares'!O32-'Private seed shares'!O27)</f>
        <v>0.0196</v>
      </c>
      <c r="Q9" s="43" t="n">
        <f aca="false">'Private seed shares'!O44+(2/7)*('Private seed shares'!O51-'Private seed shares'!O44)</f>
        <v>0.0760285714285714</v>
      </c>
      <c r="R9" s="43" t="n">
        <f aca="false">'Private seed shares'!O56+(3/7)*('Private seed shares'!O63-'Private seed shares'!O56)</f>
        <v>0.0890670221462818</v>
      </c>
      <c r="S9" s="43" t="n">
        <f aca="false">'Private seed shares'!O63</f>
        <v>0.117956385007991</v>
      </c>
      <c r="U9" s="34"/>
    </row>
    <row r="10" customFormat="false" ht="16" hidden="false" customHeight="false" outlineLevel="0" collapsed="false">
      <c r="A10" s="0" t="s">
        <v>118</v>
      </c>
      <c r="B10" s="0" t="n">
        <v>0.1</v>
      </c>
      <c r="I10" s="34" t="s">
        <v>50</v>
      </c>
      <c r="J10" s="51" t="n">
        <f aca="false">B69/B75</f>
        <v>0.159084546971292</v>
      </c>
      <c r="K10" s="51" t="n">
        <f aca="false">C69/C75</f>
        <v>0.10514130392466</v>
      </c>
      <c r="L10" s="51" t="n">
        <f aca="false">D69/D75</f>
        <v>0.0934285234132511</v>
      </c>
      <c r="O10" s="34" t="s">
        <v>50</v>
      </c>
      <c r="P10" s="43" t="n">
        <f aca="false">'Private seed shares'!P27+(4/5)*('Private seed shares'!P32-'Private seed shares'!P27)</f>
        <v>0.0168</v>
      </c>
      <c r="Q10" s="43" t="n">
        <f aca="false">'Private seed shares'!P44+(2/7)*('Private seed shares'!P51-'Private seed shares'!P44)</f>
        <v>0.0330428571428571</v>
      </c>
      <c r="R10" s="43" t="n">
        <f aca="false">'Private seed shares'!P56+(3/7)*('Private seed shares'!P63-'Private seed shares'!P56)</f>
        <v>0.0754023405681291</v>
      </c>
      <c r="S10" s="43" t="n">
        <f aca="false">'Private seed shares'!P63</f>
        <v>0.0842054613256345</v>
      </c>
      <c r="U10" s="34"/>
    </row>
    <row r="11" customFormat="false" ht="16" hidden="false" customHeight="false" outlineLevel="0" collapsed="false">
      <c r="A11" s="0" t="s">
        <v>119</v>
      </c>
      <c r="B11" s="0" t="n">
        <v>0.09</v>
      </c>
      <c r="I11" s="34" t="s">
        <v>51</v>
      </c>
      <c r="J11" s="51" t="n">
        <f aca="false">B65/B75</f>
        <v>0.0508095613993682</v>
      </c>
      <c r="K11" s="51" t="n">
        <f aca="false">C65/C75</f>
        <v>0.0601100988995846</v>
      </c>
      <c r="L11" s="51" t="n">
        <f aca="false">D65/D75</f>
        <v>0.0660360087070991</v>
      </c>
      <c r="O11" s="34" t="s">
        <v>51</v>
      </c>
      <c r="P11" s="43" t="n">
        <f aca="false">'Private seed shares'!Q27+(4/5)*('Private seed shares'!Q32-'Private seed shares'!Q27)</f>
        <v>0.0471351351351351</v>
      </c>
      <c r="Q11" s="43" t="n">
        <f aca="false">'Private seed shares'!Q44+(2/7)*('Private seed shares'!Q51-'Private seed shares'!Q44)</f>
        <v>0.0553571428571429</v>
      </c>
      <c r="R11" s="43" t="n">
        <f aca="false">'Private seed shares'!Q56+(3/7)*('Private seed shares'!Q63-'Private seed shares'!Q56)</f>
        <v>0.0311768977529662</v>
      </c>
      <c r="S11" s="43" t="n">
        <f aca="false">'Private seed shares'!Q63</f>
        <v>0.0247460947569212</v>
      </c>
    </row>
    <row r="12" customFormat="false" ht="16" hidden="false" customHeight="false" outlineLevel="0" collapsed="false">
      <c r="A12" s="0" t="s">
        <v>50</v>
      </c>
      <c r="B12" s="0" t="n">
        <v>0.05</v>
      </c>
    </row>
    <row r="13" customFormat="false" ht="16" hidden="false" customHeight="false" outlineLevel="0" collapsed="false">
      <c r="A13" s="0" t="s">
        <v>120</v>
      </c>
      <c r="B13" s="0" t="n">
        <v>0.27</v>
      </c>
      <c r="O13" s="52" t="s">
        <v>121</v>
      </c>
      <c r="P13" s="52"/>
      <c r="Q13" s="52"/>
      <c r="R13" s="53" t="s">
        <v>122</v>
      </c>
      <c r="S13" s="54" t="s">
        <v>2</v>
      </c>
      <c r="T13" s="54" t="s">
        <v>49</v>
      </c>
      <c r="U13" s="54" t="s">
        <v>50</v>
      </c>
      <c r="V13" s="54" t="s">
        <v>51</v>
      </c>
    </row>
    <row r="14" customFormat="false" ht="16" hidden="false" customHeight="false" outlineLevel="0" collapsed="false">
      <c r="A14" s="0" t="s">
        <v>64</v>
      </c>
      <c r="B14" s="0" t="n">
        <v>0.18</v>
      </c>
      <c r="O14" s="55" t="s">
        <v>123</v>
      </c>
      <c r="P14" s="56"/>
      <c r="Q14" s="56"/>
      <c r="R14" s="54" t="n">
        <v>1969</v>
      </c>
      <c r="S14" s="57" t="n">
        <f aca="false">AVERAGE(J8,P8)</f>
        <v>0.261379449263457</v>
      </c>
      <c r="T14" s="57" t="n">
        <f aca="false">AVERAGE(J9,P9)</f>
        <v>0.0322098399143349</v>
      </c>
      <c r="U14" s="57" t="n">
        <f aca="false">AVERAGE(J10,P10)</f>
        <v>0.0879422734856461</v>
      </c>
      <c r="V14" s="57" t="n">
        <f aca="false">AVERAGE(J11,P11)</f>
        <v>0.0489723482672517</v>
      </c>
      <c r="W14" s="43"/>
      <c r="X14" s="43"/>
    </row>
    <row r="15" customFormat="false" ht="16" hidden="false" customHeight="false" outlineLevel="0" collapsed="false">
      <c r="O15" s="56" t="s">
        <v>124</v>
      </c>
      <c r="P15" s="56"/>
      <c r="Q15" s="56"/>
      <c r="R15" s="54" t="n">
        <v>1984</v>
      </c>
      <c r="S15" s="57" t="n">
        <f aca="false">AVERAGE(K8,Q8)</f>
        <v>0.221912437630867</v>
      </c>
      <c r="T15" s="57" t="n">
        <f aca="false">AVERAGE(K9,Q9)</f>
        <v>0.0876902545810934</v>
      </c>
      <c r="U15" s="57" t="n">
        <f aca="false">AVERAGE(K10,Q10)</f>
        <v>0.0690920805337585</v>
      </c>
      <c r="V15" s="57" t="n">
        <f aca="false">AVERAGE(K11,Q11)</f>
        <v>0.0577336208783637</v>
      </c>
    </row>
    <row r="16" customFormat="false" ht="16" hidden="false" customHeight="false" outlineLevel="0" collapsed="false">
      <c r="O16" s="56"/>
      <c r="P16" s="56"/>
      <c r="Q16" s="56"/>
      <c r="R16" s="54" t="n">
        <v>1997</v>
      </c>
      <c r="S16" s="57" t="n">
        <f aca="false">AVERAGE(L8,R8)</f>
        <v>0.242912908959655</v>
      </c>
      <c r="T16" s="57" t="n">
        <f aca="false">AVERAGE(L9,R9)</f>
        <v>0.079587059598804</v>
      </c>
      <c r="U16" s="57" t="n">
        <f aca="false">AVERAGE(L10,R10)</f>
        <v>0.0844154319906901</v>
      </c>
      <c r="V16" s="57" t="n">
        <f aca="false">AVERAGE(L11,R11)</f>
        <v>0.0486064532300327</v>
      </c>
    </row>
    <row r="17" customFormat="false" ht="16" hidden="false" customHeight="false" outlineLevel="0" collapsed="false">
      <c r="O17" s="56"/>
      <c r="P17" s="56"/>
      <c r="Q17" s="56"/>
      <c r="R17" s="54" t="n">
        <v>2008</v>
      </c>
      <c r="S17" s="57" t="n">
        <f aca="false">AVERAGE(B8,S8)</f>
        <v>0.310742468766648</v>
      </c>
      <c r="T17" s="57" t="n">
        <f aca="false">AVERAGE(B10,S9)</f>
        <v>0.108978192503995</v>
      </c>
      <c r="U17" s="57" t="n">
        <f aca="false">AVERAGE(B12,S10)</f>
        <v>0.0671027306628173</v>
      </c>
      <c r="V17" s="57" t="n">
        <f aca="false">AVERAGE(B9*(D65/(D65+D66)),S11)</f>
        <v>0.0606770960079229</v>
      </c>
    </row>
    <row r="20" customFormat="false" ht="19" hidden="false" customHeight="false" outlineLevel="0" collapsed="false">
      <c r="A20" s="58" t="s">
        <v>125</v>
      </c>
    </row>
    <row r="21" customFormat="false" ht="16" hidden="false" customHeight="false" outlineLevel="0" collapsed="false">
      <c r="A21" s="0" t="s">
        <v>126</v>
      </c>
    </row>
    <row r="22" customFormat="false" ht="16" hidden="false" customHeight="false" outlineLevel="0" collapsed="false">
      <c r="B22" s="59" t="n">
        <v>1969</v>
      </c>
      <c r="C22" s="59"/>
      <c r="D22" s="59"/>
      <c r="E22" s="59"/>
      <c r="F22" s="59"/>
      <c r="G22" s="59" t="n">
        <v>1984</v>
      </c>
      <c r="H22" s="59"/>
      <c r="I22" s="59"/>
      <c r="J22" s="59"/>
      <c r="K22" s="59"/>
      <c r="L22" s="59" t="n">
        <v>1997</v>
      </c>
      <c r="M22" s="59"/>
      <c r="N22" s="59"/>
      <c r="O22" s="59"/>
      <c r="P22" s="59"/>
    </row>
    <row r="23" customFormat="false" ht="16" hidden="false" customHeight="false" outlineLevel="0" collapsed="false">
      <c r="A23" s="0" t="s">
        <v>127</v>
      </c>
      <c r="B23" s="0" t="s">
        <v>128</v>
      </c>
      <c r="E23" s="0" t="s">
        <v>129</v>
      </c>
      <c r="F23" s="0" t="s">
        <v>130</v>
      </c>
      <c r="G23" s="0" t="s">
        <v>128</v>
      </c>
      <c r="J23" s="0" t="s">
        <v>129</v>
      </c>
      <c r="K23" s="0" t="s">
        <v>130</v>
      </c>
      <c r="L23" s="0" t="s">
        <v>128</v>
      </c>
      <c r="O23" s="0" t="s">
        <v>129</v>
      </c>
      <c r="P23" s="0" t="s">
        <v>130</v>
      </c>
    </row>
    <row r="24" customFormat="false" ht="16" hidden="false" customHeight="false" outlineLevel="0" collapsed="false">
      <c r="A24" s="0" t="s">
        <v>131</v>
      </c>
      <c r="B24" s="0" t="s">
        <v>132</v>
      </c>
      <c r="C24" s="0" t="s">
        <v>133</v>
      </c>
      <c r="D24" s="0" t="s">
        <v>134</v>
      </c>
      <c r="E24" s="0" t="s">
        <v>135</v>
      </c>
      <c r="F24" s="0" t="s">
        <v>136</v>
      </c>
      <c r="G24" s="0" t="s">
        <v>132</v>
      </c>
      <c r="H24" s="0" t="s">
        <v>133</v>
      </c>
      <c r="I24" s="0" t="s">
        <v>134</v>
      </c>
      <c r="J24" s="0" t="s">
        <v>135</v>
      </c>
      <c r="K24" s="0" t="s">
        <v>136</v>
      </c>
      <c r="L24" s="0" t="s">
        <v>132</v>
      </c>
      <c r="M24" s="0" t="s">
        <v>133</v>
      </c>
      <c r="N24" s="0" t="s">
        <v>134</v>
      </c>
      <c r="O24" s="0" t="s">
        <v>135</v>
      </c>
      <c r="P24" s="0" t="s">
        <v>136</v>
      </c>
    </row>
    <row r="25" customFormat="false" ht="16" hidden="false" customHeight="false" outlineLevel="0" collapsed="false">
      <c r="A25" s="0" t="s">
        <v>137</v>
      </c>
      <c r="B25" s="21" t="s">
        <v>138</v>
      </c>
      <c r="C25" s="21"/>
      <c r="D25" s="21"/>
      <c r="E25" s="21"/>
      <c r="F25" s="21"/>
      <c r="G25" s="21"/>
      <c r="H25" s="21"/>
      <c r="I25" s="21"/>
      <c r="J25" s="21"/>
      <c r="K25" s="21"/>
      <c r="L25" s="21"/>
      <c r="M25" s="21"/>
      <c r="N25" s="21"/>
      <c r="O25" s="21"/>
      <c r="P25" s="21"/>
    </row>
    <row r="26" customFormat="false" ht="16" hidden="false" customHeight="false" outlineLevel="0" collapsed="false">
      <c r="A26" s="0" t="s">
        <v>2</v>
      </c>
      <c r="B26" s="0" t="n">
        <v>36.4</v>
      </c>
      <c r="C26" s="0" t="n">
        <v>1.9</v>
      </c>
      <c r="D26" s="60" t="n">
        <v>2</v>
      </c>
      <c r="E26" s="60" t="n">
        <v>28.6</v>
      </c>
      <c r="F26" s="60" t="n">
        <v>25.7</v>
      </c>
      <c r="G26" s="60" t="n">
        <v>43.5</v>
      </c>
      <c r="H26" s="60" t="n">
        <v>1.7</v>
      </c>
      <c r="I26" s="60" t="n">
        <v>6.7</v>
      </c>
      <c r="J26" s="60" t="n">
        <v>33.8</v>
      </c>
      <c r="K26" s="60" t="n">
        <v>6.3</v>
      </c>
      <c r="L26" s="60" t="n">
        <v>36.1</v>
      </c>
      <c r="M26" s="60" t="n">
        <v>0.9</v>
      </c>
      <c r="N26" s="60" t="n">
        <v>7.4</v>
      </c>
      <c r="O26" s="60" t="n">
        <v>27.5</v>
      </c>
      <c r="P26" s="60" t="n">
        <v>18.1</v>
      </c>
      <c r="R26" s="60"/>
      <c r="S26" s="60"/>
    </row>
    <row r="27" customFormat="false" ht="16" hidden="false" customHeight="false" outlineLevel="0" collapsed="false">
      <c r="A27" s="0" t="s">
        <v>51</v>
      </c>
      <c r="B27" s="0" t="n">
        <v>31.3</v>
      </c>
      <c r="C27" s="0" t="n">
        <v>0.5</v>
      </c>
      <c r="D27" s="60" t="n">
        <v>5.4</v>
      </c>
      <c r="E27" s="60" t="n">
        <v>21.6</v>
      </c>
      <c r="F27" s="60" t="n">
        <v>30.2</v>
      </c>
      <c r="G27" s="60" t="n">
        <v>48.7</v>
      </c>
      <c r="H27" s="60" t="n">
        <v>0.5</v>
      </c>
      <c r="I27" s="60" t="n">
        <v>10</v>
      </c>
      <c r="J27" s="60" t="n">
        <v>28</v>
      </c>
      <c r="K27" s="60" t="n">
        <v>8.5</v>
      </c>
      <c r="L27" s="60" t="n">
        <v>42.6</v>
      </c>
      <c r="M27" s="60" t="n">
        <v>1.1</v>
      </c>
      <c r="N27" s="60" t="n">
        <v>9.3</v>
      </c>
      <c r="O27" s="60" t="n">
        <v>27.7</v>
      </c>
      <c r="P27" s="60" t="n">
        <v>15.4</v>
      </c>
    </row>
    <row r="28" customFormat="false" ht="16" hidden="false" customHeight="false" outlineLevel="0" collapsed="false">
      <c r="A28" s="0" t="s">
        <v>79</v>
      </c>
      <c r="B28" s="0" t="n">
        <v>49.5</v>
      </c>
      <c r="C28" s="0" t="n">
        <v>1.1</v>
      </c>
      <c r="D28" s="60" t="n">
        <v>3.4</v>
      </c>
      <c r="E28" s="60" t="n">
        <v>24.1</v>
      </c>
      <c r="F28" s="60" t="n">
        <v>14.8</v>
      </c>
      <c r="G28" s="60" t="n">
        <v>49.7</v>
      </c>
      <c r="H28" s="60" t="n">
        <v>0.7</v>
      </c>
      <c r="I28" s="60" t="n">
        <v>8.1</v>
      </c>
      <c r="J28" s="60" t="n">
        <v>29</v>
      </c>
      <c r="K28" s="60" t="n">
        <v>8.5</v>
      </c>
      <c r="L28" s="60" t="n">
        <v>49</v>
      </c>
      <c r="M28" s="60" t="n">
        <v>0.7</v>
      </c>
      <c r="N28" s="60" t="n">
        <v>7.1</v>
      </c>
      <c r="O28" s="60" t="n">
        <v>28.8</v>
      </c>
      <c r="P28" s="60" t="n">
        <v>10.5</v>
      </c>
    </row>
    <row r="29" customFormat="false" ht="16" hidden="false" customHeight="false" outlineLevel="0" collapsed="false">
      <c r="A29" s="0" t="s">
        <v>49</v>
      </c>
      <c r="B29" s="0" t="n">
        <v>39.1</v>
      </c>
      <c r="C29" s="0" t="n">
        <v>1.3</v>
      </c>
      <c r="D29" s="60" t="n">
        <v>1.7</v>
      </c>
      <c r="E29" s="60" t="n">
        <v>27.2</v>
      </c>
      <c r="F29" s="60" t="n">
        <v>20</v>
      </c>
      <c r="G29" s="60" t="n">
        <v>43.7</v>
      </c>
      <c r="H29" s="60" t="n">
        <v>1.9</v>
      </c>
      <c r="I29" s="60" t="n">
        <v>7.2</v>
      </c>
      <c r="J29" s="60" t="n">
        <v>35.4</v>
      </c>
      <c r="K29" s="60" t="n">
        <v>7.5</v>
      </c>
      <c r="L29" s="60" t="n">
        <v>42.5</v>
      </c>
      <c r="M29" s="60" t="n">
        <v>1.3</v>
      </c>
      <c r="N29" s="60" t="n">
        <v>7.6</v>
      </c>
      <c r="O29" s="60" t="n">
        <v>28.5</v>
      </c>
      <c r="P29" s="60" t="n">
        <v>15.7</v>
      </c>
    </row>
    <row r="30" customFormat="false" ht="16" hidden="false" customHeight="false" outlineLevel="0" collapsed="false">
      <c r="A30" s="0" t="s">
        <v>139</v>
      </c>
      <c r="B30" s="0" t="n">
        <v>26</v>
      </c>
      <c r="C30" s="0" t="n">
        <v>5.3</v>
      </c>
      <c r="D30" s="60" t="n">
        <v>3.8</v>
      </c>
      <c r="E30" s="60" t="n">
        <v>18.4</v>
      </c>
      <c r="F30" s="60" t="n">
        <v>28.6</v>
      </c>
      <c r="G30" s="60" t="n">
        <v>33.3</v>
      </c>
      <c r="H30" s="60" t="n">
        <v>3</v>
      </c>
      <c r="I30" s="60" t="n">
        <v>7.6</v>
      </c>
      <c r="J30" s="60" t="n">
        <v>32.5</v>
      </c>
      <c r="K30" s="60" t="n">
        <v>16.9</v>
      </c>
      <c r="L30" s="60" t="n">
        <v>39.6</v>
      </c>
      <c r="M30" s="60" t="n">
        <v>0.2</v>
      </c>
      <c r="N30" s="60" t="n">
        <v>8.7</v>
      </c>
      <c r="O30" s="60" t="n">
        <v>21.1</v>
      </c>
      <c r="P30" s="60" t="n">
        <v>21.4</v>
      </c>
    </row>
    <row r="31" customFormat="false" ht="16" hidden="false" customHeight="false" outlineLevel="0" collapsed="false">
      <c r="A31" s="0" t="s">
        <v>50</v>
      </c>
      <c r="B31" s="0" t="n">
        <v>20</v>
      </c>
      <c r="C31" s="0" t="n">
        <v>10.3</v>
      </c>
      <c r="D31" s="60" t="n">
        <v>5.5</v>
      </c>
      <c r="E31" s="60" t="n">
        <v>32.2</v>
      </c>
      <c r="F31" s="60" t="n">
        <v>26.6</v>
      </c>
      <c r="G31" s="60" t="n">
        <v>20.3</v>
      </c>
      <c r="H31" s="60" t="n">
        <v>4.2</v>
      </c>
      <c r="I31" s="60" t="n">
        <v>7.8</v>
      </c>
      <c r="J31" s="60" t="n">
        <v>42.5</v>
      </c>
      <c r="K31" s="60" t="n">
        <v>13.1</v>
      </c>
      <c r="L31" s="60" t="n">
        <v>24.6</v>
      </c>
      <c r="M31" s="60" t="n">
        <v>3.1</v>
      </c>
      <c r="N31" s="60" t="n">
        <v>12.9</v>
      </c>
      <c r="O31" s="60" t="n">
        <v>42.5</v>
      </c>
      <c r="P31" s="60" t="n">
        <v>12.5</v>
      </c>
    </row>
    <row r="32" customFormat="false" ht="16" hidden="false" customHeight="false" outlineLevel="0" collapsed="false">
      <c r="A32" s="0" t="s">
        <v>140</v>
      </c>
      <c r="B32" s="0" t="n">
        <v>71.2</v>
      </c>
      <c r="C32" s="0" t="n">
        <v>2.5</v>
      </c>
      <c r="D32" s="60" t="n">
        <v>1.9</v>
      </c>
      <c r="E32" s="60" t="n">
        <v>17.8</v>
      </c>
      <c r="F32" s="60" t="n">
        <v>2.9</v>
      </c>
      <c r="G32" s="60" t="n">
        <v>59</v>
      </c>
      <c r="H32" s="60" t="n">
        <v>1.6</v>
      </c>
      <c r="I32" s="60" t="n">
        <v>7.6</v>
      </c>
      <c r="J32" s="60" t="n">
        <v>23.6</v>
      </c>
      <c r="K32" s="60" t="n">
        <v>2</v>
      </c>
      <c r="L32" s="60" t="n">
        <v>56.3</v>
      </c>
      <c r="M32" s="60" t="n">
        <v>0.4</v>
      </c>
      <c r="N32" s="60" t="n">
        <v>12.1</v>
      </c>
      <c r="O32" s="60" t="n">
        <v>20.8</v>
      </c>
      <c r="P32" s="60" t="n">
        <v>1.7</v>
      </c>
    </row>
    <row r="33" customFormat="false" ht="16" hidden="false" customHeight="false" outlineLevel="0" collapsed="false">
      <c r="A33" s="0" t="s">
        <v>141</v>
      </c>
      <c r="B33" s="0" t="n">
        <v>39.9</v>
      </c>
      <c r="C33" s="0" t="n">
        <v>4.1</v>
      </c>
      <c r="D33" s="60" t="n">
        <v>2.6</v>
      </c>
      <c r="E33" s="60" t="n">
        <v>33.3</v>
      </c>
      <c r="F33" s="60" t="n">
        <v>4</v>
      </c>
      <c r="G33" s="60" t="n">
        <v>38.2</v>
      </c>
      <c r="H33" s="60" t="n">
        <v>5</v>
      </c>
      <c r="I33" s="60" t="n">
        <v>4</v>
      </c>
      <c r="J33" s="60" t="n">
        <v>29.4</v>
      </c>
      <c r="K33" s="60" t="n">
        <v>7.3</v>
      </c>
      <c r="L33" s="60" t="n">
        <v>36.9</v>
      </c>
      <c r="M33" s="60" t="n">
        <v>2.4</v>
      </c>
      <c r="N33" s="60" t="n">
        <v>5.9</v>
      </c>
      <c r="O33" s="60" t="n">
        <v>43.7</v>
      </c>
      <c r="P33" s="60" t="n">
        <v>9.2</v>
      </c>
    </row>
    <row r="34" customFormat="false" ht="16" hidden="false" customHeight="false" outlineLevel="0" collapsed="false">
      <c r="A34" s="0" t="s">
        <v>90</v>
      </c>
      <c r="B34" s="0" t="n">
        <v>25.1</v>
      </c>
      <c r="C34" s="0" t="n">
        <v>2.6</v>
      </c>
      <c r="D34" s="60" t="n">
        <v>8.6</v>
      </c>
      <c r="E34" s="60" t="n">
        <v>29.7</v>
      </c>
      <c r="F34" s="60" t="n">
        <v>27.1</v>
      </c>
      <c r="G34" s="60" t="n">
        <v>37.8</v>
      </c>
      <c r="H34" s="60" t="n">
        <v>0.3</v>
      </c>
      <c r="I34" s="60" t="n">
        <v>3.8</v>
      </c>
      <c r="J34" s="60" t="n">
        <v>40.8</v>
      </c>
      <c r="K34" s="60" t="n">
        <v>15</v>
      </c>
      <c r="L34" s="60" t="n">
        <v>29.9</v>
      </c>
      <c r="M34" s="60" t="n">
        <v>0.2</v>
      </c>
      <c r="N34" s="60" t="n">
        <v>4</v>
      </c>
      <c r="O34" s="60" t="n">
        <v>54.1</v>
      </c>
      <c r="P34" s="60" t="n">
        <v>8.8</v>
      </c>
    </row>
    <row r="35" customFormat="false" ht="16" hidden="false" customHeight="false" outlineLevel="0" collapsed="false">
      <c r="A35" s="0" t="s">
        <v>142</v>
      </c>
      <c r="B35" s="0" t="n">
        <v>18.9</v>
      </c>
      <c r="C35" s="0" t="n">
        <v>2.7</v>
      </c>
      <c r="D35" s="60" t="n">
        <v>11.3</v>
      </c>
      <c r="E35" s="60" t="n">
        <v>17.7</v>
      </c>
      <c r="F35" s="60" t="n">
        <v>10.3</v>
      </c>
      <c r="G35" s="60" t="n">
        <v>31.3</v>
      </c>
      <c r="H35" s="60" t="n">
        <v>2.6</v>
      </c>
      <c r="I35" s="60" t="n">
        <v>18.9</v>
      </c>
      <c r="J35" s="60" t="n">
        <v>32.7</v>
      </c>
      <c r="K35" s="60" t="n">
        <v>10</v>
      </c>
      <c r="L35" s="60" t="n">
        <v>27.5</v>
      </c>
      <c r="M35" s="60" t="n">
        <v>0.9</v>
      </c>
      <c r="N35" s="60" t="n">
        <v>19</v>
      </c>
      <c r="O35" s="60" t="n">
        <v>37.8</v>
      </c>
      <c r="P35" s="60" t="n">
        <v>9.4</v>
      </c>
    </row>
    <row r="36" customFormat="false" ht="16" hidden="false" customHeight="false" outlineLevel="0" collapsed="false">
      <c r="A36" s="0" t="s">
        <v>143</v>
      </c>
      <c r="B36" s="0" t="n">
        <v>0</v>
      </c>
      <c r="C36" s="0" t="n">
        <v>0</v>
      </c>
      <c r="D36" s="60" t="n">
        <v>0</v>
      </c>
      <c r="E36" s="60" t="n">
        <v>0</v>
      </c>
      <c r="F36" s="60" t="n">
        <v>0</v>
      </c>
      <c r="G36" s="60" t="n">
        <v>51.9</v>
      </c>
      <c r="H36" s="60" t="n">
        <v>1</v>
      </c>
      <c r="I36" s="60" t="n">
        <v>8.6</v>
      </c>
      <c r="J36" s="60" t="n">
        <v>14.2</v>
      </c>
      <c r="K36" s="60" t="n">
        <v>2.5</v>
      </c>
      <c r="L36" s="60" t="n">
        <v>25.2</v>
      </c>
      <c r="M36" s="60" t="n">
        <v>0.7</v>
      </c>
      <c r="N36" s="60" t="n">
        <v>7.2</v>
      </c>
      <c r="O36" s="60" t="n">
        <v>31.8</v>
      </c>
      <c r="P36" s="60" t="n">
        <v>2.6</v>
      </c>
    </row>
    <row r="38" customFormat="false" ht="16" hidden="false" customHeight="false" outlineLevel="0" collapsed="false">
      <c r="A38" s="0" t="s">
        <v>144</v>
      </c>
    </row>
    <row r="39" customFormat="false" ht="16" hidden="false" customHeight="false" outlineLevel="0" collapsed="false">
      <c r="A39" s="0" t="s">
        <v>145</v>
      </c>
    </row>
    <row r="41" customFormat="false" ht="16" hidden="false" customHeight="false" outlineLevel="0" collapsed="false">
      <c r="A41" s="0" t="s">
        <v>146</v>
      </c>
    </row>
    <row r="42" customFormat="false" ht="16" hidden="false" customHeight="false" outlineLevel="0" collapsed="false">
      <c r="B42" s="59" t="n">
        <v>1969</v>
      </c>
      <c r="C42" s="59"/>
      <c r="D42" s="59" t="n">
        <v>1984</v>
      </c>
      <c r="E42" s="59"/>
      <c r="F42" s="59" t="n">
        <v>1997</v>
      </c>
      <c r="G42" s="59"/>
    </row>
    <row r="43" customFormat="false" ht="16" hidden="false" customHeight="false" outlineLevel="0" collapsed="false">
      <c r="A43" s="0" t="s">
        <v>137</v>
      </c>
      <c r="B43" s="61" t="s">
        <v>95</v>
      </c>
      <c r="C43" s="61" t="s">
        <v>147</v>
      </c>
      <c r="D43" s="61" t="s">
        <v>95</v>
      </c>
      <c r="E43" s="61" t="s">
        <v>147</v>
      </c>
      <c r="F43" s="61" t="s">
        <v>95</v>
      </c>
      <c r="G43" s="61" t="s">
        <v>147</v>
      </c>
    </row>
    <row r="44" customFormat="false" ht="16" hidden="false" customHeight="false" outlineLevel="0" collapsed="false">
      <c r="A44" s="0" t="s">
        <v>2</v>
      </c>
      <c r="B44" s="62" t="n">
        <v>32483</v>
      </c>
      <c r="C44" s="60" t="n">
        <v>2.6</v>
      </c>
      <c r="D44" s="62" t="n">
        <v>47667</v>
      </c>
      <c r="E44" s="60" t="n">
        <v>2.7</v>
      </c>
      <c r="F44" s="62" t="n">
        <v>101391</v>
      </c>
      <c r="G44" s="60" t="n">
        <v>3.2</v>
      </c>
    </row>
    <row r="45" customFormat="false" ht="16" hidden="false" customHeight="false" outlineLevel="0" collapsed="false">
      <c r="A45" s="0" t="s">
        <v>51</v>
      </c>
      <c r="B45" s="62" t="n">
        <v>27399</v>
      </c>
      <c r="C45" s="60" t="n">
        <v>2.2</v>
      </c>
      <c r="D45" s="62" t="n">
        <v>40872</v>
      </c>
      <c r="E45" s="60" t="n">
        <v>2.3</v>
      </c>
      <c r="F45" s="62" t="n">
        <v>82452</v>
      </c>
      <c r="G45" s="60" t="n">
        <v>2.6</v>
      </c>
    </row>
    <row r="46" customFormat="false" ht="16" hidden="false" customHeight="false" outlineLevel="0" collapsed="false">
      <c r="A46" s="0" t="s">
        <v>148</v>
      </c>
      <c r="B46" s="62" t="n">
        <v>25616</v>
      </c>
      <c r="C46" s="60" t="n">
        <v>2</v>
      </c>
      <c r="D46" s="62" t="n">
        <v>40238</v>
      </c>
      <c r="E46" s="60" t="n">
        <v>2.2</v>
      </c>
      <c r="F46" s="62" t="n">
        <v>68454</v>
      </c>
      <c r="G46" s="60" t="n">
        <v>2.1</v>
      </c>
    </row>
    <row r="47" customFormat="false" ht="16" hidden="false" customHeight="false" outlineLevel="0" collapsed="false">
      <c r="A47" s="0" t="s">
        <v>49</v>
      </c>
      <c r="B47" s="62" t="n">
        <v>19193</v>
      </c>
      <c r="C47" s="60" t="n">
        <v>1.5</v>
      </c>
      <c r="D47" s="62" t="n">
        <v>53433</v>
      </c>
      <c r="E47" s="60" t="n">
        <v>3</v>
      </c>
      <c r="F47" s="62" t="n">
        <v>85078</v>
      </c>
      <c r="G47" s="60" t="n">
        <v>2.7</v>
      </c>
    </row>
    <row r="48" customFormat="false" ht="16" hidden="false" customHeight="false" outlineLevel="0" collapsed="false">
      <c r="A48" s="0" t="s">
        <v>149</v>
      </c>
      <c r="B48" s="62" t="n">
        <v>17316</v>
      </c>
      <c r="C48" s="60" t="n">
        <v>1.4</v>
      </c>
      <c r="D48" s="62" t="n">
        <v>18365</v>
      </c>
      <c r="E48" s="60" t="n">
        <v>1</v>
      </c>
      <c r="F48" s="62" t="n">
        <v>35257</v>
      </c>
      <c r="G48" s="60" t="n">
        <v>1.1</v>
      </c>
    </row>
    <row r="49" customFormat="false" ht="16" hidden="false" customHeight="false" outlineLevel="0" collapsed="false">
      <c r="A49" s="0" t="s">
        <v>50</v>
      </c>
      <c r="B49" s="62" t="n">
        <v>57546</v>
      </c>
      <c r="C49" s="60" t="n">
        <v>4.5</v>
      </c>
      <c r="D49" s="62" t="n">
        <v>47100</v>
      </c>
      <c r="E49" s="60" t="n">
        <v>2.6</v>
      </c>
      <c r="F49" s="62" t="n">
        <v>76031</v>
      </c>
      <c r="G49" s="60" t="n">
        <v>2.4</v>
      </c>
    </row>
    <row r="50" customFormat="false" ht="16" hidden="false" customHeight="false" outlineLevel="0" collapsed="false">
      <c r="A50" s="0" t="s">
        <v>140</v>
      </c>
      <c r="B50" s="62" t="n">
        <v>54822</v>
      </c>
      <c r="C50" s="60" t="n">
        <v>4.3</v>
      </c>
      <c r="D50" s="62" t="n">
        <v>83280</v>
      </c>
      <c r="E50" s="60" t="n">
        <v>4.7</v>
      </c>
      <c r="F50" s="62" t="n">
        <v>117561</v>
      </c>
      <c r="G50" s="60" t="n">
        <v>3.7</v>
      </c>
    </row>
    <row r="51" customFormat="false" ht="16" hidden="false" customHeight="false" outlineLevel="0" collapsed="false">
      <c r="A51" s="0" t="s">
        <v>150</v>
      </c>
      <c r="B51" s="62" t="n">
        <v>33545</v>
      </c>
      <c r="C51" s="60" t="n">
        <v>2.6</v>
      </c>
      <c r="D51" s="62" t="n">
        <v>30955</v>
      </c>
      <c r="E51" s="60" t="n">
        <v>1.7</v>
      </c>
      <c r="F51" s="62" t="n">
        <v>32432</v>
      </c>
      <c r="G51" s="60" t="n">
        <v>1</v>
      </c>
    </row>
    <row r="52" customFormat="false" ht="16" hidden="false" customHeight="false" outlineLevel="0" collapsed="false">
      <c r="A52" s="0" t="s">
        <v>151</v>
      </c>
      <c r="B52" s="62" t="n">
        <v>13153</v>
      </c>
      <c r="C52" s="60" t="n">
        <v>1</v>
      </c>
      <c r="D52" s="62" t="n">
        <v>17757</v>
      </c>
      <c r="E52" s="60" t="n">
        <v>1</v>
      </c>
      <c r="F52" s="62" t="n">
        <v>37906</v>
      </c>
      <c r="G52" s="60" t="n">
        <v>1.2</v>
      </c>
    </row>
    <row r="53" customFormat="false" ht="16" hidden="false" customHeight="false" outlineLevel="0" collapsed="false">
      <c r="A53" s="0" t="s">
        <v>152</v>
      </c>
      <c r="B53" s="62" t="n">
        <v>244770</v>
      </c>
      <c r="C53" s="60" t="n">
        <v>19.2</v>
      </c>
      <c r="D53" s="62" t="n">
        <v>210375</v>
      </c>
      <c r="E53" s="60" t="n">
        <v>11.8</v>
      </c>
      <c r="F53" s="62" t="n">
        <v>376946</v>
      </c>
      <c r="G53" s="60" t="n">
        <v>11.8</v>
      </c>
    </row>
    <row r="54" customFormat="false" ht="16" hidden="false" customHeight="false" outlineLevel="0" collapsed="false">
      <c r="A54" s="0" t="s">
        <v>153</v>
      </c>
      <c r="B54" s="62" t="n">
        <v>10188</v>
      </c>
      <c r="C54" s="60" t="n">
        <v>0.8</v>
      </c>
      <c r="D54" s="62" t="n">
        <v>10340</v>
      </c>
      <c r="E54" s="60" t="n">
        <v>0.6</v>
      </c>
      <c r="F54" s="62" t="n">
        <v>30835</v>
      </c>
      <c r="G54" s="60" t="n">
        <v>1</v>
      </c>
    </row>
    <row r="55" customFormat="false" ht="16" hidden="false" customHeight="false" outlineLevel="0" collapsed="false">
      <c r="A55" s="0" t="s">
        <v>154</v>
      </c>
      <c r="B55" s="63" t="n">
        <f aca="false">SUM(B44:B54)</f>
        <v>536031</v>
      </c>
      <c r="C55" s="64" t="n">
        <v>-42.1</v>
      </c>
      <c r="D55" s="63" t="n">
        <f aca="false">SUM(D44:D54)</f>
        <v>600382</v>
      </c>
      <c r="E55" s="64" t="n">
        <v>-33.6</v>
      </c>
      <c r="F55" s="62" t="n">
        <f aca="false">SUM(F44:F54)</f>
        <v>1044343</v>
      </c>
      <c r="G55" s="64" t="n">
        <v>-32.8</v>
      </c>
    </row>
    <row r="57" customFormat="false" ht="16" hidden="false" customHeight="false" outlineLevel="0" collapsed="false">
      <c r="A57" s="0" t="s">
        <v>155</v>
      </c>
    </row>
    <row r="58" customFormat="false" ht="16" hidden="false" customHeight="false" outlineLevel="0" collapsed="false">
      <c r="A58" s="0" t="s">
        <v>156</v>
      </c>
    </row>
    <row r="60" customFormat="false" ht="16" hidden="false" customHeight="false" outlineLevel="0" collapsed="false">
      <c r="C60" s="47"/>
      <c r="D60" s="47"/>
      <c r="E60" s="47"/>
      <c r="F60" s="47"/>
      <c r="G60" s="47"/>
      <c r="H60" s="47"/>
      <c r="I60" s="47"/>
      <c r="J60" s="47"/>
      <c r="K60" s="47"/>
      <c r="L60" s="47"/>
      <c r="M60" s="47"/>
      <c r="N60" s="47"/>
      <c r="O60" s="47"/>
      <c r="P60" s="47"/>
    </row>
    <row r="61" customFormat="false" ht="16" hidden="false" customHeight="false" outlineLevel="0" collapsed="false">
      <c r="A61" s="0" t="s">
        <v>127</v>
      </c>
      <c r="B61" s="0" t="s">
        <v>157</v>
      </c>
    </row>
    <row r="62" customFormat="false" ht="16" hidden="false" customHeight="false" outlineLevel="0" collapsed="false">
      <c r="A62" s="0" t="s">
        <v>131</v>
      </c>
      <c r="B62" s="0" t="n">
        <v>1969</v>
      </c>
      <c r="C62" s="0" t="n">
        <v>1984</v>
      </c>
      <c r="D62" s="0" t="n">
        <v>1997</v>
      </c>
    </row>
    <row r="63" customFormat="false" ht="16" hidden="false" customHeight="false" outlineLevel="0" collapsed="false">
      <c r="A63" s="0" t="s">
        <v>137</v>
      </c>
      <c r="B63" s="47"/>
      <c r="C63" s="47"/>
      <c r="D63" s="47"/>
      <c r="E63" s="47"/>
      <c r="F63" s="47"/>
      <c r="G63" s="47"/>
      <c r="H63" s="47"/>
      <c r="I63" s="47"/>
      <c r="J63" s="47"/>
      <c r="K63" s="47"/>
      <c r="L63" s="47"/>
      <c r="M63" s="47"/>
      <c r="N63" s="47"/>
      <c r="O63" s="47"/>
      <c r="P63" s="47"/>
    </row>
    <row r="64" customFormat="false" ht="16" hidden="false" customHeight="false" outlineLevel="0" collapsed="false">
      <c r="A64" s="0" t="s">
        <v>2</v>
      </c>
      <c r="B64" s="62" t="n">
        <f aca="false">E26/100*B44</f>
        <v>9290.138</v>
      </c>
      <c r="C64" s="62" t="n">
        <f aca="false">J26/100*D44</f>
        <v>16111.446</v>
      </c>
      <c r="D64" s="62" t="n">
        <f aca="false">O26/100*F44</f>
        <v>27882.525</v>
      </c>
      <c r="E64" s="60"/>
      <c r="F64" s="60"/>
      <c r="G64" s="60"/>
      <c r="H64" s="60"/>
      <c r="I64" s="60"/>
      <c r="J64" s="60"/>
      <c r="K64" s="60"/>
      <c r="L64" s="60"/>
      <c r="M64" s="60"/>
      <c r="N64" s="60"/>
      <c r="O64" s="60"/>
      <c r="P64" s="60"/>
    </row>
    <row r="65" customFormat="false" ht="16" hidden="false" customHeight="false" outlineLevel="0" collapsed="false">
      <c r="A65" s="0" t="s">
        <v>51</v>
      </c>
      <c r="B65" s="62" t="n">
        <f aca="false">E27/100*B45</f>
        <v>5918.184</v>
      </c>
      <c r="C65" s="62" t="n">
        <f aca="false">J27/100*D45</f>
        <v>11444.16</v>
      </c>
      <c r="D65" s="62" t="n">
        <f aca="false">O27/100*F45</f>
        <v>22839.204</v>
      </c>
      <c r="E65" s="60"/>
      <c r="F65" s="60"/>
      <c r="G65" s="60"/>
      <c r="H65" s="60"/>
      <c r="I65" s="60"/>
      <c r="J65" s="60"/>
      <c r="K65" s="60"/>
      <c r="L65" s="60"/>
      <c r="M65" s="60"/>
      <c r="N65" s="60"/>
      <c r="O65" s="60"/>
      <c r="P65" s="60"/>
    </row>
    <row r="66" customFormat="false" ht="16" hidden="false" customHeight="false" outlineLevel="0" collapsed="false">
      <c r="A66" s="0" t="s">
        <v>79</v>
      </c>
      <c r="B66" s="62" t="n">
        <f aca="false">E28/100*B46</f>
        <v>6173.456</v>
      </c>
      <c r="C66" s="62" t="n">
        <f aca="false">J28/100*D46</f>
        <v>11669.02</v>
      </c>
      <c r="D66" s="62" t="n">
        <f aca="false">O28/100*F46</f>
        <v>19714.752</v>
      </c>
      <c r="E66" s="60"/>
      <c r="F66" s="60"/>
      <c r="G66" s="60"/>
      <c r="H66" s="60"/>
      <c r="I66" s="60"/>
      <c r="J66" s="60"/>
      <c r="K66" s="60"/>
      <c r="L66" s="60"/>
      <c r="M66" s="60"/>
      <c r="N66" s="60"/>
      <c r="O66" s="60"/>
      <c r="P66" s="60"/>
    </row>
    <row r="67" customFormat="false" ht="16" hidden="false" customHeight="false" outlineLevel="0" collapsed="false">
      <c r="A67" s="0" t="s">
        <v>49</v>
      </c>
      <c r="B67" s="62" t="n">
        <f aca="false">E29/100*B47</f>
        <v>5220.496</v>
      </c>
      <c r="C67" s="62" t="n">
        <f aca="false">J29/100*D47</f>
        <v>18915.282</v>
      </c>
      <c r="D67" s="62" t="n">
        <f aca="false">O29/100*F47</f>
        <v>24247.23</v>
      </c>
      <c r="E67" s="60"/>
      <c r="F67" s="60"/>
      <c r="G67" s="60"/>
      <c r="H67" s="60"/>
      <c r="I67" s="60"/>
      <c r="J67" s="60"/>
      <c r="K67" s="60"/>
      <c r="L67" s="60"/>
      <c r="M67" s="60"/>
      <c r="N67" s="60"/>
      <c r="O67" s="60"/>
      <c r="P67" s="60"/>
    </row>
    <row r="68" customFormat="false" ht="16" hidden="false" customHeight="false" outlineLevel="0" collapsed="false">
      <c r="A68" s="0" t="s">
        <v>139</v>
      </c>
      <c r="B68" s="62" t="n">
        <f aca="false">E30/100*B48</f>
        <v>3186.144</v>
      </c>
      <c r="C68" s="62" t="n">
        <f aca="false">J30/100*D48</f>
        <v>5968.625</v>
      </c>
      <c r="D68" s="62" t="n">
        <f aca="false">O30/100*F48</f>
        <v>7439.227</v>
      </c>
      <c r="E68" s="60"/>
      <c r="F68" s="60"/>
      <c r="G68" s="60"/>
      <c r="H68" s="60"/>
      <c r="I68" s="60"/>
      <c r="J68" s="60"/>
      <c r="K68" s="60"/>
      <c r="L68" s="60"/>
      <c r="M68" s="60"/>
      <c r="N68" s="60"/>
      <c r="O68" s="60"/>
      <c r="P68" s="60"/>
    </row>
    <row r="69" customFormat="false" ht="16" hidden="false" customHeight="false" outlineLevel="0" collapsed="false">
      <c r="A69" s="0" t="s">
        <v>50</v>
      </c>
      <c r="B69" s="62" t="n">
        <f aca="false">E31/100*B49</f>
        <v>18529.812</v>
      </c>
      <c r="C69" s="62" t="n">
        <f aca="false">J31/100*D49</f>
        <v>20017.5</v>
      </c>
      <c r="D69" s="62" t="n">
        <f aca="false">O31/100*F49</f>
        <v>32313.175</v>
      </c>
      <c r="E69" s="60"/>
      <c r="F69" s="60"/>
      <c r="G69" s="60"/>
      <c r="H69" s="60"/>
      <c r="I69" s="60"/>
      <c r="J69" s="60"/>
      <c r="K69" s="60"/>
      <c r="L69" s="60"/>
      <c r="M69" s="60"/>
      <c r="N69" s="60"/>
      <c r="O69" s="60"/>
      <c r="P69" s="60"/>
    </row>
    <row r="70" customFormat="false" ht="16" hidden="false" customHeight="false" outlineLevel="0" collapsed="false">
      <c r="A70" s="0" t="s">
        <v>140</v>
      </c>
      <c r="B70" s="62" t="n">
        <f aca="false">E32/100*B50</f>
        <v>9758.316</v>
      </c>
      <c r="C70" s="62" t="n">
        <f aca="false">J32/100*D50</f>
        <v>19654.08</v>
      </c>
      <c r="D70" s="62" t="n">
        <f aca="false">O32/100*F50</f>
        <v>24452.688</v>
      </c>
      <c r="E70" s="60"/>
      <c r="F70" s="60"/>
      <c r="G70" s="60"/>
      <c r="H70" s="60"/>
      <c r="I70" s="60"/>
      <c r="J70" s="60"/>
      <c r="K70" s="60"/>
      <c r="L70" s="60"/>
      <c r="M70" s="60"/>
      <c r="N70" s="60"/>
      <c r="O70" s="60"/>
      <c r="P70" s="60"/>
    </row>
    <row r="71" customFormat="false" ht="16" hidden="false" customHeight="false" outlineLevel="0" collapsed="false">
      <c r="A71" s="0" t="s">
        <v>141</v>
      </c>
      <c r="B71" s="62" t="n">
        <f aca="false">E33/100*B51</f>
        <v>11170.485</v>
      </c>
      <c r="C71" s="62" t="n">
        <f aca="false">J33/100*D51</f>
        <v>9100.77</v>
      </c>
      <c r="D71" s="62" t="n">
        <f aca="false">O33/100*F51</f>
        <v>14172.784</v>
      </c>
      <c r="E71" s="60"/>
      <c r="F71" s="60"/>
      <c r="G71" s="60"/>
      <c r="H71" s="60"/>
      <c r="I71" s="60"/>
      <c r="J71" s="60"/>
      <c r="K71" s="60"/>
      <c r="L71" s="60"/>
      <c r="M71" s="60"/>
      <c r="N71" s="60"/>
      <c r="O71" s="60"/>
      <c r="P71" s="60"/>
    </row>
    <row r="72" customFormat="false" ht="16" hidden="false" customHeight="false" outlineLevel="0" collapsed="false">
      <c r="A72" s="0" t="s">
        <v>90</v>
      </c>
      <c r="B72" s="62" t="n">
        <f aca="false">E34/100*B52</f>
        <v>3906.441</v>
      </c>
      <c r="C72" s="62" t="n">
        <f aca="false">J34/100*D52</f>
        <v>7244.856</v>
      </c>
      <c r="D72" s="62" t="n">
        <f aca="false">O34/100*F52</f>
        <v>20507.146</v>
      </c>
      <c r="E72" s="60"/>
      <c r="F72" s="60"/>
      <c r="G72" s="60"/>
      <c r="H72" s="60"/>
      <c r="I72" s="60"/>
      <c r="J72" s="60"/>
      <c r="K72" s="60"/>
      <c r="L72" s="60"/>
      <c r="M72" s="60"/>
      <c r="N72" s="60"/>
      <c r="O72" s="60"/>
      <c r="P72" s="60"/>
    </row>
    <row r="73" customFormat="false" ht="16" hidden="false" customHeight="false" outlineLevel="0" collapsed="false">
      <c r="A73" s="0" t="s">
        <v>142</v>
      </c>
      <c r="B73" s="62" t="n">
        <f aca="false">E35/100*B53</f>
        <v>43324.29</v>
      </c>
      <c r="C73" s="62" t="n">
        <f aca="false">J35/100*D53</f>
        <v>68792.625</v>
      </c>
      <c r="D73" s="62" t="n">
        <f aca="false">O35/100*F53</f>
        <v>142485.588</v>
      </c>
      <c r="E73" s="60"/>
      <c r="F73" s="60"/>
      <c r="G73" s="60"/>
      <c r="H73" s="60"/>
      <c r="I73" s="60"/>
      <c r="J73" s="60"/>
      <c r="K73" s="60"/>
      <c r="L73" s="60"/>
      <c r="M73" s="60"/>
      <c r="N73" s="60"/>
      <c r="O73" s="60"/>
      <c r="P73" s="60"/>
    </row>
    <row r="74" customFormat="false" ht="16" hidden="false" customHeight="false" outlineLevel="0" collapsed="false">
      <c r="A74" s="0" t="s">
        <v>143</v>
      </c>
      <c r="B74" s="62" t="n">
        <f aca="false">E36/100*B54</f>
        <v>0</v>
      </c>
      <c r="C74" s="62" t="n">
        <f aca="false">J36/100*D54</f>
        <v>1468.28</v>
      </c>
      <c r="D74" s="62" t="n">
        <f aca="false">O36/100*F54</f>
        <v>9805.53</v>
      </c>
      <c r="E74" s="60"/>
      <c r="F74" s="60"/>
      <c r="G74" s="60"/>
      <c r="H74" s="60"/>
      <c r="I74" s="60"/>
      <c r="J74" s="60"/>
      <c r="K74" s="60"/>
      <c r="L74" s="60"/>
      <c r="M74" s="60"/>
      <c r="N74" s="60"/>
      <c r="O74" s="60"/>
      <c r="P74" s="60"/>
    </row>
    <row r="75" customFormat="false" ht="16" hidden="false" customHeight="false" outlineLevel="0" collapsed="false">
      <c r="A75" s="34" t="s">
        <v>95</v>
      </c>
      <c r="B75" s="62" t="n">
        <f aca="false">SUM(B64:B74)</f>
        <v>116477.762</v>
      </c>
      <c r="C75" s="62" t="n">
        <f aca="false">SUM(C64:C74)</f>
        <v>190386.644</v>
      </c>
      <c r="D75" s="62" t="n">
        <f aca="false">SUM(D64:D74)</f>
        <v>345859.849</v>
      </c>
    </row>
  </sheetData>
  <mergeCells count="10">
    <mergeCell ref="A1:S1"/>
    <mergeCell ref="F2:M2"/>
    <mergeCell ref="O13:Q13"/>
    <mergeCell ref="B22:F22"/>
    <mergeCell ref="G22:K22"/>
    <mergeCell ref="L22:P22"/>
    <mergeCell ref="B25:P25"/>
    <mergeCell ref="B42:C42"/>
    <mergeCell ref="D42:E42"/>
    <mergeCell ref="F42:G4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X62"/>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5" topLeftCell="A12" activePane="bottomLeft" state="frozen"/>
      <selection pane="topLeft" activeCell="A1" activeCellId="0" sqref="A1"/>
      <selection pane="bottomLeft" activeCell="M16" activeCellId="0" sqref="M16"/>
    </sheetView>
  </sheetViews>
  <sheetFormatPr defaultRowHeight="16"/>
  <cols>
    <col collapsed="false" hidden="false" max="1" min="1" style="0" width="10.9740740740741"/>
    <col collapsed="false" hidden="false" max="2" min="2" style="0" width="13.2296296296296"/>
    <col collapsed="false" hidden="false" max="3" min="3" style="0" width="11.3666666666667"/>
    <col collapsed="false" hidden="false" max="12" min="4" style="0" width="10.9740740740741"/>
    <col collapsed="false" hidden="false" max="13" min="13" style="0" width="16.2666666666667"/>
    <col collapsed="false" hidden="false" max="14" min="14" style="0" width="15.9740740740741"/>
    <col collapsed="false" hidden="false" max="15" min="15" style="0" width="15.4814814814815"/>
    <col collapsed="false" hidden="false" max="16" min="16" style="0" width="15.9740740740741"/>
    <col collapsed="false" hidden="false" max="17" min="17" style="0" width="10.9740740740741"/>
    <col collapsed="false" hidden="false" max="18" min="18" style="0" width="21.1666666666667"/>
    <col collapsed="false" hidden="false" max="23" min="19" style="0" width="10.9740740740741"/>
    <col collapsed="false" hidden="false" max="24" min="24" style="0" width="48.5074074074074"/>
    <col collapsed="false" hidden="false" max="1025" min="25" style="0" width="10.9740740740741"/>
  </cols>
  <sheetData>
    <row r="1" customFormat="false" ht="24" hidden="false" customHeight="false" outlineLevel="0" collapsed="false">
      <c r="A1" s="2" t="s">
        <v>158</v>
      </c>
      <c r="B1" s="2"/>
      <c r="C1" s="2"/>
      <c r="D1" s="2"/>
      <c r="E1" s="2"/>
      <c r="F1" s="2"/>
      <c r="G1" s="2"/>
      <c r="H1" s="2"/>
      <c r="I1" s="2"/>
      <c r="J1" s="2"/>
      <c r="K1" s="2"/>
      <c r="L1" s="2"/>
      <c r="M1" s="2"/>
      <c r="N1" s="2"/>
      <c r="O1" s="2"/>
      <c r="P1" s="2"/>
    </row>
    <row r="3" customFormat="false" ht="16" hidden="false" customHeight="false" outlineLevel="0" collapsed="false">
      <c r="B3" s="34" t="s">
        <v>2</v>
      </c>
      <c r="C3" s="34"/>
      <c r="D3" s="34" t="s">
        <v>49</v>
      </c>
      <c r="E3" s="34"/>
      <c r="F3" s="34" t="s">
        <v>50</v>
      </c>
      <c r="G3" s="34"/>
      <c r="H3" s="34" t="s">
        <v>51</v>
      </c>
      <c r="I3" s="34"/>
      <c r="J3" s="34" t="s">
        <v>159</v>
      </c>
      <c r="M3" s="34" t="s">
        <v>2</v>
      </c>
      <c r="N3" s="34" t="s">
        <v>49</v>
      </c>
      <c r="O3" s="34" t="s">
        <v>50</v>
      </c>
      <c r="P3" s="34" t="s">
        <v>51</v>
      </c>
    </row>
    <row r="4" customFormat="false" ht="176" hidden="false" customHeight="true" outlineLevel="0" collapsed="false">
      <c r="B4" s="47" t="s">
        <v>160</v>
      </c>
      <c r="C4" s="47" t="s">
        <v>161</v>
      </c>
      <c r="D4" s="47" t="s">
        <v>160</v>
      </c>
      <c r="E4" s="47" t="s">
        <v>161</v>
      </c>
      <c r="F4" s="47" t="s">
        <v>160</v>
      </c>
      <c r="G4" s="47" t="s">
        <v>161</v>
      </c>
      <c r="H4" s="47" t="s">
        <v>160</v>
      </c>
      <c r="I4" s="47" t="s">
        <v>161</v>
      </c>
      <c r="J4" s="0" t="s">
        <v>162</v>
      </c>
      <c r="K4" s="14" t="s">
        <v>163</v>
      </c>
      <c r="L4" s="14"/>
      <c r="M4" s="47" t="s">
        <v>164</v>
      </c>
      <c r="N4" s="47" t="s">
        <v>164</v>
      </c>
      <c r="O4" s="47" t="s">
        <v>164</v>
      </c>
      <c r="P4" s="47" t="s">
        <v>164</v>
      </c>
    </row>
    <row r="5" customFormat="false" ht="64" hidden="false" customHeight="false" outlineLevel="0" collapsed="false">
      <c r="A5" s="34" t="s">
        <v>38</v>
      </c>
      <c r="B5" s="65" t="s">
        <v>165</v>
      </c>
      <c r="C5" s="65" t="s">
        <v>166</v>
      </c>
      <c r="D5" s="65" t="s">
        <v>165</v>
      </c>
      <c r="E5" s="65" t="s">
        <v>166</v>
      </c>
      <c r="F5" s="65" t="s">
        <v>165</v>
      </c>
      <c r="G5" s="65" t="s">
        <v>166</v>
      </c>
      <c r="H5" s="65" t="s">
        <v>165</v>
      </c>
      <c r="I5" s="65" t="s">
        <v>166</v>
      </c>
      <c r="J5" s="0" t="s">
        <v>167</v>
      </c>
      <c r="M5" s="66" t="s">
        <v>168</v>
      </c>
      <c r="N5" s="66" t="s">
        <v>168</v>
      </c>
      <c r="O5" s="66" t="s">
        <v>168</v>
      </c>
      <c r="P5" s="66" t="s">
        <v>168</v>
      </c>
    </row>
    <row r="6" customFormat="false" ht="16" hidden="false" customHeight="false" outlineLevel="0" collapsed="false">
      <c r="A6" s="34" t="s">
        <v>47</v>
      </c>
      <c r="B6" s="65"/>
      <c r="C6" s="65"/>
      <c r="D6" s="65"/>
      <c r="E6" s="65"/>
      <c r="F6" s="65"/>
      <c r="G6" s="65"/>
      <c r="H6" s="65"/>
      <c r="I6" s="65"/>
      <c r="M6" s="66"/>
      <c r="N6" s="66"/>
      <c r="O6" s="66"/>
      <c r="P6" s="66"/>
    </row>
    <row r="7" customFormat="false" ht="16" hidden="false" customHeight="false" outlineLevel="0" collapsed="false">
      <c r="A7" s="0" t="n">
        <v>1960</v>
      </c>
    </row>
    <row r="8" customFormat="false" ht="16" hidden="false" customHeight="false" outlineLevel="0" collapsed="false">
      <c r="A8" s="0" t="n">
        <v>1961</v>
      </c>
    </row>
    <row r="9" customFormat="false" ht="16" hidden="false" customHeight="false" outlineLevel="0" collapsed="false">
      <c r="A9" s="0" t="n">
        <v>1962</v>
      </c>
    </row>
    <row r="10" customFormat="false" ht="16" hidden="false" customHeight="false" outlineLevel="0" collapsed="false">
      <c r="A10" s="0" t="n">
        <v>1963</v>
      </c>
    </row>
    <row r="11" customFormat="false" ht="16" hidden="false" customHeight="false" outlineLevel="0" collapsed="false">
      <c r="A11" s="0" t="n">
        <v>1964</v>
      </c>
    </row>
    <row r="12" customFormat="false" ht="16" hidden="false" customHeight="false" outlineLevel="0" collapsed="false">
      <c r="A12" s="0" t="n">
        <v>1965</v>
      </c>
    </row>
    <row r="13" customFormat="false" ht="16" hidden="false" customHeight="false" outlineLevel="0" collapsed="false">
      <c r="A13" s="0" t="n">
        <v>1966</v>
      </c>
    </row>
    <row r="14" customFormat="false" ht="16" hidden="false" customHeight="false" outlineLevel="0" collapsed="false">
      <c r="A14" s="0" t="n">
        <v>1967</v>
      </c>
    </row>
    <row r="15" customFormat="false" ht="16" hidden="false" customHeight="false" outlineLevel="0" collapsed="false">
      <c r="A15" s="0" t="n">
        <v>1968</v>
      </c>
    </row>
    <row r="16" customFormat="false" ht="16" hidden="false" customHeight="false" outlineLevel="0" collapsed="false">
      <c r="A16" s="0" t="n">
        <v>1969</v>
      </c>
      <c r="B16" s="0" t="n">
        <v>32483</v>
      </c>
      <c r="D16" s="0" t="n">
        <v>19193</v>
      </c>
      <c r="F16" s="0" t="n">
        <v>57546</v>
      </c>
      <c r="H16" s="0" t="n">
        <v>27399</v>
      </c>
      <c r="J16" s="0" t="n">
        <v>0.3983</v>
      </c>
      <c r="M16" s="57" t="n">
        <f aca="false">B16*J16/1000*T45</f>
        <v>7.67095200177029</v>
      </c>
      <c r="N16" s="57" t="n">
        <f aca="false">D16*J16/1000*U45</f>
        <v>4.61170198949967</v>
      </c>
      <c r="O16" s="57" t="n">
        <f aca="false">F16*J16/1000*V45</f>
        <v>13.4873593119799</v>
      </c>
      <c r="P16" s="57" t="n">
        <f aca="false">H16*J16/1000*W45</f>
        <v>6.72556468183845</v>
      </c>
      <c r="R16" s="42" t="s">
        <v>169</v>
      </c>
    </row>
    <row r="17" customFormat="false" ht="16" hidden="false" customHeight="false" outlineLevel="0" collapsed="false">
      <c r="A17" s="0" t="n">
        <v>1970</v>
      </c>
      <c r="M17" s="43"/>
      <c r="N17" s="43"/>
      <c r="O17" s="43"/>
      <c r="P17" s="43"/>
    </row>
    <row r="18" customFormat="false" ht="16" hidden="false" customHeight="false" outlineLevel="0" collapsed="false">
      <c r="A18" s="0" t="n">
        <v>1971</v>
      </c>
      <c r="M18" s="43"/>
      <c r="N18" s="43"/>
      <c r="O18" s="43"/>
      <c r="P18" s="43"/>
    </row>
    <row r="19" customFormat="false" ht="16" hidden="false" customHeight="false" outlineLevel="0" collapsed="false">
      <c r="A19" s="0" t="n">
        <v>1972</v>
      </c>
      <c r="M19" s="43"/>
      <c r="N19" s="43"/>
      <c r="O19" s="43"/>
      <c r="P19" s="43"/>
    </row>
    <row r="20" customFormat="false" ht="16" hidden="false" customHeight="false" outlineLevel="0" collapsed="false">
      <c r="A20" s="0" t="n">
        <v>1973</v>
      </c>
      <c r="M20" s="43"/>
      <c r="N20" s="43"/>
      <c r="O20" s="43"/>
      <c r="P20" s="43"/>
    </row>
    <row r="21" customFormat="false" ht="16" hidden="false" customHeight="false" outlineLevel="0" collapsed="false">
      <c r="A21" s="0" t="n">
        <v>1974</v>
      </c>
      <c r="M21" s="43"/>
      <c r="N21" s="43"/>
      <c r="O21" s="43"/>
      <c r="P21" s="43"/>
    </row>
    <row r="22" customFormat="false" ht="16" hidden="false" customHeight="false" outlineLevel="0" collapsed="false">
      <c r="A22" s="0" t="n">
        <v>1975</v>
      </c>
      <c r="M22" s="43"/>
      <c r="N22" s="43"/>
      <c r="O22" s="43"/>
      <c r="P22" s="43"/>
    </row>
    <row r="23" customFormat="false" ht="16" hidden="false" customHeight="false" outlineLevel="0" collapsed="false">
      <c r="A23" s="0" t="n">
        <v>1976</v>
      </c>
      <c r="M23" s="43"/>
      <c r="N23" s="43"/>
      <c r="O23" s="43"/>
      <c r="P23" s="43"/>
    </row>
    <row r="24" customFormat="false" ht="16" hidden="false" customHeight="false" outlineLevel="0" collapsed="false">
      <c r="A24" s="0" t="n">
        <v>1977</v>
      </c>
      <c r="M24" s="43"/>
      <c r="N24" s="43"/>
      <c r="O24" s="43"/>
      <c r="P24" s="43"/>
    </row>
    <row r="25" customFormat="false" ht="16" hidden="false" customHeight="false" outlineLevel="0" collapsed="false">
      <c r="A25" s="0" t="n">
        <v>1978</v>
      </c>
      <c r="M25" s="43"/>
      <c r="N25" s="43"/>
      <c r="O25" s="43"/>
      <c r="P25" s="43"/>
    </row>
    <row r="26" customFormat="false" ht="16" hidden="false" customHeight="false" outlineLevel="0" collapsed="false">
      <c r="A26" s="0" t="n">
        <v>1979</v>
      </c>
      <c r="M26" s="43"/>
      <c r="N26" s="43"/>
      <c r="O26" s="43"/>
      <c r="P26" s="43"/>
    </row>
    <row r="27" customFormat="false" ht="16" hidden="false" customHeight="false" outlineLevel="0" collapsed="false">
      <c r="A27" s="0" t="n">
        <v>1980</v>
      </c>
      <c r="M27" s="43"/>
      <c r="N27" s="43"/>
      <c r="O27" s="43"/>
      <c r="P27" s="43"/>
    </row>
    <row r="28" customFormat="false" ht="16" hidden="false" customHeight="false" outlineLevel="0" collapsed="false">
      <c r="A28" s="0" t="n">
        <v>1981</v>
      </c>
      <c r="M28" s="43"/>
      <c r="N28" s="43"/>
      <c r="O28" s="43"/>
      <c r="P28" s="43"/>
    </row>
    <row r="29" customFormat="false" ht="16" hidden="false" customHeight="false" outlineLevel="0" collapsed="false">
      <c r="A29" s="0" t="n">
        <v>1982</v>
      </c>
      <c r="M29" s="43"/>
      <c r="N29" s="43"/>
      <c r="O29" s="43"/>
      <c r="P29" s="43"/>
    </row>
    <row r="30" customFormat="false" ht="16" hidden="false" customHeight="false" outlineLevel="0" collapsed="false">
      <c r="A30" s="0" t="n">
        <v>1983</v>
      </c>
      <c r="M30" s="43"/>
      <c r="N30" s="43"/>
      <c r="O30" s="43"/>
      <c r="P30" s="43"/>
    </row>
    <row r="31" customFormat="false" ht="16" hidden="false" customHeight="false" outlineLevel="0" collapsed="false">
      <c r="A31" s="0" t="n">
        <v>1984</v>
      </c>
      <c r="B31" s="0" t="n">
        <v>47667</v>
      </c>
      <c r="D31" s="0" t="n">
        <v>53433</v>
      </c>
      <c r="F31" s="0" t="n">
        <v>47100</v>
      </c>
      <c r="H31" s="0" t="n">
        <v>40872</v>
      </c>
      <c r="J31" s="0" t="n">
        <v>1</v>
      </c>
      <c r="M31" s="57" t="n">
        <f aca="false">B31*J31/1000*T45</f>
        <v>28.2618538718118</v>
      </c>
      <c r="N31" s="57" t="n">
        <f aca="false">D31*J31/1000*U45</f>
        <v>32.2342540077275</v>
      </c>
      <c r="O31" s="57" t="n">
        <f aca="false">F31*J31/1000*V45</f>
        <v>27.7154788779857</v>
      </c>
      <c r="P31" s="57" t="n">
        <f aca="false">H31*J31/1000*W45</f>
        <v>25.1889245007275</v>
      </c>
      <c r="R31" s="42" t="s">
        <v>169</v>
      </c>
    </row>
    <row r="32" customFormat="false" ht="16" hidden="false" customHeight="false" outlineLevel="0" collapsed="false">
      <c r="A32" s="0" t="n">
        <v>1985</v>
      </c>
    </row>
    <row r="33" customFormat="false" ht="16" hidden="false" customHeight="false" outlineLevel="0" collapsed="false">
      <c r="A33" s="0" t="n">
        <v>1986</v>
      </c>
    </row>
    <row r="34" customFormat="false" ht="16" hidden="false" customHeight="false" outlineLevel="0" collapsed="false">
      <c r="A34" s="0" t="n">
        <v>1987</v>
      </c>
    </row>
    <row r="35" customFormat="false" ht="16" hidden="false" customHeight="false" outlineLevel="0" collapsed="false">
      <c r="A35" s="0" t="n">
        <v>1988</v>
      </c>
    </row>
    <row r="36" customFormat="false" ht="16" hidden="false" customHeight="false" outlineLevel="0" collapsed="false">
      <c r="A36" s="0" t="n">
        <v>1989</v>
      </c>
    </row>
    <row r="37" customFormat="false" ht="16" hidden="false" customHeight="false" outlineLevel="0" collapsed="false">
      <c r="A37" s="0" t="n">
        <v>1990</v>
      </c>
    </row>
    <row r="38" customFormat="false" ht="16" hidden="false" customHeight="false" outlineLevel="0" collapsed="false">
      <c r="A38" s="0" t="n">
        <v>1991</v>
      </c>
    </row>
    <row r="39" customFormat="false" ht="16" hidden="false" customHeight="false" outlineLevel="0" collapsed="false">
      <c r="A39" s="0" t="n">
        <v>1992</v>
      </c>
      <c r="R39" s="42" t="s">
        <v>170</v>
      </c>
    </row>
    <row r="40" customFormat="false" ht="96" hidden="false" customHeight="true" outlineLevel="0" collapsed="false">
      <c r="A40" s="0" t="n">
        <v>1993</v>
      </c>
      <c r="C40" s="0" t="n">
        <v>92123</v>
      </c>
      <c r="E40" s="0" t="n">
        <v>78626</v>
      </c>
      <c r="G40" s="0" t="n">
        <v>63353</v>
      </c>
      <c r="I40" s="0" t="n">
        <v>71730</v>
      </c>
      <c r="M40" s="56" t="n">
        <f aca="false">C40/1000</f>
        <v>92.123</v>
      </c>
      <c r="N40" s="56" t="n">
        <f aca="false">E40/1000</f>
        <v>78.626</v>
      </c>
      <c r="O40" s="56" t="n">
        <f aca="false">G40/1000</f>
        <v>63.353</v>
      </c>
      <c r="P40" s="56" t="n">
        <f aca="false">I40/1000</f>
        <v>71.73</v>
      </c>
      <c r="R40" s="46" t="s">
        <v>171</v>
      </c>
      <c r="S40" s="46"/>
      <c r="T40" s="46"/>
      <c r="U40" s="46"/>
      <c r="V40" s="46"/>
      <c r="W40" s="46"/>
      <c r="X40" s="46"/>
    </row>
    <row r="41" customFormat="false" ht="16" hidden="false" customHeight="false" outlineLevel="0" collapsed="false">
      <c r="A41" s="0" t="n">
        <v>1994</v>
      </c>
      <c r="C41" s="0" t="n">
        <v>96727</v>
      </c>
      <c r="E41" s="0" t="n">
        <v>82158</v>
      </c>
      <c r="G41" s="0" t="n">
        <v>69187</v>
      </c>
      <c r="I41" s="0" t="n">
        <v>77242</v>
      </c>
      <c r="M41" s="56" t="n">
        <f aca="false">C41/1000</f>
        <v>96.727</v>
      </c>
      <c r="N41" s="56" t="n">
        <f aca="false">E41/1000</f>
        <v>82.158</v>
      </c>
      <c r="O41" s="56" t="n">
        <f aca="false">G41/1000</f>
        <v>69.187</v>
      </c>
      <c r="P41" s="56" t="n">
        <f aca="false">I41/1000</f>
        <v>77.242</v>
      </c>
    </row>
    <row r="42" customFormat="false" ht="16" hidden="false" customHeight="false" outlineLevel="0" collapsed="false">
      <c r="A42" s="0" t="n">
        <v>1995</v>
      </c>
      <c r="C42" s="0" t="n">
        <v>101082</v>
      </c>
      <c r="E42" s="0" t="n">
        <v>83434</v>
      </c>
      <c r="G42" s="0" t="n">
        <v>72639</v>
      </c>
      <c r="I42" s="0" t="n">
        <v>79353</v>
      </c>
      <c r="M42" s="56" t="n">
        <f aca="false">C42/1000</f>
        <v>101.082</v>
      </c>
      <c r="N42" s="56" t="n">
        <f aca="false">E42/1000</f>
        <v>83.434</v>
      </c>
      <c r="O42" s="56" t="n">
        <f aca="false">G42/1000</f>
        <v>72.639</v>
      </c>
      <c r="P42" s="56" t="n">
        <f aca="false">I42/1000</f>
        <v>79.353</v>
      </c>
    </row>
    <row r="43" customFormat="false" ht="16" hidden="false" customHeight="false" outlineLevel="0" collapsed="false">
      <c r="A43" s="0" t="n">
        <v>1996</v>
      </c>
      <c r="C43" s="0" t="n">
        <v>98420</v>
      </c>
      <c r="E43" s="0" t="n">
        <v>81936</v>
      </c>
      <c r="G43" s="0" t="n">
        <v>74787</v>
      </c>
      <c r="I43" s="0" t="n">
        <v>80043</v>
      </c>
      <c r="M43" s="56" t="n">
        <f aca="false">C43/1000</f>
        <v>98.42</v>
      </c>
      <c r="N43" s="56" t="n">
        <f aca="false">E43/1000</f>
        <v>81.936</v>
      </c>
      <c r="O43" s="56" t="n">
        <f aca="false">G43/1000</f>
        <v>74.787</v>
      </c>
      <c r="P43" s="56" t="n">
        <f aca="false">I43/1000</f>
        <v>80.043</v>
      </c>
    </row>
    <row r="44" customFormat="false" ht="16" hidden="false" customHeight="false" outlineLevel="0" collapsed="false">
      <c r="A44" s="0" t="n">
        <v>1997</v>
      </c>
      <c r="B44" s="0" t="n">
        <v>101391</v>
      </c>
      <c r="C44" s="0" t="n">
        <v>98348</v>
      </c>
      <c r="D44" s="0" t="n">
        <v>85078</v>
      </c>
      <c r="E44" s="0" t="n">
        <v>83967</v>
      </c>
      <c r="F44" s="0" t="n">
        <v>76031</v>
      </c>
      <c r="G44" s="0" t="n">
        <v>73194</v>
      </c>
      <c r="H44" s="0" t="n">
        <v>82452</v>
      </c>
      <c r="I44" s="0" t="n">
        <v>83132</v>
      </c>
      <c r="J44" s="0" t="n">
        <v>1.636</v>
      </c>
      <c r="M44" s="56" t="n">
        <f aca="false">C44/1000</f>
        <v>98.348</v>
      </c>
      <c r="N44" s="56" t="n">
        <f aca="false">E44/1000</f>
        <v>83.967</v>
      </c>
      <c r="O44" s="56" t="n">
        <f aca="false">G44/1000</f>
        <v>73.194</v>
      </c>
      <c r="P44" s="56" t="n">
        <f aca="false">I44/1000</f>
        <v>83.132</v>
      </c>
      <c r="R44" s="34" t="s">
        <v>172</v>
      </c>
      <c r="T44" s="43" t="n">
        <f aca="false">B44*$J44/1000</f>
        <v>165.875676</v>
      </c>
      <c r="U44" s="43" t="n">
        <f aca="false">D44*$J44/1000</f>
        <v>139.187608</v>
      </c>
      <c r="V44" s="43" t="n">
        <f aca="false">F44*$J44/1000</f>
        <v>124.386716</v>
      </c>
      <c r="W44" s="43" t="n">
        <f aca="false">H44*$J44/1000</f>
        <v>134.891472</v>
      </c>
    </row>
    <row r="45" customFormat="false" ht="16" hidden="false" customHeight="false" outlineLevel="0" collapsed="false">
      <c r="A45" s="0" t="n">
        <v>1998</v>
      </c>
      <c r="C45" s="0" t="n">
        <v>93745</v>
      </c>
      <c r="E45" s="0" t="n">
        <v>82635</v>
      </c>
      <c r="G45" s="0" t="n">
        <v>74543</v>
      </c>
      <c r="I45" s="0" t="n">
        <v>81728</v>
      </c>
      <c r="M45" s="56" t="n">
        <f aca="false">C45/1000</f>
        <v>93.745</v>
      </c>
      <c r="N45" s="56" t="n">
        <f aca="false">E45/1000</f>
        <v>82.635</v>
      </c>
      <c r="O45" s="56" t="n">
        <f aca="false">G45/1000</f>
        <v>74.543</v>
      </c>
      <c r="P45" s="56" t="n">
        <f aca="false">I45/1000</f>
        <v>81.728</v>
      </c>
      <c r="R45" s="34" t="s">
        <v>173</v>
      </c>
      <c r="T45" s="43" t="n">
        <f aca="false">M44/T44</f>
        <v>0.592901879115778</v>
      </c>
      <c r="U45" s="43" t="n">
        <f aca="false">N44/U44</f>
        <v>0.60326491134182</v>
      </c>
      <c r="V45" s="43" t="n">
        <f aca="false">O44/V44</f>
        <v>0.588439041995449</v>
      </c>
      <c r="W45" s="43" t="n">
        <f aca="false">P44/W44</f>
        <v>0.61628803339028</v>
      </c>
    </row>
    <row r="46" customFormat="false" ht="16" hidden="false" customHeight="false" outlineLevel="0" collapsed="false">
      <c r="A46" s="0" t="n">
        <v>1999</v>
      </c>
      <c r="C46" s="0" t="n">
        <v>100555</v>
      </c>
      <c r="E46" s="0" t="n">
        <v>92044</v>
      </c>
      <c r="G46" s="0" t="n">
        <v>77513</v>
      </c>
      <c r="I46" s="0" t="n">
        <v>86898</v>
      </c>
      <c r="M46" s="56" t="n">
        <f aca="false">C46/1000</f>
        <v>100.555</v>
      </c>
      <c r="N46" s="56" t="n">
        <f aca="false">E46/1000</f>
        <v>92.044</v>
      </c>
      <c r="O46" s="56" t="n">
        <f aca="false">G46/1000</f>
        <v>77.513</v>
      </c>
      <c r="P46" s="56" t="n">
        <f aca="false">I46/1000</f>
        <v>86.898</v>
      </c>
    </row>
    <row r="47" customFormat="false" ht="16" hidden="false" customHeight="false" outlineLevel="0" collapsed="false">
      <c r="A47" s="0" t="n">
        <v>2000</v>
      </c>
      <c r="C47" s="0" t="n">
        <v>106938</v>
      </c>
      <c r="E47" s="0" t="n">
        <v>87736</v>
      </c>
      <c r="G47" s="0" t="n">
        <v>80986</v>
      </c>
      <c r="I47" s="0" t="n">
        <v>94055</v>
      </c>
      <c r="M47" s="56" t="n">
        <f aca="false">C47/1000</f>
        <v>106.938</v>
      </c>
      <c r="N47" s="56" t="n">
        <f aca="false">E47/1000</f>
        <v>87.736</v>
      </c>
      <c r="O47" s="56" t="n">
        <f aca="false">G47/1000</f>
        <v>80.986</v>
      </c>
      <c r="P47" s="56" t="n">
        <f aca="false">I47/1000</f>
        <v>94.055</v>
      </c>
    </row>
    <row r="48" customFormat="false" ht="16" hidden="false" customHeight="false" outlineLevel="0" collapsed="false">
      <c r="A48" s="0" t="n">
        <v>2001</v>
      </c>
      <c r="C48" s="0" t="n">
        <v>110354</v>
      </c>
      <c r="E48" s="0" t="n">
        <v>88580</v>
      </c>
      <c r="G48" s="0" t="n">
        <v>83474</v>
      </c>
      <c r="I48" s="0" t="n">
        <v>96725</v>
      </c>
      <c r="M48" s="56" t="n">
        <f aca="false">C48/1000</f>
        <v>110.354</v>
      </c>
      <c r="N48" s="56" t="n">
        <f aca="false">E48/1000</f>
        <v>88.58</v>
      </c>
      <c r="O48" s="56" t="n">
        <f aca="false">G48/1000</f>
        <v>83.474</v>
      </c>
      <c r="P48" s="56" t="n">
        <f aca="false">I48/1000</f>
        <v>96.725</v>
      </c>
    </row>
    <row r="49" customFormat="false" ht="16" hidden="false" customHeight="false" outlineLevel="0" collapsed="false">
      <c r="A49" s="0" t="n">
        <v>2002</v>
      </c>
      <c r="C49" s="0" t="n">
        <v>118311</v>
      </c>
      <c r="E49" s="0" t="n">
        <v>98602</v>
      </c>
      <c r="G49" s="0" t="n">
        <v>84006</v>
      </c>
      <c r="I49" s="0" t="n">
        <v>100607</v>
      </c>
      <c r="M49" s="56" t="n">
        <f aca="false">C49/1000</f>
        <v>118.311</v>
      </c>
      <c r="N49" s="56" t="n">
        <f aca="false">E49/1000</f>
        <v>98.602</v>
      </c>
      <c r="O49" s="56" t="n">
        <f aca="false">G49/1000</f>
        <v>84.006</v>
      </c>
      <c r="P49" s="56" t="n">
        <f aca="false">I49/1000</f>
        <v>100.607</v>
      </c>
    </row>
    <row r="50" customFormat="false" ht="16" hidden="false" customHeight="false" outlineLevel="0" collapsed="false">
      <c r="A50" s="0" t="n">
        <v>2003</v>
      </c>
      <c r="C50" s="0" t="n">
        <v>118534</v>
      </c>
      <c r="E50" s="0" t="n">
        <v>100564</v>
      </c>
      <c r="G50" s="0" t="n">
        <v>87140</v>
      </c>
      <c r="I50" s="0" t="n">
        <v>105712</v>
      </c>
      <c r="M50" s="56" t="n">
        <f aca="false">C50/1000</f>
        <v>118.534</v>
      </c>
      <c r="N50" s="56" t="n">
        <f aca="false">E50/1000</f>
        <v>100.564</v>
      </c>
      <c r="O50" s="56" t="n">
        <f aca="false">G50/1000</f>
        <v>87.14</v>
      </c>
      <c r="P50" s="56" t="n">
        <f aca="false">I50/1000</f>
        <v>105.712</v>
      </c>
    </row>
    <row r="51" customFormat="false" ht="16" hidden="false" customHeight="false" outlineLevel="0" collapsed="false">
      <c r="A51" s="0" t="n">
        <v>2004</v>
      </c>
      <c r="C51" s="0" t="n">
        <v>127271</v>
      </c>
      <c r="E51" s="0" t="n">
        <v>110794</v>
      </c>
      <c r="G51" s="0" t="n">
        <v>90090</v>
      </c>
      <c r="I51" s="0" t="n">
        <v>105857</v>
      </c>
      <c r="M51" s="56" t="n">
        <f aca="false">C51/1000</f>
        <v>127.271</v>
      </c>
      <c r="N51" s="56" t="n">
        <f aca="false">E51/1000</f>
        <v>110.794</v>
      </c>
      <c r="O51" s="56" t="n">
        <f aca="false">G51/1000</f>
        <v>90.09</v>
      </c>
      <c r="P51" s="56" t="n">
        <f aca="false">I51/1000</f>
        <v>105.857</v>
      </c>
    </row>
    <row r="52" customFormat="false" ht="16" hidden="false" customHeight="false" outlineLevel="0" collapsed="false">
      <c r="A52" s="0" t="n">
        <v>2005</v>
      </c>
      <c r="C52" s="0" t="n">
        <v>123603</v>
      </c>
      <c r="E52" s="0" t="n">
        <v>113340</v>
      </c>
      <c r="G52" s="0" t="n">
        <v>90426</v>
      </c>
      <c r="I52" s="0" t="n">
        <v>105985</v>
      </c>
      <c r="M52" s="56" t="n">
        <f aca="false">C52/1000</f>
        <v>123.603</v>
      </c>
      <c r="N52" s="56" t="n">
        <f aca="false">E52/1000</f>
        <v>113.34</v>
      </c>
      <c r="O52" s="56" t="n">
        <f aca="false">G52/1000</f>
        <v>90.426</v>
      </c>
      <c r="P52" s="56" t="n">
        <f aca="false">I52/1000</f>
        <v>105.985</v>
      </c>
    </row>
    <row r="53" customFormat="false" ht="16" hidden="false" customHeight="false" outlineLevel="0" collapsed="false">
      <c r="A53" s="0" t="n">
        <v>2006</v>
      </c>
      <c r="C53" s="0" t="n">
        <v>119122</v>
      </c>
      <c r="E53" s="0" t="n">
        <v>109387</v>
      </c>
      <c r="G53" s="0" t="n">
        <v>88416</v>
      </c>
      <c r="I53" s="0" t="n">
        <v>108512</v>
      </c>
      <c r="M53" s="56" t="n">
        <f aca="false">C53/1000</f>
        <v>119.122</v>
      </c>
      <c r="N53" s="56" t="n">
        <f aca="false">E53/1000</f>
        <v>109.387</v>
      </c>
      <c r="O53" s="56" t="n">
        <f aca="false">G53/1000</f>
        <v>88.416</v>
      </c>
      <c r="P53" s="56" t="n">
        <f aca="false">I53/1000</f>
        <v>108.512</v>
      </c>
    </row>
    <row r="54" customFormat="false" ht="16" hidden="false" customHeight="false" outlineLevel="0" collapsed="false">
      <c r="A54" s="0" t="n">
        <v>2007</v>
      </c>
      <c r="C54" s="0" t="n">
        <v>122959</v>
      </c>
      <c r="E54" s="0" t="n">
        <v>118981</v>
      </c>
      <c r="G54" s="0" t="n">
        <v>90143</v>
      </c>
      <c r="I54" s="0" t="n">
        <v>101025</v>
      </c>
      <c r="M54" s="56" t="n">
        <f aca="false">C54/1000</f>
        <v>122.959</v>
      </c>
      <c r="N54" s="56" t="n">
        <f aca="false">E54/1000</f>
        <v>118.981</v>
      </c>
      <c r="O54" s="56" t="n">
        <f aca="false">G54/1000</f>
        <v>90.143</v>
      </c>
      <c r="P54" s="56" t="n">
        <f aca="false">I54/1000</f>
        <v>101.025</v>
      </c>
    </row>
    <row r="55" customFormat="false" ht="16" hidden="false" customHeight="false" outlineLevel="0" collapsed="false">
      <c r="A55" s="0" t="n">
        <v>2008</v>
      </c>
      <c r="C55" s="0" t="n">
        <v>120704</v>
      </c>
      <c r="E55" s="0" t="n">
        <v>122881</v>
      </c>
      <c r="G55" s="0" t="n">
        <v>89297</v>
      </c>
      <c r="I55" s="0" t="n">
        <v>99623</v>
      </c>
      <c r="M55" s="56" t="n">
        <f aca="false">C55/1000</f>
        <v>120.704</v>
      </c>
      <c r="N55" s="56" t="n">
        <f aca="false">E55/1000</f>
        <v>122.881</v>
      </c>
      <c r="O55" s="56" t="n">
        <f aca="false">G55/1000</f>
        <v>89.297</v>
      </c>
      <c r="P55" s="56" t="n">
        <f aca="false">I55/1000</f>
        <v>99.623</v>
      </c>
    </row>
    <row r="56" customFormat="false" ht="16" hidden="false" customHeight="false" outlineLevel="0" collapsed="false">
      <c r="A56" s="0" t="n">
        <v>2009</v>
      </c>
      <c r="C56" s="0" t="n">
        <v>122041</v>
      </c>
      <c r="E56" s="0" t="n">
        <v>125299</v>
      </c>
      <c r="G56" s="0" t="n">
        <v>80700</v>
      </c>
      <c r="I56" s="0" t="n">
        <v>107887</v>
      </c>
      <c r="M56" s="56" t="n">
        <f aca="false">C56/1000</f>
        <v>122.041</v>
      </c>
      <c r="N56" s="56" t="n">
        <f aca="false">E56/1000</f>
        <v>125.299</v>
      </c>
      <c r="O56" s="56" t="n">
        <f aca="false">G56/1000</f>
        <v>80.7</v>
      </c>
      <c r="P56" s="56" t="n">
        <f aca="false">I56/1000</f>
        <v>107.887</v>
      </c>
    </row>
    <row r="57" customFormat="false" ht="16" hidden="false" customHeight="false" outlineLevel="0" collapsed="false">
      <c r="A57" s="0" t="n">
        <v>2010</v>
      </c>
      <c r="C57" s="0" t="n">
        <v>102222</v>
      </c>
      <c r="E57" s="0" t="n">
        <v>111497</v>
      </c>
      <c r="G57" s="0" t="n">
        <v>86476</v>
      </c>
      <c r="I57" s="0" t="n">
        <v>104876</v>
      </c>
      <c r="M57" s="56" t="n">
        <f aca="false">C57/1000</f>
        <v>102.222</v>
      </c>
      <c r="N57" s="56" t="n">
        <f aca="false">E57/1000</f>
        <v>111.497</v>
      </c>
      <c r="O57" s="56" t="n">
        <f aca="false">G57/1000</f>
        <v>86.476</v>
      </c>
      <c r="P57" s="56" t="n">
        <f aca="false">I57/1000</f>
        <v>104.876</v>
      </c>
    </row>
    <row r="58" customFormat="false" ht="16" hidden="false" customHeight="false" outlineLevel="0" collapsed="false">
      <c r="A58" s="0" t="n">
        <v>2011</v>
      </c>
      <c r="C58" s="0" t="n">
        <v>102728</v>
      </c>
      <c r="E58" s="0" t="n">
        <v>102626</v>
      </c>
      <c r="G58" s="0" t="n">
        <v>83272</v>
      </c>
      <c r="I58" s="0" t="n">
        <v>110229</v>
      </c>
      <c r="M58" s="56" t="n">
        <f aca="false">C58/1000</f>
        <v>102.728</v>
      </c>
      <c r="N58" s="56" t="n">
        <f aca="false">E58/1000</f>
        <v>102.626</v>
      </c>
      <c r="O58" s="56" t="n">
        <f aca="false">G58/1000</f>
        <v>83.272</v>
      </c>
      <c r="P58" s="56" t="n">
        <f aca="false">I58/1000</f>
        <v>110.229</v>
      </c>
    </row>
    <row r="59" customFormat="false" ht="16" hidden="false" customHeight="false" outlineLevel="0" collapsed="false">
      <c r="A59" s="0" t="n">
        <v>2012</v>
      </c>
      <c r="C59" s="0" t="n">
        <v>104170</v>
      </c>
      <c r="E59" s="0" t="n">
        <v>106066</v>
      </c>
      <c r="G59" s="0" t="n">
        <v>73699</v>
      </c>
      <c r="I59" s="0" t="n">
        <v>115513</v>
      </c>
      <c r="M59" s="56" t="n">
        <f aca="false">C59/1000</f>
        <v>104.17</v>
      </c>
      <c r="N59" s="56" t="n">
        <f aca="false">E59/1000</f>
        <v>106.066</v>
      </c>
      <c r="O59" s="56" t="n">
        <f aca="false">G59/1000</f>
        <v>73.699</v>
      </c>
      <c r="P59" s="56" t="n">
        <f aca="false">I59/1000</f>
        <v>115.513</v>
      </c>
    </row>
    <row r="60" customFormat="false" ht="16" hidden="false" customHeight="false" outlineLevel="0" collapsed="false">
      <c r="A60" s="0" t="n">
        <v>2013</v>
      </c>
      <c r="C60" s="0" t="n">
        <v>100626</v>
      </c>
      <c r="E60" s="0" t="n">
        <v>98384</v>
      </c>
      <c r="G60" s="0" t="n">
        <v>70229</v>
      </c>
      <c r="I60" s="0" t="n">
        <v>113049</v>
      </c>
      <c r="M60" s="56" t="n">
        <f aca="false">C60/1000</f>
        <v>100.626</v>
      </c>
      <c r="N60" s="56" t="n">
        <f aca="false">E60/1000</f>
        <v>98.384</v>
      </c>
      <c r="O60" s="56" t="n">
        <f aca="false">G60/1000</f>
        <v>70.229</v>
      </c>
      <c r="P60" s="56" t="n">
        <f aca="false">I60/1000</f>
        <v>113.049</v>
      </c>
    </row>
    <row r="61" customFormat="false" ht="16" hidden="false" customHeight="false" outlineLevel="0" collapsed="false">
      <c r="A61" s="0" t="n">
        <v>2014</v>
      </c>
      <c r="C61" s="0" t="n">
        <v>95584</v>
      </c>
      <c r="E61" s="0" t="n">
        <v>99323</v>
      </c>
      <c r="G61" s="0" t="n">
        <v>71359</v>
      </c>
      <c r="I61" s="0" t="n">
        <v>124546</v>
      </c>
      <c r="M61" s="56" t="n">
        <f aca="false">C61/1000</f>
        <v>95.584</v>
      </c>
      <c r="N61" s="56" t="n">
        <f aca="false">E61/1000</f>
        <v>99.323</v>
      </c>
      <c r="O61" s="56" t="n">
        <f aca="false">G61/1000</f>
        <v>71.359</v>
      </c>
      <c r="P61" s="56" t="n">
        <f aca="false">I61/1000</f>
        <v>124.546</v>
      </c>
    </row>
    <row r="62" customFormat="false" ht="16" hidden="false" customHeight="false" outlineLevel="0" collapsed="false">
      <c r="A62" s="0" t="n">
        <v>2015</v>
      </c>
    </row>
  </sheetData>
  <mergeCells count="3">
    <mergeCell ref="A1:P1"/>
    <mergeCell ref="K4:L4"/>
    <mergeCell ref="R40:X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V4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6"/>
  <cols>
    <col collapsed="false" hidden="false" max="1025" min="1" style="0" width="10.9740740740741"/>
  </cols>
  <sheetData>
    <row r="1" customFormat="false" ht="24" hidden="false" customHeight="false" outlineLevel="0" collapsed="false">
      <c r="A1" s="2" t="s">
        <v>174</v>
      </c>
      <c r="B1" s="2"/>
      <c r="C1" s="2"/>
      <c r="D1" s="2"/>
      <c r="E1" s="2"/>
      <c r="F1" s="2"/>
      <c r="G1" s="2"/>
      <c r="H1" s="2"/>
      <c r="I1" s="2"/>
      <c r="J1" s="2"/>
      <c r="K1" s="2"/>
      <c r="L1" s="2"/>
      <c r="M1" s="2"/>
      <c r="N1" s="2"/>
      <c r="O1" s="2"/>
      <c r="P1" s="2"/>
      <c r="Q1" s="2"/>
      <c r="R1" s="2"/>
      <c r="S1" s="2"/>
      <c r="T1" s="2"/>
      <c r="U1" s="2"/>
      <c r="V1" s="2"/>
    </row>
    <row r="2" customFormat="false" ht="16" hidden="false" customHeight="false" outlineLevel="0" collapsed="false">
      <c r="A2" s="36" t="s">
        <v>175</v>
      </c>
      <c r="K2" s="36" t="s">
        <v>175</v>
      </c>
      <c r="N2" s="21" t="s">
        <v>176</v>
      </c>
      <c r="O2" s="21"/>
      <c r="P2" s="21"/>
      <c r="Q2" s="21"/>
      <c r="S2" s="21" t="s">
        <v>177</v>
      </c>
      <c r="T2" s="21"/>
      <c r="U2" s="21"/>
      <c r="V2" s="21"/>
    </row>
    <row r="3" customFormat="false" ht="16" hidden="false" customHeight="false" outlineLevel="0" collapsed="false">
      <c r="A3" s="34" t="s">
        <v>178</v>
      </c>
      <c r="B3" s="0" t="s">
        <v>179</v>
      </c>
      <c r="K3" s="34" t="s">
        <v>178</v>
      </c>
      <c r="N3" s="34" t="s">
        <v>2</v>
      </c>
      <c r="O3" s="34" t="s">
        <v>49</v>
      </c>
      <c r="P3" s="34" t="s">
        <v>50</v>
      </c>
      <c r="Q3" s="34" t="s">
        <v>51</v>
      </c>
      <c r="S3" s="34" t="s">
        <v>2</v>
      </c>
      <c r="T3" s="34" t="s">
        <v>49</v>
      </c>
      <c r="U3" s="34" t="s">
        <v>50</v>
      </c>
      <c r="V3" s="34" t="s">
        <v>51</v>
      </c>
    </row>
    <row r="4" customFormat="false" ht="16" hidden="false" customHeight="false" outlineLevel="0" collapsed="false">
      <c r="A4" s="0" t="s">
        <v>180</v>
      </c>
      <c r="B4" s="34" t="n">
        <v>1969</v>
      </c>
      <c r="C4" s="34" t="n">
        <v>1984</v>
      </c>
      <c r="D4" s="34" t="n">
        <v>1997</v>
      </c>
      <c r="M4" s="34" t="n">
        <v>1969</v>
      </c>
      <c r="N4" s="0" t="n">
        <v>0.364</v>
      </c>
      <c r="O4" s="0" t="n">
        <v>0.391</v>
      </c>
      <c r="P4" s="0" t="n">
        <v>0.2</v>
      </c>
      <c r="Q4" s="0" t="n">
        <v>0.313</v>
      </c>
      <c r="S4" s="0" t="n">
        <v>0.286</v>
      </c>
      <c r="T4" s="0" t="n">
        <v>0.272</v>
      </c>
      <c r="U4" s="0" t="n">
        <v>0.322</v>
      </c>
      <c r="V4" s="0" t="n">
        <v>0.216</v>
      </c>
    </row>
    <row r="5" customFormat="false" ht="16" hidden="false" customHeight="false" outlineLevel="0" collapsed="false">
      <c r="A5" s="0" t="s">
        <v>2</v>
      </c>
      <c r="B5" s="0" t="n">
        <v>36.4</v>
      </c>
      <c r="C5" s="0" t="n">
        <v>43.5</v>
      </c>
      <c r="D5" s="0" t="n">
        <v>36.1</v>
      </c>
      <c r="M5" s="34" t="n">
        <v>1984</v>
      </c>
      <c r="N5" s="0" t="n">
        <v>0.435</v>
      </c>
      <c r="O5" s="0" t="n">
        <v>0.437</v>
      </c>
      <c r="P5" s="0" t="n">
        <v>0.203</v>
      </c>
      <c r="Q5" s="0" t="n">
        <v>0.487</v>
      </c>
      <c r="S5" s="0" t="n">
        <v>0.338</v>
      </c>
      <c r="T5" s="0" t="n">
        <v>0.354</v>
      </c>
      <c r="U5" s="0" t="n">
        <v>0.425</v>
      </c>
      <c r="V5" s="0" t="n">
        <v>0.28</v>
      </c>
    </row>
    <row r="6" customFormat="false" ht="16" hidden="false" customHeight="false" outlineLevel="0" collapsed="false">
      <c r="A6" s="0" t="s">
        <v>49</v>
      </c>
      <c r="B6" s="0" t="n">
        <v>39.1</v>
      </c>
      <c r="C6" s="0" t="n">
        <v>43.7</v>
      </c>
      <c r="D6" s="0" t="n">
        <v>42.5</v>
      </c>
      <c r="M6" s="34" t="n">
        <v>1997</v>
      </c>
      <c r="N6" s="0" t="n">
        <v>0.361</v>
      </c>
      <c r="O6" s="0" t="n">
        <v>0.425</v>
      </c>
      <c r="P6" s="0" t="n">
        <v>0.246</v>
      </c>
      <c r="Q6" s="0" t="n">
        <v>0.426</v>
      </c>
      <c r="S6" s="0" t="n">
        <v>0.275</v>
      </c>
      <c r="T6" s="0" t="n">
        <v>0.285</v>
      </c>
      <c r="U6" s="0" t="n">
        <v>0.425</v>
      </c>
      <c r="V6" s="0" t="n">
        <v>0.277</v>
      </c>
    </row>
    <row r="7" customFormat="false" ht="16" hidden="false" customHeight="false" outlineLevel="0" collapsed="false">
      <c r="A7" s="0" t="s">
        <v>50</v>
      </c>
      <c r="B7" s="0" t="n">
        <v>20</v>
      </c>
      <c r="C7" s="0" t="n">
        <v>20.3</v>
      </c>
      <c r="D7" s="0" t="n">
        <v>24.6</v>
      </c>
    </row>
    <row r="8" customFormat="false" ht="16" hidden="false" customHeight="false" outlineLevel="0" collapsed="false">
      <c r="A8" s="0" t="s">
        <v>51</v>
      </c>
      <c r="B8" s="0" t="n">
        <v>31.3</v>
      </c>
      <c r="C8" s="0" t="n">
        <v>48.7</v>
      </c>
      <c r="D8" s="0" t="n">
        <v>42.6</v>
      </c>
    </row>
    <row r="10" customFormat="false" ht="96" hidden="false" customHeight="true" outlineLevel="0" collapsed="false">
      <c r="A10" s="46" t="s">
        <v>181</v>
      </c>
      <c r="B10" s="46"/>
      <c r="C10" s="46"/>
      <c r="D10" s="46"/>
      <c r="E10" s="46"/>
      <c r="F10" s="46"/>
      <c r="G10" s="46"/>
      <c r="H10" s="46"/>
    </row>
    <row r="11" customFormat="false" ht="16" hidden="false" customHeight="false" outlineLevel="0" collapsed="false">
      <c r="A11" s="0" t="s">
        <v>182</v>
      </c>
    </row>
    <row r="14" customFormat="false" ht="16" hidden="false" customHeight="false" outlineLevel="0" collapsed="false">
      <c r="A14" s="34" t="s">
        <v>183</v>
      </c>
      <c r="B14" s="0" t="s">
        <v>184</v>
      </c>
    </row>
    <row r="15" customFormat="false" ht="16" hidden="false" customHeight="false" outlineLevel="0" collapsed="false">
      <c r="A15" s="0" t="s">
        <v>180</v>
      </c>
      <c r="B15" s="34" t="n">
        <v>1969</v>
      </c>
      <c r="C15" s="34" t="n">
        <v>1984</v>
      </c>
      <c r="D15" s="34" t="n">
        <v>1997</v>
      </c>
    </row>
    <row r="16" customFormat="false" ht="16" hidden="false" customHeight="false" outlineLevel="0" collapsed="false">
      <c r="A16" s="0" t="s">
        <v>2</v>
      </c>
      <c r="B16" s="62" t="n">
        <v>32483</v>
      </c>
      <c r="C16" s="62" t="n">
        <v>47667</v>
      </c>
      <c r="D16" s="62" t="n">
        <v>101391</v>
      </c>
    </row>
    <row r="17" customFormat="false" ht="16" hidden="false" customHeight="false" outlineLevel="0" collapsed="false">
      <c r="A17" s="0" t="s">
        <v>49</v>
      </c>
      <c r="B17" s="62" t="n">
        <v>19193</v>
      </c>
      <c r="C17" s="62" t="n">
        <v>53433</v>
      </c>
      <c r="D17" s="62" t="n">
        <v>85078</v>
      </c>
    </row>
    <row r="18" customFormat="false" ht="16" hidden="false" customHeight="false" outlineLevel="0" collapsed="false">
      <c r="A18" s="0" t="s">
        <v>50</v>
      </c>
      <c r="B18" s="62" t="n">
        <v>57546</v>
      </c>
      <c r="C18" s="62" t="n">
        <v>47100</v>
      </c>
      <c r="D18" s="62" t="n">
        <v>76031</v>
      </c>
    </row>
    <row r="19" customFormat="false" ht="16" hidden="false" customHeight="false" outlineLevel="0" collapsed="false">
      <c r="A19" s="0" t="s">
        <v>51</v>
      </c>
      <c r="B19" s="62" t="n">
        <v>27399</v>
      </c>
      <c r="C19" s="62" t="n">
        <v>40872</v>
      </c>
      <c r="D19" s="62" t="n">
        <v>82452</v>
      </c>
      <c r="G19" s="42" t="s">
        <v>185</v>
      </c>
    </row>
    <row r="20" customFormat="false" ht="16" hidden="false" customHeight="false" outlineLevel="0" collapsed="false">
      <c r="G20" s="44"/>
    </row>
    <row r="21" customFormat="false" ht="16" hidden="false" customHeight="false" outlineLevel="0" collapsed="false">
      <c r="A21" s="0" t="s">
        <v>186</v>
      </c>
      <c r="B21" s="34" t="n">
        <v>1969</v>
      </c>
      <c r="C21" s="34" t="n">
        <v>1984</v>
      </c>
      <c r="D21" s="34" t="n">
        <v>1997</v>
      </c>
    </row>
    <row r="22" customFormat="false" ht="16" hidden="false" customHeight="false" outlineLevel="0" collapsed="false">
      <c r="A22" s="0" t="s">
        <v>2</v>
      </c>
      <c r="B22" s="62" t="n">
        <f aca="false">B5/100*B16</f>
        <v>11823.812</v>
      </c>
      <c r="C22" s="62" t="n">
        <f aca="false">C5/100*C16</f>
        <v>20735.145</v>
      </c>
      <c r="D22" s="62" t="n">
        <f aca="false">D5/100*D16</f>
        <v>36602.151</v>
      </c>
    </row>
    <row r="23" customFormat="false" ht="16" hidden="false" customHeight="false" outlineLevel="0" collapsed="false">
      <c r="A23" s="0" t="s">
        <v>49</v>
      </c>
      <c r="B23" s="62" t="n">
        <f aca="false">B6/100*B17</f>
        <v>7504.463</v>
      </c>
      <c r="C23" s="62" t="n">
        <f aca="false">C6/100*C17</f>
        <v>23350.221</v>
      </c>
      <c r="D23" s="62" t="n">
        <f aca="false">D6/100*D17</f>
        <v>36158.15</v>
      </c>
    </row>
    <row r="24" customFormat="false" ht="16" hidden="false" customHeight="false" outlineLevel="0" collapsed="false">
      <c r="A24" s="0" t="s">
        <v>50</v>
      </c>
      <c r="B24" s="62" t="n">
        <f aca="false">B7/100*B18</f>
        <v>11509.2</v>
      </c>
      <c r="C24" s="62" t="n">
        <f aca="false">C7/100*C18</f>
        <v>9561.3</v>
      </c>
      <c r="D24" s="62" t="n">
        <f aca="false">D7/100*D18</f>
        <v>18703.626</v>
      </c>
    </row>
    <row r="25" customFormat="false" ht="16" hidden="false" customHeight="false" outlineLevel="0" collapsed="false">
      <c r="A25" s="0" t="s">
        <v>51</v>
      </c>
      <c r="B25" s="62" t="n">
        <f aca="false">B8/100*B19</f>
        <v>8575.887</v>
      </c>
      <c r="C25" s="62" t="n">
        <f aca="false">C8/100*C19</f>
        <v>19904.664</v>
      </c>
      <c r="D25" s="62" t="n">
        <f aca="false">D8/100*D19</f>
        <v>35124.552</v>
      </c>
    </row>
    <row r="28" customFormat="false" ht="16" hidden="false" customHeight="false" outlineLevel="0" collapsed="false">
      <c r="A28" s="42" t="s">
        <v>187</v>
      </c>
    </row>
    <row r="29" customFormat="false" ht="16" hidden="false" customHeight="false" outlineLevel="0" collapsed="false">
      <c r="A29" s="36" t="s">
        <v>54</v>
      </c>
    </row>
    <row r="30" customFormat="false" ht="16" hidden="false" customHeight="false" outlineLevel="0" collapsed="false">
      <c r="A30" s="34" t="s">
        <v>188</v>
      </c>
      <c r="B30" s="0" t="s">
        <v>189</v>
      </c>
    </row>
    <row r="31" customFormat="false" ht="16" hidden="false" customHeight="false" outlineLevel="0" collapsed="false">
      <c r="B31" s="34" t="n">
        <v>1960</v>
      </c>
      <c r="C31" s="34" t="n">
        <v>1965</v>
      </c>
      <c r="D31" s="34" t="n">
        <v>1970</v>
      </c>
      <c r="E31" s="34" t="n">
        <v>1975</v>
      </c>
      <c r="F31" s="34" t="n">
        <v>1979</v>
      </c>
      <c r="G31" s="34" t="n">
        <v>1984</v>
      </c>
    </row>
    <row r="32" customFormat="false" ht="16" hidden="false" customHeight="false" outlineLevel="0" collapsed="false">
      <c r="A32" s="0" t="s">
        <v>2</v>
      </c>
      <c r="B32" s="0" t="n">
        <v>16.5</v>
      </c>
      <c r="C32" s="0" t="n">
        <v>18.5</v>
      </c>
      <c r="D32" s="0" t="n">
        <v>21.2</v>
      </c>
      <c r="E32" s="0" t="n">
        <v>26</v>
      </c>
      <c r="F32" s="0" t="n">
        <v>27.5</v>
      </c>
      <c r="G32" s="0" t="n">
        <v>36.8</v>
      </c>
    </row>
    <row r="33" customFormat="false" ht="16" hidden="false" customHeight="false" outlineLevel="0" collapsed="false">
      <c r="A33" s="0" t="s">
        <v>49</v>
      </c>
      <c r="B33" s="0" t="n">
        <v>9.79</v>
      </c>
      <c r="C33" s="0" t="n">
        <v>10.9</v>
      </c>
      <c r="D33" s="0" t="n">
        <v>14.7</v>
      </c>
      <c r="E33" s="0" t="n">
        <v>23.9</v>
      </c>
      <c r="F33" s="0" t="n">
        <v>40.6</v>
      </c>
      <c r="G33" s="0" t="n">
        <v>41.9</v>
      </c>
    </row>
    <row r="34" customFormat="false" ht="16" hidden="false" customHeight="false" outlineLevel="0" collapsed="false">
      <c r="A34" s="0" t="s">
        <v>190</v>
      </c>
    </row>
    <row r="39" customFormat="false" ht="16" hidden="false" customHeight="false" outlineLevel="0" collapsed="false">
      <c r="A39" s="0" t="s">
        <v>191</v>
      </c>
    </row>
    <row r="40" customFormat="false" ht="16" hidden="false" customHeight="false" outlineLevel="0" collapsed="false">
      <c r="A40" s="0" t="s">
        <v>192</v>
      </c>
    </row>
  </sheetData>
  <mergeCells count="4">
    <mergeCell ref="A1:V1"/>
    <mergeCell ref="N2:Q2"/>
    <mergeCell ref="S2:V2"/>
    <mergeCell ref="A10:H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62"/>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B7" activeCellId="0" sqref="B7"/>
    </sheetView>
  </sheetViews>
  <sheetFormatPr defaultRowHeight="16"/>
  <cols>
    <col collapsed="false" hidden="false" max="1" min="1" style="0" width="10.9740740740741"/>
    <col collapsed="false" hidden="false" max="2" min="2" style="0" width="16.2666666666667"/>
    <col collapsed="false" hidden="false" max="3" min="3" style="0" width="15.9740740740741"/>
    <col collapsed="false" hidden="false" max="4" min="4" style="0" width="16.9518518518519"/>
    <col collapsed="false" hidden="false" max="5" min="5" style="0" width="15.9740740740741"/>
    <col collapsed="false" hidden="false" max="6" min="6" style="0" width="10.9740740740741"/>
    <col collapsed="false" hidden="false" max="7" min="7" style="0" width="21.1666666666667"/>
    <col collapsed="false" hidden="false" max="12" min="8" style="0" width="10.9740740740741"/>
    <col collapsed="false" hidden="false" max="13" min="13" style="0" width="48.5074074074074"/>
    <col collapsed="false" hidden="false" max="1025" min="14" style="0" width="10.9740740740741"/>
  </cols>
  <sheetData>
    <row r="1" customFormat="false" ht="24" hidden="false" customHeight="false" outlineLevel="0" collapsed="false">
      <c r="A1" s="2" t="s">
        <v>193</v>
      </c>
      <c r="B1" s="2"/>
      <c r="C1" s="2"/>
      <c r="D1" s="2"/>
      <c r="E1" s="2"/>
    </row>
    <row r="3" customFormat="false" ht="16" hidden="false" customHeight="false" outlineLevel="0" collapsed="false">
      <c r="B3" s="34" t="s">
        <v>2</v>
      </c>
      <c r="C3" s="34" t="s">
        <v>49</v>
      </c>
      <c r="D3" s="34" t="s">
        <v>50</v>
      </c>
      <c r="E3" s="34" t="s">
        <v>51</v>
      </c>
    </row>
    <row r="4" customFormat="false" ht="104" hidden="false" customHeight="true" outlineLevel="0" collapsed="false">
      <c r="B4" s="47" t="s">
        <v>194</v>
      </c>
      <c r="C4" s="47" t="s">
        <v>194</v>
      </c>
      <c r="D4" s="47" t="s">
        <v>194</v>
      </c>
      <c r="E4" s="47" t="s">
        <v>194</v>
      </c>
    </row>
    <row r="5" customFormat="false" ht="48" hidden="false" customHeight="false" outlineLevel="0" collapsed="false">
      <c r="A5" s="34" t="s">
        <v>38</v>
      </c>
      <c r="B5" s="66" t="s">
        <v>195</v>
      </c>
      <c r="C5" s="66" t="s">
        <v>195</v>
      </c>
      <c r="D5" s="66" t="s">
        <v>195</v>
      </c>
      <c r="E5" s="66" t="s">
        <v>195</v>
      </c>
    </row>
    <row r="6" customFormat="false" ht="16" hidden="false" customHeight="false" outlineLevel="0" collapsed="false">
      <c r="A6" s="34" t="s">
        <v>47</v>
      </c>
      <c r="B6" s="66"/>
      <c r="C6" s="66"/>
      <c r="D6" s="66"/>
      <c r="E6" s="66"/>
    </row>
    <row r="7" customFormat="false" ht="16" hidden="false" customHeight="false" outlineLevel="0" collapsed="false">
      <c r="A7" s="0" t="n">
        <v>1960</v>
      </c>
      <c r="B7" s="43" t="n">
        <v>4.05253685898919</v>
      </c>
      <c r="C7" s="43" t="n">
        <v>1.8113430555047</v>
      </c>
      <c r="D7" s="43" t="n">
        <v>18.4738429416398</v>
      </c>
      <c r="E7" s="43" t="n">
        <v>5.37856670397361</v>
      </c>
    </row>
    <row r="8" customFormat="false" ht="16" hidden="false" customHeight="false" outlineLevel="0" collapsed="false">
      <c r="A8" s="0" t="n">
        <v>1961</v>
      </c>
      <c r="B8" s="43" t="n">
        <v>4.30883278125688</v>
      </c>
      <c r="C8" s="43" t="n">
        <v>1.98927769667258</v>
      </c>
      <c r="D8" s="43" t="n">
        <v>19.1665608591332</v>
      </c>
      <c r="E8" s="43" t="n">
        <v>5.80049560804189</v>
      </c>
    </row>
    <row r="9" customFormat="false" ht="16" hidden="false" customHeight="false" outlineLevel="0" collapsed="false">
      <c r="A9" s="0" t="n">
        <v>1962</v>
      </c>
      <c r="B9" s="43" t="n">
        <v>4.67274790677456</v>
      </c>
      <c r="C9" s="43" t="n">
        <v>2.23553322565998</v>
      </c>
      <c r="D9" s="43" t="n">
        <v>18.684450588456</v>
      </c>
      <c r="E9" s="43" t="n">
        <v>5.93963260415053</v>
      </c>
    </row>
    <row r="10" customFormat="false" ht="16" hidden="false" customHeight="false" outlineLevel="0" collapsed="false">
      <c r="A10" s="0" t="n">
        <v>1963</v>
      </c>
      <c r="B10" s="43" t="n">
        <v>4.9979411408124</v>
      </c>
      <c r="C10" s="43" t="n">
        <v>2.46373045578</v>
      </c>
      <c r="D10" s="43" t="n">
        <v>18.670468091319</v>
      </c>
      <c r="E10" s="43" t="n">
        <v>6.33543506166582</v>
      </c>
    </row>
    <row r="11" customFormat="false" ht="16" hidden="false" customHeight="false" outlineLevel="0" collapsed="false">
      <c r="A11" s="0" t="n">
        <v>1964</v>
      </c>
      <c r="B11" s="43" t="n">
        <v>5.58866524729244</v>
      </c>
      <c r="C11" s="43" t="n">
        <v>2.95674512235568</v>
      </c>
      <c r="D11" s="43" t="n">
        <v>18.6744383375208</v>
      </c>
      <c r="E11" s="43" t="n">
        <v>6.47440462612601</v>
      </c>
    </row>
    <row r="12" customFormat="false" ht="16" hidden="false" customHeight="false" outlineLevel="0" collapsed="false">
      <c r="A12" s="0" t="n">
        <v>1965</v>
      </c>
      <c r="B12" s="43" t="n">
        <v>6.08351071581156</v>
      </c>
      <c r="C12" s="43" t="n">
        <v>3.35067310948872</v>
      </c>
      <c r="D12" s="43" t="n">
        <v>19.0620624113336</v>
      </c>
      <c r="E12" s="43" t="n">
        <v>7.15217499720812</v>
      </c>
    </row>
    <row r="13" customFormat="false" ht="16" hidden="false" customHeight="false" outlineLevel="0" collapsed="false">
      <c r="A13" s="0" t="n">
        <v>1966</v>
      </c>
      <c r="B13" s="43" t="n">
        <v>6.79307396629512</v>
      </c>
      <c r="C13" s="43" t="n">
        <v>4.0170317040672</v>
      </c>
      <c r="D13" s="43" t="n">
        <v>19.4289208542744</v>
      </c>
      <c r="E13" s="43" t="n">
        <v>7.47188951076414</v>
      </c>
    </row>
    <row r="14" customFormat="false" ht="16" hidden="false" customHeight="false" outlineLevel="0" collapsed="false">
      <c r="A14" s="0" t="n">
        <v>1967</v>
      </c>
      <c r="B14" s="43" t="n">
        <v>7.4069195054022</v>
      </c>
      <c r="C14" s="43" t="n">
        <v>4.6424121931467</v>
      </c>
      <c r="D14" s="43" t="n">
        <v>19.575826796967</v>
      </c>
      <c r="E14" s="43" t="n">
        <v>7.95811901160322</v>
      </c>
    </row>
    <row r="15" customFormat="false" ht="16" hidden="false" customHeight="false" outlineLevel="0" collapsed="false">
      <c r="A15" s="0" t="n">
        <v>1968</v>
      </c>
      <c r="B15" s="43" t="n">
        <v>7.46817824451396</v>
      </c>
      <c r="C15" s="43" t="n">
        <v>4.89555515304269</v>
      </c>
      <c r="D15" s="43" t="n">
        <v>18.3461209242623</v>
      </c>
      <c r="E15" s="43" t="n">
        <v>7.86140357409695</v>
      </c>
    </row>
    <row r="16" customFormat="false" ht="16" hidden="false" customHeight="false" outlineLevel="0" collapsed="false">
      <c r="A16" s="0" t="n">
        <v>1969</v>
      </c>
      <c r="B16" s="43" t="n">
        <v>7.63699301306739</v>
      </c>
      <c r="C16" s="43" t="n">
        <v>5.1693281633952</v>
      </c>
      <c r="D16" s="43" t="n">
        <v>17.0915707545513</v>
      </c>
      <c r="E16" s="43" t="n">
        <v>7.65670701586351</v>
      </c>
    </row>
    <row r="17" customFormat="false" ht="16" hidden="false" customHeight="false" outlineLevel="0" collapsed="false">
      <c r="A17" s="0" t="n">
        <v>1970</v>
      </c>
      <c r="B17" s="43" t="n">
        <v>7.36174981412413</v>
      </c>
      <c r="C17" s="43" t="n">
        <v>4.81899872374477</v>
      </c>
      <c r="D17" s="43" t="n">
        <v>13.1766634210006</v>
      </c>
      <c r="E17" s="43" t="n">
        <v>6.75025726398119</v>
      </c>
    </row>
    <row r="18" customFormat="false" ht="16" hidden="false" customHeight="false" outlineLevel="0" collapsed="false">
      <c r="A18" s="0" t="n">
        <v>1971</v>
      </c>
      <c r="B18" s="43" t="n">
        <v>8.17863103398303</v>
      </c>
      <c r="C18" s="43" t="n">
        <v>5.28337127188177</v>
      </c>
      <c r="D18" s="43" t="n">
        <v>14.2748304093287</v>
      </c>
      <c r="E18" s="43" t="n">
        <v>6.73056246706861</v>
      </c>
    </row>
    <row r="19" customFormat="false" ht="16" hidden="false" customHeight="false" outlineLevel="0" collapsed="false">
      <c r="A19" s="0" t="n">
        <v>1972</v>
      </c>
      <c r="B19" s="43" t="n">
        <v>8.6806043156844</v>
      </c>
      <c r="C19" s="43" t="n">
        <v>6.00047596553821</v>
      </c>
      <c r="D19" s="43" t="n">
        <v>16.27656660474</v>
      </c>
      <c r="E19" s="43" t="n">
        <v>7.31005321500044</v>
      </c>
    </row>
    <row r="20" customFormat="false" ht="16" hidden="false" customHeight="false" outlineLevel="0" collapsed="false">
      <c r="A20" s="0" t="n">
        <v>1973</v>
      </c>
      <c r="B20" s="43" t="n">
        <v>8.93658145620518</v>
      </c>
      <c r="C20" s="43" t="n">
        <v>7.20404084874005</v>
      </c>
      <c r="D20" s="43" t="n">
        <v>18.4316005924953</v>
      </c>
      <c r="E20" s="43" t="n">
        <v>7.438873919192</v>
      </c>
    </row>
    <row r="21" customFormat="false" ht="16" hidden="false" customHeight="false" outlineLevel="0" collapsed="false">
      <c r="A21" s="0" t="n">
        <v>1974</v>
      </c>
      <c r="B21" s="43" t="n">
        <v>9.96809544985632</v>
      </c>
      <c r="C21" s="43" t="n">
        <v>8.08196620021657</v>
      </c>
      <c r="D21" s="43" t="n">
        <v>18.4979501478526</v>
      </c>
      <c r="E21" s="43" t="n">
        <v>8.03294125980719</v>
      </c>
    </row>
    <row r="22" customFormat="false" ht="16" hidden="false" customHeight="false" outlineLevel="0" collapsed="false">
      <c r="A22" s="0" t="n">
        <v>1975</v>
      </c>
      <c r="B22" s="43" t="n">
        <v>11.3205971784376</v>
      </c>
      <c r="C22" s="43" t="n">
        <v>9.67456591974883</v>
      </c>
      <c r="D22" s="43" t="n">
        <v>20.0123723441587</v>
      </c>
      <c r="E22" s="43" t="n">
        <v>9.24999226792977</v>
      </c>
    </row>
    <row r="23" customFormat="false" ht="16" hidden="false" customHeight="false" outlineLevel="0" collapsed="false">
      <c r="A23" s="0" t="n">
        <v>1976</v>
      </c>
      <c r="B23" s="43" t="n">
        <v>13.4350521635138</v>
      </c>
      <c r="C23" s="43" t="n">
        <v>12.2542814259912</v>
      </c>
      <c r="D23" s="43" t="n">
        <v>20.5139029197392</v>
      </c>
      <c r="E23" s="43" t="n">
        <v>11.1451487628584</v>
      </c>
    </row>
    <row r="24" customFormat="false" ht="16" hidden="false" customHeight="false" outlineLevel="0" collapsed="false">
      <c r="A24" s="0" t="n">
        <v>1977</v>
      </c>
      <c r="B24" s="43" t="n">
        <v>14.6631667676161</v>
      </c>
      <c r="C24" s="43" t="n">
        <v>14.3100857800419</v>
      </c>
      <c r="D24" s="43" t="n">
        <v>23.5550020544767</v>
      </c>
      <c r="E24" s="43" t="n">
        <v>13.3044464322414</v>
      </c>
    </row>
    <row r="25" customFormat="false" ht="16" hidden="false" customHeight="false" outlineLevel="0" collapsed="false">
      <c r="A25" s="0" t="n">
        <v>1978</v>
      </c>
      <c r="B25" s="43" t="n">
        <v>16.7587200069091</v>
      </c>
      <c r="C25" s="43" t="n">
        <v>16.7718252212834</v>
      </c>
      <c r="D25" s="43" t="n">
        <v>23.5972085098757</v>
      </c>
      <c r="E25" s="43" t="n">
        <v>14.3662152711137</v>
      </c>
    </row>
    <row r="26" customFormat="false" ht="16" hidden="false" customHeight="false" outlineLevel="0" collapsed="false">
      <c r="A26" s="0" t="n">
        <v>1979</v>
      </c>
      <c r="B26" s="43" t="n">
        <v>19.5107998963664</v>
      </c>
      <c r="C26" s="43" t="n">
        <v>19.1139124839538</v>
      </c>
      <c r="D26" s="43" t="n">
        <v>23.8180794870611</v>
      </c>
      <c r="E26" s="43" t="n">
        <v>15.8758682830739</v>
      </c>
    </row>
    <row r="27" customFormat="false" ht="16" hidden="false" customHeight="false" outlineLevel="0" collapsed="false">
      <c r="A27" s="0" t="n">
        <v>1980</v>
      </c>
      <c r="B27" s="43" t="n">
        <v>22.361062014855</v>
      </c>
      <c r="C27" s="43" t="n">
        <v>22.2553692196231</v>
      </c>
      <c r="D27" s="43" t="n">
        <v>25.9168628418277</v>
      </c>
      <c r="E27" s="43" t="n">
        <v>19.3596511142271</v>
      </c>
    </row>
    <row r="28" customFormat="false" ht="16" hidden="false" customHeight="false" outlineLevel="0" collapsed="false">
      <c r="A28" s="0" t="n">
        <v>1981</v>
      </c>
      <c r="B28" s="43" t="n">
        <v>25.1519705941734</v>
      </c>
      <c r="C28" s="43" t="n">
        <v>24.8740030996404</v>
      </c>
      <c r="D28" s="43" t="n">
        <v>30.8238027692339</v>
      </c>
      <c r="E28" s="43" t="n">
        <v>22.1354993032027</v>
      </c>
    </row>
    <row r="29" customFormat="false" ht="16" hidden="false" customHeight="false" outlineLevel="0" collapsed="false">
      <c r="A29" s="0" t="n">
        <v>1982</v>
      </c>
      <c r="B29" s="43" t="n">
        <v>27.1713005186981</v>
      </c>
      <c r="C29" s="43" t="n">
        <v>26.8684213675671</v>
      </c>
      <c r="D29" s="43" t="n">
        <v>30.9867479652164</v>
      </c>
      <c r="E29" s="43" t="n">
        <v>24.8639836377348</v>
      </c>
    </row>
    <row r="30" customFormat="false" ht="16" hidden="false" customHeight="false" outlineLevel="0" collapsed="false">
      <c r="A30" s="0" t="n">
        <v>1983</v>
      </c>
      <c r="B30" s="43" t="n">
        <v>30.0102955308079</v>
      </c>
      <c r="C30" s="43" t="n">
        <v>28.8720196097019</v>
      </c>
      <c r="D30" s="43" t="n">
        <v>31.0298972784263</v>
      </c>
      <c r="E30" s="43" t="n">
        <v>27.4932971879961</v>
      </c>
    </row>
    <row r="31" customFormat="false" ht="16" hidden="false" customHeight="false" outlineLevel="0" collapsed="false">
      <c r="A31" s="0" t="n">
        <v>1984</v>
      </c>
      <c r="B31" s="43" t="n">
        <v>30.94494395</v>
      </c>
      <c r="C31" s="43" t="n">
        <v>29.37110691</v>
      </c>
      <c r="D31" s="43" t="n">
        <v>30.47523228</v>
      </c>
      <c r="E31" s="43" t="n">
        <v>29.33850425</v>
      </c>
    </row>
    <row r="32" customFormat="false" ht="16" hidden="false" customHeight="false" outlineLevel="0" collapsed="false">
      <c r="A32" s="0" t="n">
        <v>1985</v>
      </c>
      <c r="B32" s="43" t="n">
        <v>33.6714243004016</v>
      </c>
      <c r="C32" s="43" t="n">
        <v>33.2989818220352</v>
      </c>
      <c r="D32" s="43" t="n">
        <v>30.6761896470664</v>
      </c>
      <c r="E32" s="43" t="n">
        <v>32.3019006699728</v>
      </c>
    </row>
    <row r="33" customFormat="false" ht="16" hidden="false" customHeight="false" outlineLevel="0" collapsed="false">
      <c r="A33" s="0" t="n">
        <v>1986</v>
      </c>
      <c r="B33" s="43" t="n">
        <v>35.875191962359</v>
      </c>
      <c r="C33" s="43" t="n">
        <v>33.07401619158</v>
      </c>
      <c r="D33" s="43" t="n">
        <v>30.382225690227</v>
      </c>
      <c r="E33" s="43" t="n">
        <v>34.2363766841935</v>
      </c>
    </row>
    <row r="34" customFormat="false" ht="16" hidden="false" customHeight="false" outlineLevel="0" collapsed="false">
      <c r="A34" s="0" t="n">
        <v>1987</v>
      </c>
      <c r="B34" s="43" t="n">
        <v>37.8227484424588</v>
      </c>
      <c r="C34" s="43" t="n">
        <v>34.1667481715513</v>
      </c>
      <c r="D34" s="43" t="n">
        <v>33.5886035798983</v>
      </c>
      <c r="E34" s="43" t="n">
        <v>34.6816459891724</v>
      </c>
    </row>
    <row r="35" customFormat="false" ht="16" hidden="false" customHeight="false" outlineLevel="0" collapsed="false">
      <c r="A35" s="0" t="n">
        <v>1988</v>
      </c>
      <c r="B35" s="43" t="n">
        <v>40.6831450503205</v>
      </c>
      <c r="C35" s="43" t="n">
        <v>35.5407525456172</v>
      </c>
      <c r="D35" s="43" t="n">
        <v>35.8339384179861</v>
      </c>
      <c r="E35" s="43" t="n">
        <v>40.6390494481174</v>
      </c>
    </row>
    <row r="36" customFormat="false" ht="16" hidden="false" customHeight="false" outlineLevel="0" collapsed="false">
      <c r="A36" s="0" t="n">
        <v>1989</v>
      </c>
      <c r="B36" s="43" t="n">
        <v>43.1554949447098</v>
      </c>
      <c r="C36" s="43" t="n">
        <v>38.0151264482607</v>
      </c>
      <c r="D36" s="43" t="n">
        <v>39.1097712468432</v>
      </c>
      <c r="E36" s="43" t="n">
        <v>40.6934530507558</v>
      </c>
    </row>
    <row r="37" customFormat="false" ht="16" hidden="false" customHeight="false" outlineLevel="0" collapsed="false">
      <c r="A37" s="0" t="n">
        <v>1990</v>
      </c>
      <c r="B37" s="43" t="n">
        <v>46.4844398694247</v>
      </c>
      <c r="C37" s="43" t="n">
        <v>40.7330230507368</v>
      </c>
      <c r="D37" s="43" t="n">
        <v>41.532360320013</v>
      </c>
      <c r="E37" s="43" t="n">
        <v>46.3079364164665</v>
      </c>
    </row>
    <row r="38" customFormat="false" ht="16" hidden="false" customHeight="false" outlineLevel="0" collapsed="false">
      <c r="A38" s="0" t="n">
        <v>1991</v>
      </c>
      <c r="B38" s="43" t="n">
        <v>50.0752929222131</v>
      </c>
      <c r="C38" s="43" t="n">
        <v>41.176096370606</v>
      </c>
      <c r="D38" s="43" t="n">
        <v>41.9023988180376</v>
      </c>
      <c r="E38" s="43" t="n">
        <v>45.0269373138562</v>
      </c>
    </row>
    <row r="39" customFormat="false" ht="16" hidden="false" customHeight="false" outlineLevel="0" collapsed="false">
      <c r="A39" s="0" t="n">
        <v>1992</v>
      </c>
      <c r="B39" s="43" t="n">
        <v>51.2352616780684</v>
      </c>
      <c r="C39" s="43" t="n">
        <v>40.7532734982137</v>
      </c>
      <c r="D39" s="43" t="n">
        <v>43.3515173936727</v>
      </c>
      <c r="E39" s="43" t="n">
        <v>47.8477724229412</v>
      </c>
    </row>
    <row r="40" customFormat="false" ht="16" hidden="false" customHeight="false" outlineLevel="0" collapsed="false">
      <c r="A40" s="0" t="n">
        <v>1993</v>
      </c>
      <c r="B40" s="43" t="n">
        <v>51.8356181081284</v>
      </c>
      <c r="C40" s="43" t="n">
        <v>39.7061966498266</v>
      </c>
      <c r="D40" s="43" t="n">
        <v>45.5890739257038</v>
      </c>
      <c r="E40" s="43" t="n">
        <v>48.4424406358027</v>
      </c>
    </row>
    <row r="41" customFormat="false" ht="16" hidden="false" customHeight="false" outlineLevel="0" collapsed="false">
      <c r="A41" s="0" t="n">
        <v>1994</v>
      </c>
      <c r="B41" s="43" t="n">
        <v>52.4907451479489</v>
      </c>
      <c r="C41" s="43" t="n">
        <v>47.8483402029562</v>
      </c>
      <c r="D41" s="43" t="n">
        <v>65.7343483500498</v>
      </c>
      <c r="E41" s="43" t="n">
        <v>53.7764252490044</v>
      </c>
    </row>
    <row r="42" customFormat="false" ht="16" hidden="false" customHeight="false" outlineLevel="0" collapsed="false">
      <c r="A42" s="0" t="n">
        <v>1995</v>
      </c>
      <c r="B42" s="43" t="n">
        <v>58.5934087006286</v>
      </c>
      <c r="C42" s="43" t="n">
        <v>45.4574770207909</v>
      </c>
      <c r="D42" s="43" t="n">
        <v>54.6977603856875</v>
      </c>
      <c r="E42" s="43" t="n">
        <v>56.8184328587312</v>
      </c>
    </row>
    <row r="43" customFormat="false" ht="16" hidden="false" customHeight="false" outlineLevel="0" collapsed="false">
      <c r="A43" s="0" t="n">
        <v>1996</v>
      </c>
      <c r="B43" s="43" t="n">
        <v>51.0350994384945</v>
      </c>
      <c r="C43" s="43" t="n">
        <v>42.5127776701402</v>
      </c>
      <c r="D43" s="43" t="n">
        <v>52.3451430813994</v>
      </c>
      <c r="E43" s="43" t="n">
        <v>52.9280340015007</v>
      </c>
    </row>
    <row r="44" customFormat="false" ht="16" hidden="false" customHeight="false" outlineLevel="0" collapsed="false">
      <c r="A44" s="0" t="n">
        <v>1997</v>
      </c>
      <c r="B44" s="43" t="n">
        <v>53.2871173293056</v>
      </c>
      <c r="C44" s="43" t="n">
        <v>44.9925928409396</v>
      </c>
      <c r="D44" s="43" t="n">
        <v>53.3977562113316</v>
      </c>
      <c r="E44" s="43" t="n">
        <v>55.2008655400602</v>
      </c>
    </row>
    <row r="45" customFormat="false" ht="16" hidden="false" customHeight="false" outlineLevel="0" collapsed="false">
      <c r="A45" s="0" t="n">
        <v>1998</v>
      </c>
      <c r="B45" s="43" t="n">
        <v>42.4583330278086</v>
      </c>
      <c r="C45" s="43" t="n">
        <v>35.7166841299254</v>
      </c>
      <c r="D45" s="43" t="n">
        <v>42.385516518429</v>
      </c>
      <c r="E45" s="43" t="n">
        <v>44.1056030490155</v>
      </c>
    </row>
    <row r="46" customFormat="false" ht="16" hidden="false" customHeight="false" outlineLevel="0" collapsed="false">
      <c r="A46" s="0" t="n">
        <v>1999</v>
      </c>
      <c r="B46" s="43" t="n">
        <v>46.1546612794971</v>
      </c>
      <c r="C46" s="43" t="n">
        <v>41.7603499383804</v>
      </c>
      <c r="D46" s="43" t="n">
        <v>44.7257645893236</v>
      </c>
      <c r="E46" s="43" t="n">
        <v>46.6054211603706</v>
      </c>
    </row>
    <row r="47" customFormat="false" ht="16" hidden="false" customHeight="false" outlineLevel="0" collapsed="false">
      <c r="A47" s="0" t="n">
        <v>2000</v>
      </c>
      <c r="B47" s="43" t="n">
        <v>47.58972367243</v>
      </c>
      <c r="C47" s="43" t="n">
        <v>36.6200422601425</v>
      </c>
      <c r="D47" s="43" t="n">
        <v>44.9019935188075</v>
      </c>
      <c r="E47" s="43" t="n">
        <v>52.8285705697</v>
      </c>
    </row>
    <row r="48" customFormat="false" ht="16" hidden="false" customHeight="false" outlineLevel="0" collapsed="false">
      <c r="A48" s="0" t="n">
        <v>2001</v>
      </c>
      <c r="B48" s="43" t="n">
        <v>45.3743896077088</v>
      </c>
      <c r="C48" s="43" t="n">
        <v>38.0662978814528</v>
      </c>
      <c r="D48" s="43" t="n">
        <v>45.7791282496672</v>
      </c>
      <c r="E48" s="43" t="n">
        <v>54.1350951103464</v>
      </c>
    </row>
    <row r="49" customFormat="false" ht="16" hidden="false" customHeight="false" outlineLevel="0" collapsed="false">
      <c r="A49" s="0" t="n">
        <v>2002</v>
      </c>
      <c r="B49" s="43" t="n">
        <v>45.1251023095393</v>
      </c>
      <c r="C49" s="43" t="n">
        <v>43.9618900211439</v>
      </c>
      <c r="D49" s="43" t="n">
        <v>48.1035274101798</v>
      </c>
      <c r="E49" s="43" t="n">
        <v>58.9088928090673</v>
      </c>
    </row>
    <row r="50" customFormat="false" ht="16" hidden="false" customHeight="false" outlineLevel="0" collapsed="false">
      <c r="A50" s="0" t="n">
        <v>2003</v>
      </c>
      <c r="B50" s="43" t="n">
        <v>44.7484753186759</v>
      </c>
      <c r="C50" s="43" t="n">
        <v>43.6812094777432</v>
      </c>
      <c r="D50" s="43" t="n">
        <v>49.8483074903493</v>
      </c>
      <c r="E50" s="43" t="n">
        <v>64.6197837084674</v>
      </c>
    </row>
    <row r="51" customFormat="false" ht="16" hidden="false" customHeight="false" outlineLevel="0" collapsed="false">
      <c r="A51" s="0" t="n">
        <v>2004</v>
      </c>
      <c r="B51" s="43" t="n">
        <v>51.448305870495</v>
      </c>
      <c r="C51" s="43" t="n">
        <v>51.99498427833</v>
      </c>
      <c r="D51" s="43" t="n">
        <v>51.71625531975</v>
      </c>
      <c r="E51" s="43" t="n">
        <v>65.1005342507276</v>
      </c>
    </row>
    <row r="52" customFormat="false" ht="16" hidden="false" customHeight="false" outlineLevel="0" collapsed="false">
      <c r="A52" s="0" t="n">
        <v>2005</v>
      </c>
      <c r="B52" s="43" t="n">
        <v>52.8475221117504</v>
      </c>
      <c r="C52" s="43" t="n">
        <v>55.1891155662936</v>
      </c>
      <c r="D52" s="43" t="n">
        <v>51.0791563839096</v>
      </c>
      <c r="E52" s="43" t="n">
        <v>63.9623627593661</v>
      </c>
    </row>
    <row r="53" customFormat="false" ht="16" hidden="false" customHeight="false" outlineLevel="0" collapsed="false">
      <c r="A53" s="0" t="n">
        <v>2006</v>
      </c>
      <c r="B53" s="43" t="n">
        <v>51.8308929598805</v>
      </c>
      <c r="C53" s="43" t="n">
        <v>55.1792785884348</v>
      </c>
      <c r="D53" s="43" t="n">
        <v>50.8959242732645</v>
      </c>
      <c r="E53" s="43" t="n">
        <v>65.6591840668399</v>
      </c>
    </row>
    <row r="54" customFormat="false" ht="16" hidden="false" customHeight="false" outlineLevel="0" collapsed="false">
      <c r="A54" s="0" t="n">
        <v>2007</v>
      </c>
      <c r="B54" s="43" t="n">
        <v>54.3404861781861</v>
      </c>
      <c r="C54" s="43" t="n">
        <v>64.9042370179594</v>
      </c>
      <c r="D54" s="43" t="n">
        <v>51.1099739096394</v>
      </c>
      <c r="E54" s="43" t="n">
        <v>63.2935904020889</v>
      </c>
    </row>
    <row r="55" customFormat="false" ht="16" hidden="false" customHeight="false" outlineLevel="0" collapsed="false">
      <c r="A55" s="0" t="n">
        <v>2008</v>
      </c>
      <c r="B55" s="43" t="n">
        <v>52.5856817970427</v>
      </c>
      <c r="C55" s="43" t="n">
        <v>65.9418433491216</v>
      </c>
      <c r="D55" s="43" t="n">
        <v>54.7079971807575</v>
      </c>
      <c r="E55" s="43" t="n">
        <v>58.2733302638608</v>
      </c>
    </row>
    <row r="56" customFormat="false" ht="16" hidden="false" customHeight="false" outlineLevel="0" collapsed="false">
      <c r="A56" s="0" t="n">
        <v>2009</v>
      </c>
      <c r="B56" s="43" t="n">
        <v>54.423777299739</v>
      </c>
      <c r="C56" s="43" t="n">
        <v>68.16895400796</v>
      </c>
      <c r="D56" s="43" t="n">
        <v>48.349475778893</v>
      </c>
      <c r="E56" s="43" t="n">
        <v>60.7805483360974</v>
      </c>
    </row>
    <row r="57" customFormat="false" ht="16" hidden="false" customHeight="false" outlineLevel="0" collapsed="false">
      <c r="A57" s="0" t="n">
        <v>2010</v>
      </c>
    </row>
    <row r="58" customFormat="false" ht="16" hidden="false" customHeight="false" outlineLevel="0" collapsed="false">
      <c r="A58" s="0" t="n">
        <v>2011</v>
      </c>
    </row>
    <row r="59" customFormat="false" ht="16" hidden="false" customHeight="false" outlineLevel="0" collapsed="false">
      <c r="A59" s="0" t="n">
        <v>2012</v>
      </c>
    </row>
    <row r="60" customFormat="false" ht="16" hidden="false" customHeight="false" outlineLevel="0" collapsed="false">
      <c r="A60" s="0" t="n">
        <v>2013</v>
      </c>
    </row>
    <row r="61" customFormat="false" ht="16" hidden="false" customHeight="false" outlineLevel="0" collapsed="false">
      <c r="A61" s="0" t="n">
        <v>2014</v>
      </c>
    </row>
    <row r="62" customFormat="false" ht="16" hidden="false" customHeight="false" outlineLevel="0" collapsed="false">
      <c r="A62" s="0" t="n">
        <v>2015</v>
      </c>
    </row>
  </sheetData>
  <mergeCells count="1">
    <mergeCell ref="A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6"/>
  <cols>
    <col collapsed="false" hidden="false" max="1025" min="1" style="0" width="10.9740740740741"/>
  </cols>
  <sheetData>
    <row r="1" customFormat="false" ht="16" hidden="false" customHeight="false" outlineLevel="0" collapsed="false">
      <c r="A1" s="34" t="s">
        <v>2</v>
      </c>
      <c r="B1" s="0" t="n">
        <v>1</v>
      </c>
    </row>
    <row r="2" customFormat="false" ht="16" hidden="false" customHeight="false" outlineLevel="0" collapsed="false">
      <c r="A2" s="34" t="s">
        <v>49</v>
      </c>
      <c r="B2" s="0" t="n">
        <v>2</v>
      </c>
    </row>
    <row r="3" customFormat="false" ht="16" hidden="false" customHeight="false" outlineLevel="0" collapsed="false">
      <c r="A3" s="34" t="s">
        <v>50</v>
      </c>
      <c r="B3" s="0" t="n">
        <v>3</v>
      </c>
    </row>
    <row r="4" customFormat="false" ht="16" hidden="false" customHeight="false" outlineLevel="0" collapsed="false">
      <c r="A4" s="34" t="s">
        <v>51</v>
      </c>
      <c r="B4"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7:V7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RowHeight="16"/>
  <cols>
    <col collapsed="false" hidden="false" max="1025" min="1" style="0" width="10.9740740740741"/>
  </cols>
  <sheetData>
    <row r="7" customFormat="false" ht="21" hidden="false" customHeight="false" outlineLevel="0" collapsed="false">
      <c r="A7" s="40" t="s">
        <v>196</v>
      </c>
    </row>
    <row r="10" customFormat="false" ht="16" hidden="false" customHeight="false" outlineLevel="0" collapsed="false">
      <c r="A10" s="0" t="s">
        <v>1</v>
      </c>
      <c r="B10" s="0" t="s">
        <v>2</v>
      </c>
      <c r="C10" s="0" t="n">
        <v>1</v>
      </c>
      <c r="G10" s="0" t="s">
        <v>1</v>
      </c>
      <c r="H10" s="0" t="s">
        <v>49</v>
      </c>
      <c r="I10" s="0" t="n">
        <v>2</v>
      </c>
      <c r="M10" s="0" t="s">
        <v>1</v>
      </c>
      <c r="N10" s="0" t="s">
        <v>50</v>
      </c>
      <c r="O10" s="0" t="n">
        <v>3</v>
      </c>
      <c r="S10" s="0" t="s">
        <v>1</v>
      </c>
      <c r="T10" s="0" t="s">
        <v>51</v>
      </c>
      <c r="U10" s="0" t="n">
        <v>4</v>
      </c>
    </row>
    <row r="12" customFormat="false" ht="16" hidden="false" customHeight="false" outlineLevel="0" collapsed="false">
      <c r="B12" s="0" t="s">
        <v>3</v>
      </c>
      <c r="C12" s="0" t="s">
        <v>197</v>
      </c>
      <c r="D12" s="0" t="s">
        <v>5</v>
      </c>
      <c r="H12" s="0" t="s">
        <v>3</v>
      </c>
      <c r="I12" s="0" t="s">
        <v>4</v>
      </c>
      <c r="J12" s="0" t="s">
        <v>5</v>
      </c>
      <c r="N12" s="0" t="s">
        <v>3</v>
      </c>
      <c r="O12" s="0" t="s">
        <v>4</v>
      </c>
      <c r="P12" s="0" t="s">
        <v>5</v>
      </c>
      <c r="T12" s="0" t="s">
        <v>3</v>
      </c>
      <c r="U12" s="0" t="s">
        <v>4</v>
      </c>
      <c r="V12" s="0" t="s">
        <v>5</v>
      </c>
    </row>
    <row r="13" customFormat="false" ht="16" hidden="false" customHeight="false" outlineLevel="0" collapsed="false">
      <c r="A13" s="0" t="s">
        <v>13</v>
      </c>
      <c r="G13" s="0" t="s">
        <v>13</v>
      </c>
      <c r="M13" s="0" t="s">
        <v>13</v>
      </c>
      <c r="S13" s="0" t="s">
        <v>13</v>
      </c>
    </row>
    <row r="14" customFormat="false" ht="16" hidden="false" customHeight="false" outlineLevel="0" collapsed="false">
      <c r="A14" s="0" t="s">
        <v>17</v>
      </c>
      <c r="B14" s="0" t="s">
        <v>18</v>
      </c>
      <c r="C14" s="0" t="s">
        <v>19</v>
      </c>
      <c r="D14" s="0" t="s">
        <v>198</v>
      </c>
      <c r="G14" s="0" t="s">
        <v>17</v>
      </c>
      <c r="H14" s="0" t="s">
        <v>18</v>
      </c>
      <c r="I14" s="0" t="s">
        <v>19</v>
      </c>
      <c r="J14" s="0" t="s">
        <v>198</v>
      </c>
      <c r="M14" s="0" t="s">
        <v>17</v>
      </c>
      <c r="N14" s="0" t="s">
        <v>18</v>
      </c>
      <c r="O14" s="0" t="s">
        <v>19</v>
      </c>
      <c r="P14" s="0" t="s">
        <v>198</v>
      </c>
      <c r="S14" s="0" t="s">
        <v>17</v>
      </c>
      <c r="T14" s="0" t="s">
        <v>18</v>
      </c>
      <c r="U14" s="0" t="s">
        <v>19</v>
      </c>
      <c r="V14" s="0" t="s">
        <v>198</v>
      </c>
    </row>
    <row r="15" customFormat="false" ht="16" hidden="false" customHeight="false" outlineLevel="0" collapsed="false">
      <c r="A15" s="0" t="s">
        <v>25</v>
      </c>
      <c r="B15" s="0" t="s">
        <v>26</v>
      </c>
      <c r="C15" s="0" t="s">
        <v>27</v>
      </c>
      <c r="D15" s="0" t="s">
        <v>27</v>
      </c>
      <c r="G15" s="0" t="s">
        <v>25</v>
      </c>
      <c r="H15" s="0" t="s">
        <v>26</v>
      </c>
      <c r="I15" s="0" t="s">
        <v>27</v>
      </c>
      <c r="J15" s="0" t="s">
        <v>27</v>
      </c>
      <c r="M15" s="0" t="s">
        <v>25</v>
      </c>
      <c r="N15" s="0" t="s">
        <v>26</v>
      </c>
      <c r="O15" s="0" t="s">
        <v>27</v>
      </c>
      <c r="P15" s="0" t="s">
        <v>27</v>
      </c>
      <c r="S15" s="0" t="s">
        <v>25</v>
      </c>
      <c r="T15" s="0" t="s">
        <v>26</v>
      </c>
      <c r="U15" s="0" t="s">
        <v>27</v>
      </c>
      <c r="V15" s="0" t="s">
        <v>27</v>
      </c>
    </row>
    <row r="16" customFormat="false" ht="16" hidden="false" customHeight="false" outlineLevel="0" collapsed="false">
      <c r="A16" s="0" t="s">
        <v>29</v>
      </c>
      <c r="B16" s="0" t="s">
        <v>30</v>
      </c>
      <c r="C16" s="0" t="s">
        <v>31</v>
      </c>
      <c r="D16" s="0" t="s">
        <v>31</v>
      </c>
      <c r="G16" s="0" t="s">
        <v>29</v>
      </c>
      <c r="H16" s="0" t="s">
        <v>30</v>
      </c>
      <c r="I16" s="0" t="s">
        <v>31</v>
      </c>
      <c r="J16" s="0" t="s">
        <v>31</v>
      </c>
      <c r="M16" s="0" t="s">
        <v>29</v>
      </c>
      <c r="N16" s="0" t="s">
        <v>30</v>
      </c>
      <c r="O16" s="0" t="s">
        <v>31</v>
      </c>
      <c r="P16" s="0" t="s">
        <v>31</v>
      </c>
      <c r="S16" s="0" t="s">
        <v>29</v>
      </c>
      <c r="T16" s="0" t="s">
        <v>30</v>
      </c>
      <c r="U16" s="0" t="s">
        <v>31</v>
      </c>
      <c r="V16" s="0" t="s">
        <v>31</v>
      </c>
    </row>
    <row r="17" customFormat="false" ht="16" hidden="false" customHeight="false" outlineLevel="0" collapsed="false">
      <c r="A17" s="0" t="s">
        <v>38</v>
      </c>
      <c r="B17" s="0" t="s">
        <v>39</v>
      </c>
      <c r="C17" s="0" t="s">
        <v>40</v>
      </c>
      <c r="D17" s="0" t="s">
        <v>40</v>
      </c>
      <c r="G17" s="0" t="s">
        <v>38</v>
      </c>
      <c r="H17" s="0" t="s">
        <v>39</v>
      </c>
      <c r="I17" s="0" t="s">
        <v>40</v>
      </c>
      <c r="J17" s="0" t="s">
        <v>40</v>
      </c>
      <c r="M17" s="0" t="s">
        <v>38</v>
      </c>
      <c r="N17" s="0" t="s">
        <v>39</v>
      </c>
      <c r="O17" s="0" t="s">
        <v>40</v>
      </c>
      <c r="P17" s="0" t="s">
        <v>40</v>
      </c>
      <c r="S17" s="0" t="s">
        <v>38</v>
      </c>
      <c r="T17" s="0" t="s">
        <v>39</v>
      </c>
      <c r="U17" s="0" t="s">
        <v>40</v>
      </c>
      <c r="V17" s="0" t="s">
        <v>40</v>
      </c>
    </row>
    <row r="18" customFormat="false" ht="16" hidden="false" customHeight="false" outlineLevel="0" collapsed="false">
      <c r="A18" s="67" t="s">
        <v>199</v>
      </c>
      <c r="B18" s="22" t="s">
        <v>200</v>
      </c>
      <c r="G18" s="67" t="s">
        <v>201</v>
      </c>
      <c r="H18" s="22" t="s">
        <v>200</v>
      </c>
      <c r="M18" s="67" t="s">
        <v>202</v>
      </c>
      <c r="N18" s="22" t="s">
        <v>203</v>
      </c>
      <c r="S18" s="67" t="s">
        <v>204</v>
      </c>
      <c r="T18" s="22" t="s">
        <v>200</v>
      </c>
    </row>
    <row r="19" customFormat="false" ht="16" hidden="false" customHeight="false" outlineLevel="0" collapsed="false">
      <c r="A19" s="0" t="s">
        <v>47</v>
      </c>
      <c r="G19" s="0" t="s">
        <v>47</v>
      </c>
      <c r="M19" s="0" t="s">
        <v>47</v>
      </c>
      <c r="S19" s="0" t="s">
        <v>47</v>
      </c>
    </row>
    <row r="20" customFormat="false" ht="15" hidden="false" customHeight="false" outlineLevel="0" collapsed="false">
      <c r="A20" s="68" t="n">
        <v>1960</v>
      </c>
      <c r="B20" s="69" t="n">
        <v>54.7</v>
      </c>
      <c r="C20" s="69" t="s">
        <v>205</v>
      </c>
      <c r="D20" s="69" t="s">
        <v>205</v>
      </c>
      <c r="E20" s="68"/>
      <c r="F20" s="68"/>
      <c r="G20" s="68" t="n">
        <v>1960</v>
      </c>
      <c r="H20" s="69" t="n">
        <v>23.5</v>
      </c>
      <c r="I20" s="69" t="s">
        <v>205</v>
      </c>
      <c r="J20" s="69" t="s">
        <v>205</v>
      </c>
      <c r="K20" s="68"/>
      <c r="L20" s="68"/>
      <c r="M20" s="68" t="n">
        <v>1960</v>
      </c>
      <c r="N20" s="69" t="n">
        <v>446</v>
      </c>
      <c r="O20" s="69" t="s">
        <v>205</v>
      </c>
      <c r="P20" s="69" t="s">
        <v>205</v>
      </c>
      <c r="Q20" s="68"/>
      <c r="R20" s="68"/>
      <c r="S20" s="68" t="n">
        <v>1960</v>
      </c>
      <c r="T20" s="70" t="n">
        <v>26.1</v>
      </c>
      <c r="U20" s="70" t="s">
        <v>205</v>
      </c>
      <c r="V20" s="70" t="s">
        <v>205</v>
      </c>
    </row>
    <row r="21" customFormat="false" ht="15" hidden="false" customHeight="false" outlineLevel="0" collapsed="false">
      <c r="A21" s="68" t="n">
        <v>1961</v>
      </c>
      <c r="B21" s="69" t="n">
        <v>62.4</v>
      </c>
      <c r="C21" s="69" t="s">
        <v>205</v>
      </c>
      <c r="D21" s="69" t="s">
        <v>205</v>
      </c>
      <c r="E21" s="68"/>
      <c r="F21" s="68"/>
      <c r="G21" s="68" t="n">
        <v>1961</v>
      </c>
      <c r="H21" s="69" t="n">
        <v>25.1</v>
      </c>
      <c r="I21" s="69" t="s">
        <v>205</v>
      </c>
      <c r="J21" s="69" t="s">
        <v>205</v>
      </c>
      <c r="K21" s="68"/>
      <c r="L21" s="68"/>
      <c r="M21" s="68" t="n">
        <v>1961</v>
      </c>
      <c r="N21" s="69" t="n">
        <v>438</v>
      </c>
      <c r="O21" s="69" t="s">
        <v>205</v>
      </c>
      <c r="P21" s="69" t="s">
        <v>205</v>
      </c>
      <c r="Q21" s="68"/>
      <c r="R21" s="68"/>
      <c r="S21" s="68" t="n">
        <v>1961</v>
      </c>
      <c r="T21" s="70" t="n">
        <v>23.9</v>
      </c>
      <c r="U21" s="70" t="s">
        <v>205</v>
      </c>
      <c r="V21" s="70" t="s">
        <v>205</v>
      </c>
    </row>
    <row r="22" customFormat="false" ht="15" hidden="false" customHeight="false" outlineLevel="0" collapsed="false">
      <c r="A22" s="68" t="n">
        <v>1962</v>
      </c>
      <c r="B22" s="69" t="n">
        <v>64.7</v>
      </c>
      <c r="C22" s="69" t="s">
        <v>205</v>
      </c>
      <c r="D22" s="69" t="s">
        <v>205</v>
      </c>
      <c r="E22" s="68"/>
      <c r="F22" s="68"/>
      <c r="G22" s="68" t="n">
        <v>1962</v>
      </c>
      <c r="H22" s="69" t="n">
        <v>24.2</v>
      </c>
      <c r="I22" s="69" t="s">
        <v>205</v>
      </c>
      <c r="J22" s="69" t="s">
        <v>205</v>
      </c>
      <c r="K22" s="68"/>
      <c r="L22" s="68"/>
      <c r="M22" s="68" t="n">
        <v>1962</v>
      </c>
      <c r="N22" s="69" t="n">
        <v>457</v>
      </c>
      <c r="O22" s="69" t="s">
        <v>205</v>
      </c>
      <c r="P22" s="69" t="s">
        <v>205</v>
      </c>
      <c r="Q22" s="68"/>
      <c r="R22" s="68"/>
      <c r="S22" s="68" t="n">
        <v>1962</v>
      </c>
      <c r="T22" s="70" t="n">
        <v>25</v>
      </c>
      <c r="U22" s="70" t="s">
        <v>205</v>
      </c>
      <c r="V22" s="70" t="s">
        <v>205</v>
      </c>
    </row>
    <row r="23" customFormat="false" ht="15" hidden="false" customHeight="false" outlineLevel="0" collapsed="false">
      <c r="A23" s="68" t="n">
        <v>1963</v>
      </c>
      <c r="B23" s="69" t="n">
        <v>67.9</v>
      </c>
      <c r="C23" s="69" t="s">
        <v>205</v>
      </c>
      <c r="D23" s="69" t="s">
        <v>205</v>
      </c>
      <c r="E23" s="68"/>
      <c r="F23" s="68"/>
      <c r="G23" s="68" t="n">
        <v>1963</v>
      </c>
      <c r="H23" s="69" t="n">
        <v>24.4</v>
      </c>
      <c r="I23" s="69" t="s">
        <v>205</v>
      </c>
      <c r="J23" s="69" t="s">
        <v>205</v>
      </c>
      <c r="K23" s="68"/>
      <c r="L23" s="68"/>
      <c r="M23" s="68" t="n">
        <v>1963</v>
      </c>
      <c r="N23" s="69" t="n">
        <v>517</v>
      </c>
      <c r="O23" s="69" t="s">
        <v>205</v>
      </c>
      <c r="P23" s="69" t="s">
        <v>205</v>
      </c>
      <c r="Q23" s="68"/>
      <c r="R23" s="68"/>
      <c r="S23" s="68" t="n">
        <v>1963</v>
      </c>
      <c r="T23" s="70" t="n">
        <v>25.2</v>
      </c>
      <c r="U23" s="70" t="s">
        <v>205</v>
      </c>
      <c r="V23" s="70" t="s">
        <v>205</v>
      </c>
    </row>
    <row r="24" customFormat="false" ht="15" hidden="false" customHeight="false" outlineLevel="0" collapsed="false">
      <c r="A24" s="68" t="n">
        <v>1964</v>
      </c>
      <c r="B24" s="69" t="n">
        <v>62.9</v>
      </c>
      <c r="C24" s="69" t="s">
        <v>205</v>
      </c>
      <c r="D24" s="69" t="s">
        <v>205</v>
      </c>
      <c r="E24" s="68"/>
      <c r="F24" s="68"/>
      <c r="G24" s="68" t="n">
        <v>1964</v>
      </c>
      <c r="H24" s="69" t="n">
        <v>22.8</v>
      </c>
      <c r="I24" s="69" t="s">
        <v>205</v>
      </c>
      <c r="J24" s="69" t="s">
        <v>205</v>
      </c>
      <c r="K24" s="68"/>
      <c r="L24" s="68"/>
      <c r="M24" s="68" t="n">
        <v>1964</v>
      </c>
      <c r="N24" s="69" t="n">
        <v>517</v>
      </c>
      <c r="O24" s="69" t="s">
        <v>205</v>
      </c>
      <c r="P24" s="69" t="s">
        <v>205</v>
      </c>
      <c r="Q24" s="68"/>
      <c r="R24" s="68"/>
      <c r="S24" s="68" t="n">
        <v>1964</v>
      </c>
      <c r="T24" s="70" t="n">
        <v>25.8</v>
      </c>
      <c r="U24" s="70" t="s">
        <v>205</v>
      </c>
      <c r="V24" s="70" t="s">
        <v>205</v>
      </c>
    </row>
    <row r="25" customFormat="false" ht="15" hidden="false" customHeight="false" outlineLevel="0" collapsed="false">
      <c r="A25" s="68" t="n">
        <v>1965</v>
      </c>
      <c r="B25" s="69" t="n">
        <v>74.1</v>
      </c>
      <c r="C25" s="69" t="s">
        <v>205</v>
      </c>
      <c r="D25" s="69" t="s">
        <v>205</v>
      </c>
      <c r="E25" s="68"/>
      <c r="F25" s="68"/>
      <c r="G25" s="68" t="n">
        <v>1965</v>
      </c>
      <c r="H25" s="69" t="n">
        <v>24.5</v>
      </c>
      <c r="I25" s="69" t="s">
        <v>205</v>
      </c>
      <c r="J25" s="69" t="s">
        <v>205</v>
      </c>
      <c r="K25" s="68"/>
      <c r="L25" s="68"/>
      <c r="M25" s="68" t="n">
        <v>1965</v>
      </c>
      <c r="N25" s="69" t="n">
        <v>527</v>
      </c>
      <c r="O25" s="69" t="s">
        <v>205</v>
      </c>
      <c r="P25" s="69" t="s">
        <v>205</v>
      </c>
      <c r="Q25" s="68"/>
      <c r="R25" s="68"/>
      <c r="S25" s="68" t="n">
        <v>1965</v>
      </c>
      <c r="T25" s="70" t="n">
        <v>26.5</v>
      </c>
      <c r="U25" s="70" t="s">
        <v>205</v>
      </c>
      <c r="V25" s="70" t="s">
        <v>205</v>
      </c>
    </row>
    <row r="26" customFormat="false" ht="15" hidden="false" customHeight="false" outlineLevel="0" collapsed="false">
      <c r="A26" s="68" t="n">
        <v>1966</v>
      </c>
      <c r="B26" s="69" t="n">
        <v>73.1</v>
      </c>
      <c r="C26" s="69" t="s">
        <v>205</v>
      </c>
      <c r="D26" s="69" t="s">
        <v>205</v>
      </c>
      <c r="E26" s="68"/>
      <c r="F26" s="68"/>
      <c r="G26" s="68" t="n">
        <v>1966</v>
      </c>
      <c r="H26" s="69" t="n">
        <v>25.4</v>
      </c>
      <c r="I26" s="69" t="s">
        <v>205</v>
      </c>
      <c r="J26" s="69" t="s">
        <v>205</v>
      </c>
      <c r="K26" s="68"/>
      <c r="L26" s="68"/>
      <c r="M26" s="68" t="n">
        <v>1966</v>
      </c>
      <c r="N26" s="69" t="n">
        <v>480</v>
      </c>
      <c r="O26" s="69" t="s">
        <v>205</v>
      </c>
      <c r="P26" s="69" t="s">
        <v>205</v>
      </c>
      <c r="Q26" s="68"/>
      <c r="R26" s="68"/>
      <c r="S26" s="68" t="n">
        <v>1966</v>
      </c>
      <c r="T26" s="70" t="n">
        <v>26.3</v>
      </c>
      <c r="U26" s="70" t="s">
        <v>205</v>
      </c>
      <c r="V26" s="70" t="s">
        <v>205</v>
      </c>
    </row>
    <row r="27" customFormat="false" ht="15" hidden="false" customHeight="false" outlineLevel="0" collapsed="false">
      <c r="A27" s="68" t="n">
        <v>1967</v>
      </c>
      <c r="B27" s="69" t="n">
        <v>80.1</v>
      </c>
      <c r="C27" s="69" t="s">
        <v>205</v>
      </c>
      <c r="D27" s="69" t="s">
        <v>205</v>
      </c>
      <c r="E27" s="68"/>
      <c r="F27" s="68"/>
      <c r="G27" s="68" t="n">
        <v>1967</v>
      </c>
      <c r="H27" s="69" t="n">
        <v>24.5</v>
      </c>
      <c r="I27" s="69" t="s">
        <v>205</v>
      </c>
      <c r="J27" s="69" t="s">
        <v>205</v>
      </c>
      <c r="K27" s="68"/>
      <c r="L27" s="68"/>
      <c r="M27" s="68" t="n">
        <v>1967</v>
      </c>
      <c r="N27" s="69" t="n">
        <v>447</v>
      </c>
      <c r="O27" s="69" t="s">
        <v>205</v>
      </c>
      <c r="P27" s="69" t="s">
        <v>205</v>
      </c>
      <c r="Q27" s="68"/>
      <c r="R27" s="68"/>
      <c r="S27" s="68" t="n">
        <v>1967</v>
      </c>
      <c r="T27" s="70" t="n">
        <v>25.8</v>
      </c>
      <c r="U27" s="70" t="s">
        <v>205</v>
      </c>
      <c r="V27" s="70" t="s">
        <v>205</v>
      </c>
    </row>
    <row r="28" customFormat="false" ht="15" hidden="false" customHeight="false" outlineLevel="0" collapsed="false">
      <c r="A28" s="68" t="n">
        <v>1968</v>
      </c>
      <c r="B28" s="69" t="n">
        <v>79.5</v>
      </c>
      <c r="C28" s="69" t="s">
        <v>205</v>
      </c>
      <c r="D28" s="69" t="s">
        <v>205</v>
      </c>
      <c r="E28" s="68"/>
      <c r="F28" s="68"/>
      <c r="G28" s="68" t="n">
        <v>1968</v>
      </c>
      <c r="H28" s="69" t="n">
        <v>26.7</v>
      </c>
      <c r="I28" s="69" t="s">
        <v>205</v>
      </c>
      <c r="J28" s="69" t="s">
        <v>205</v>
      </c>
      <c r="K28" s="68"/>
      <c r="L28" s="68"/>
      <c r="M28" s="68" t="n">
        <v>1968</v>
      </c>
      <c r="N28" s="69" t="n">
        <v>516</v>
      </c>
      <c r="O28" s="69" t="s">
        <v>205</v>
      </c>
      <c r="P28" s="69" t="s">
        <v>205</v>
      </c>
      <c r="Q28" s="68"/>
      <c r="R28" s="68"/>
      <c r="S28" s="68" t="n">
        <v>1968</v>
      </c>
      <c r="T28" s="70" t="n">
        <v>28.4</v>
      </c>
      <c r="U28" s="70" t="s">
        <v>205</v>
      </c>
      <c r="V28" s="70" t="s">
        <v>205</v>
      </c>
    </row>
    <row r="29" customFormat="false" ht="15" hidden="false" customHeight="false" outlineLevel="0" collapsed="false">
      <c r="A29" s="68" t="n">
        <v>1969</v>
      </c>
      <c r="B29" s="69" t="n">
        <v>85.9</v>
      </c>
      <c r="C29" s="69" t="n">
        <v>7.15624018953505</v>
      </c>
      <c r="D29" s="69" t="n">
        <v>39.1844693973576</v>
      </c>
      <c r="E29" s="68"/>
      <c r="F29" s="68"/>
      <c r="G29" s="68" t="n">
        <v>1969</v>
      </c>
      <c r="H29" s="69" t="n">
        <v>27.4</v>
      </c>
      <c r="I29" s="69" t="n">
        <v>1.99625599201053</v>
      </c>
      <c r="J29" s="69" t="n">
        <v>8.71223202860218</v>
      </c>
      <c r="K29" s="68"/>
      <c r="L29" s="68"/>
      <c r="M29" s="68" t="n">
        <v>1969</v>
      </c>
      <c r="N29" s="69" t="n">
        <v>434</v>
      </c>
      <c r="O29" s="69" t="n">
        <v>2.86296944592412</v>
      </c>
      <c r="P29" s="69" t="n">
        <v>26.4030647805866</v>
      </c>
      <c r="Q29" s="68"/>
      <c r="R29" s="68"/>
      <c r="S29" s="68" t="n">
        <v>1969</v>
      </c>
      <c r="T29" s="70" t="n">
        <v>30.6</v>
      </c>
      <c r="U29" s="70" t="n">
        <v>2.56943215994739</v>
      </c>
      <c r="V29" s="70" t="n">
        <v>13.2141616501896</v>
      </c>
    </row>
    <row r="30" customFormat="false" ht="15" hidden="false" customHeight="false" outlineLevel="0" collapsed="false">
      <c r="A30" s="68" t="n">
        <v>1970</v>
      </c>
      <c r="B30" s="69" t="n">
        <v>72.4</v>
      </c>
      <c r="C30" s="69" t="s">
        <v>205</v>
      </c>
      <c r="D30" s="69" t="s">
        <v>205</v>
      </c>
      <c r="E30" s="68"/>
      <c r="F30" s="68"/>
      <c r="G30" s="68" t="n">
        <v>1970</v>
      </c>
      <c r="H30" s="69" t="n">
        <v>26.7</v>
      </c>
      <c r="I30" s="69" t="s">
        <v>205</v>
      </c>
      <c r="J30" s="69" t="s">
        <v>205</v>
      </c>
      <c r="K30" s="68"/>
      <c r="L30" s="68"/>
      <c r="M30" s="68" t="n">
        <v>1970</v>
      </c>
      <c r="N30" s="69" t="n">
        <v>438</v>
      </c>
      <c r="O30" s="69" t="s">
        <v>205</v>
      </c>
      <c r="P30" s="69" t="s">
        <v>205</v>
      </c>
      <c r="Q30" s="68"/>
      <c r="R30" s="68"/>
      <c r="S30" s="68" t="n">
        <v>1970</v>
      </c>
      <c r="T30" s="70" t="n">
        <v>31</v>
      </c>
      <c r="U30" s="70" t="s">
        <v>205</v>
      </c>
      <c r="V30" s="70" t="s">
        <v>205</v>
      </c>
    </row>
    <row r="31" customFormat="false" ht="15" hidden="false" customHeight="false" outlineLevel="0" collapsed="false">
      <c r="A31" s="68" t="n">
        <v>1971</v>
      </c>
      <c r="B31" s="69" t="n">
        <v>88.1</v>
      </c>
      <c r="C31" s="69" t="s">
        <v>205</v>
      </c>
      <c r="D31" s="69" t="s">
        <v>205</v>
      </c>
      <c r="E31" s="68"/>
      <c r="F31" s="68"/>
      <c r="G31" s="68" t="n">
        <v>1971</v>
      </c>
      <c r="H31" s="69" t="n">
        <v>27.5</v>
      </c>
      <c r="I31" s="69" t="s">
        <v>205</v>
      </c>
      <c r="J31" s="69" t="s">
        <v>205</v>
      </c>
      <c r="K31" s="68"/>
      <c r="L31" s="68"/>
      <c r="M31" s="68" t="n">
        <v>1971</v>
      </c>
      <c r="N31" s="69" t="n">
        <v>438</v>
      </c>
      <c r="O31" s="69" t="s">
        <v>205</v>
      </c>
      <c r="P31" s="69" t="s">
        <v>205</v>
      </c>
      <c r="Q31" s="68"/>
      <c r="R31" s="68"/>
      <c r="S31" s="68" t="n">
        <v>1971</v>
      </c>
      <c r="T31" s="70" t="n">
        <v>33.9</v>
      </c>
      <c r="U31" s="70" t="s">
        <v>205</v>
      </c>
      <c r="V31" s="70" t="s">
        <v>205</v>
      </c>
    </row>
    <row r="32" customFormat="false" ht="15" hidden="false" customHeight="false" outlineLevel="0" collapsed="false">
      <c r="A32" s="68" t="n">
        <v>1972</v>
      </c>
      <c r="B32" s="69" t="n">
        <v>97</v>
      </c>
      <c r="C32" s="69" t="s">
        <v>205</v>
      </c>
      <c r="D32" s="69" t="s">
        <v>205</v>
      </c>
      <c r="E32" s="68"/>
      <c r="F32" s="68"/>
      <c r="G32" s="68" t="n">
        <v>1972</v>
      </c>
      <c r="H32" s="69" t="n">
        <v>27.8</v>
      </c>
      <c r="I32" s="69" t="s">
        <v>205</v>
      </c>
      <c r="J32" s="69" t="s">
        <v>205</v>
      </c>
      <c r="K32" s="68"/>
      <c r="L32" s="68"/>
      <c r="M32" s="68" t="n">
        <v>1972</v>
      </c>
      <c r="N32" s="69" t="n">
        <v>507</v>
      </c>
      <c r="O32" s="69" t="s">
        <v>205</v>
      </c>
      <c r="P32" s="69" t="s">
        <v>205</v>
      </c>
      <c r="Q32" s="68"/>
      <c r="R32" s="68"/>
      <c r="S32" s="68" t="n">
        <v>1972</v>
      </c>
      <c r="T32" s="70" t="n">
        <v>32.7</v>
      </c>
      <c r="U32" s="70" t="s">
        <v>205</v>
      </c>
      <c r="V32" s="70" t="s">
        <v>205</v>
      </c>
    </row>
    <row r="33" customFormat="false" ht="15" hidden="false" customHeight="false" outlineLevel="0" collapsed="false">
      <c r="A33" s="68" t="n">
        <v>1973</v>
      </c>
      <c r="B33" s="69" t="n">
        <v>91.3</v>
      </c>
      <c r="C33" s="69" t="s">
        <v>205</v>
      </c>
      <c r="D33" s="69" t="s">
        <v>205</v>
      </c>
      <c r="E33" s="68"/>
      <c r="F33" s="68"/>
      <c r="G33" s="68" t="n">
        <v>1973</v>
      </c>
      <c r="H33" s="69" t="n">
        <v>27.8</v>
      </c>
      <c r="I33" s="69" t="s">
        <v>205</v>
      </c>
      <c r="J33" s="69" t="s">
        <v>205</v>
      </c>
      <c r="K33" s="68"/>
      <c r="L33" s="68"/>
      <c r="M33" s="68" t="n">
        <v>1973</v>
      </c>
      <c r="N33" s="69" t="n">
        <v>520</v>
      </c>
      <c r="O33" s="69" t="s">
        <v>205</v>
      </c>
      <c r="P33" s="69" t="s">
        <v>205</v>
      </c>
      <c r="Q33" s="68"/>
      <c r="R33" s="68"/>
      <c r="S33" s="68" t="n">
        <v>1973</v>
      </c>
      <c r="T33" s="70" t="n">
        <v>31.6</v>
      </c>
      <c r="U33" s="70" t="s">
        <v>205</v>
      </c>
      <c r="V33" s="70" t="s">
        <v>205</v>
      </c>
    </row>
    <row r="34" customFormat="false" ht="15" hidden="false" customHeight="false" outlineLevel="0" collapsed="false">
      <c r="A34" s="68" t="n">
        <v>1974</v>
      </c>
      <c r="B34" s="69" t="n">
        <v>71.9</v>
      </c>
      <c r="C34" s="69" t="s">
        <v>205</v>
      </c>
      <c r="D34" s="69" t="s">
        <v>205</v>
      </c>
      <c r="E34" s="68"/>
      <c r="F34" s="68"/>
      <c r="G34" s="68" t="n">
        <v>1974</v>
      </c>
      <c r="H34" s="69" t="n">
        <v>23.7</v>
      </c>
      <c r="I34" s="69" t="s">
        <v>205</v>
      </c>
      <c r="J34" s="69" t="s">
        <v>205</v>
      </c>
      <c r="K34" s="68"/>
      <c r="L34" s="68"/>
      <c r="M34" s="68" t="n">
        <v>1974</v>
      </c>
      <c r="N34" s="69" t="n">
        <v>442</v>
      </c>
      <c r="O34" s="69" t="s">
        <v>205</v>
      </c>
      <c r="P34" s="69" t="s">
        <v>205</v>
      </c>
      <c r="Q34" s="68"/>
      <c r="R34" s="68"/>
      <c r="S34" s="68" t="n">
        <v>1974</v>
      </c>
      <c r="T34" s="70" t="n">
        <v>27.3</v>
      </c>
      <c r="U34" s="70" t="s">
        <v>205</v>
      </c>
      <c r="V34" s="70" t="s">
        <v>205</v>
      </c>
    </row>
    <row r="35" customFormat="false" ht="15" hidden="false" customHeight="false" outlineLevel="0" collapsed="false">
      <c r="A35" s="68" t="n">
        <v>1975</v>
      </c>
      <c r="B35" s="69" t="n">
        <v>86.4</v>
      </c>
      <c r="C35" s="69" t="s">
        <v>205</v>
      </c>
      <c r="D35" s="69" t="s">
        <v>205</v>
      </c>
      <c r="E35" s="68"/>
      <c r="F35" s="68"/>
      <c r="G35" s="68" t="n">
        <v>1975</v>
      </c>
      <c r="H35" s="69" t="n">
        <v>28.9</v>
      </c>
      <c r="I35" s="69" t="s">
        <v>205</v>
      </c>
      <c r="J35" s="69" t="s">
        <v>205</v>
      </c>
      <c r="K35" s="68"/>
      <c r="L35" s="68"/>
      <c r="M35" s="68" t="n">
        <v>1975</v>
      </c>
      <c r="N35" s="69" t="n">
        <v>453</v>
      </c>
      <c r="O35" s="69" t="s">
        <v>205</v>
      </c>
      <c r="P35" s="69" t="s">
        <v>205</v>
      </c>
      <c r="Q35" s="68"/>
      <c r="R35" s="68"/>
      <c r="S35" s="68" t="n">
        <v>1975</v>
      </c>
      <c r="T35" s="70" t="n">
        <v>30.6</v>
      </c>
      <c r="U35" s="70" t="s">
        <v>205</v>
      </c>
      <c r="V35" s="70" t="s">
        <v>205</v>
      </c>
    </row>
    <row r="36" customFormat="false" ht="15" hidden="false" customHeight="false" outlineLevel="0" collapsed="false">
      <c r="A36" s="68" t="n">
        <v>1976</v>
      </c>
      <c r="B36" s="69" t="n">
        <v>88</v>
      </c>
      <c r="C36" s="69" t="s">
        <v>205</v>
      </c>
      <c r="D36" s="69" t="s">
        <v>205</v>
      </c>
      <c r="E36" s="68"/>
      <c r="F36" s="68"/>
      <c r="G36" s="68" t="n">
        <v>1976</v>
      </c>
      <c r="H36" s="69" t="n">
        <v>26.1</v>
      </c>
      <c r="I36" s="69" t="s">
        <v>205</v>
      </c>
      <c r="J36" s="69" t="s">
        <v>205</v>
      </c>
      <c r="K36" s="68"/>
      <c r="L36" s="68"/>
      <c r="M36" s="68" t="n">
        <v>1976</v>
      </c>
      <c r="N36" s="69" t="n">
        <v>465</v>
      </c>
      <c r="O36" s="69" t="s">
        <v>205</v>
      </c>
      <c r="P36" s="69" t="s">
        <v>205</v>
      </c>
      <c r="Q36" s="68"/>
      <c r="R36" s="68"/>
      <c r="S36" s="68" t="n">
        <v>1976</v>
      </c>
      <c r="T36" s="70" t="n">
        <v>30.3</v>
      </c>
      <c r="U36" s="70" t="s">
        <v>205</v>
      </c>
      <c r="V36" s="70" t="s">
        <v>205</v>
      </c>
    </row>
    <row r="37" customFormat="false" ht="15" hidden="false" customHeight="false" outlineLevel="0" collapsed="false">
      <c r="A37" s="68" t="n">
        <v>1977</v>
      </c>
      <c r="B37" s="69" t="n">
        <v>90.8</v>
      </c>
      <c r="C37" s="69" t="s">
        <v>205</v>
      </c>
      <c r="D37" s="69" t="s">
        <v>205</v>
      </c>
      <c r="E37" s="68"/>
      <c r="F37" s="68"/>
      <c r="G37" s="68" t="n">
        <v>1977</v>
      </c>
      <c r="H37" s="69" t="n">
        <v>30.6</v>
      </c>
      <c r="I37" s="69" t="s">
        <v>205</v>
      </c>
      <c r="J37" s="69" t="s">
        <v>205</v>
      </c>
      <c r="K37" s="68"/>
      <c r="L37" s="68"/>
      <c r="M37" s="68" t="n">
        <v>1977</v>
      </c>
      <c r="N37" s="69" t="n">
        <v>520</v>
      </c>
      <c r="O37" s="69" t="s">
        <v>205</v>
      </c>
      <c r="P37" s="69" t="s">
        <v>205</v>
      </c>
      <c r="Q37" s="68"/>
      <c r="R37" s="68"/>
      <c r="S37" s="68" t="n">
        <v>1977</v>
      </c>
      <c r="T37" s="70" t="n">
        <v>30.7</v>
      </c>
      <c r="U37" s="70" t="s">
        <v>205</v>
      </c>
      <c r="V37" s="70" t="s">
        <v>205</v>
      </c>
    </row>
    <row r="38" customFormat="false" ht="15" hidden="false" customHeight="false" outlineLevel="0" collapsed="false">
      <c r="A38" s="68" t="n">
        <v>1978</v>
      </c>
      <c r="B38" s="69" t="n">
        <v>101</v>
      </c>
      <c r="C38" s="69" t="s">
        <v>205</v>
      </c>
      <c r="D38" s="69" t="s">
        <v>205</v>
      </c>
      <c r="E38" s="68"/>
      <c r="F38" s="68"/>
      <c r="G38" s="68" t="n">
        <v>1978</v>
      </c>
      <c r="H38" s="69" t="n">
        <v>29.4</v>
      </c>
      <c r="I38" s="69" t="s">
        <v>205</v>
      </c>
      <c r="J38" s="69" t="s">
        <v>205</v>
      </c>
      <c r="K38" s="68"/>
      <c r="L38" s="68"/>
      <c r="M38" s="68" t="n">
        <v>1978</v>
      </c>
      <c r="N38" s="69" t="n">
        <v>420</v>
      </c>
      <c r="O38" s="69" t="s">
        <v>205</v>
      </c>
      <c r="P38" s="69" t="s">
        <v>205</v>
      </c>
      <c r="Q38" s="68"/>
      <c r="R38" s="68"/>
      <c r="S38" s="68" t="n">
        <v>1978</v>
      </c>
      <c r="T38" s="70" t="n">
        <v>31.4</v>
      </c>
      <c r="U38" s="70" t="s">
        <v>205</v>
      </c>
      <c r="V38" s="70" t="s">
        <v>205</v>
      </c>
    </row>
    <row r="39" customFormat="false" ht="15" hidden="false" customHeight="false" outlineLevel="0" collapsed="false">
      <c r="A39" s="68" t="n">
        <v>1979</v>
      </c>
      <c r="B39" s="69" t="n">
        <v>109.5</v>
      </c>
      <c r="C39" s="69" t="s">
        <v>205</v>
      </c>
      <c r="D39" s="69" t="s">
        <v>205</v>
      </c>
      <c r="E39" s="68"/>
      <c r="F39" s="68"/>
      <c r="G39" s="68" t="n">
        <v>1979</v>
      </c>
      <c r="H39" s="69" t="n">
        <v>32.1</v>
      </c>
      <c r="I39" s="69" t="s">
        <v>205</v>
      </c>
      <c r="J39" s="69" t="s">
        <v>205</v>
      </c>
      <c r="K39" s="68"/>
      <c r="L39" s="68"/>
      <c r="M39" s="68" t="n">
        <v>1979</v>
      </c>
      <c r="N39" s="69" t="n">
        <v>547</v>
      </c>
      <c r="O39" s="69" t="s">
        <v>205</v>
      </c>
      <c r="P39" s="69" t="s">
        <v>205</v>
      </c>
      <c r="Q39" s="68"/>
      <c r="R39" s="68"/>
      <c r="S39" s="68" t="n">
        <v>1979</v>
      </c>
      <c r="T39" s="70" t="n">
        <v>34.2</v>
      </c>
      <c r="U39" s="70" t="s">
        <v>205</v>
      </c>
      <c r="V39" s="70" t="s">
        <v>205</v>
      </c>
    </row>
    <row r="40" customFormat="false" ht="15" hidden="false" customHeight="false" outlineLevel="0" collapsed="false">
      <c r="A40" s="68" t="n">
        <v>1980</v>
      </c>
      <c r="B40" s="69" t="n">
        <v>91</v>
      </c>
      <c r="C40" s="69" t="s">
        <v>205</v>
      </c>
      <c r="D40" s="69" t="s">
        <v>205</v>
      </c>
      <c r="E40" s="68"/>
      <c r="F40" s="68"/>
      <c r="G40" s="68" t="n">
        <v>1980</v>
      </c>
      <c r="H40" s="69" t="n">
        <v>26.5</v>
      </c>
      <c r="I40" s="69" t="s">
        <v>205</v>
      </c>
      <c r="J40" s="69" t="s">
        <v>205</v>
      </c>
      <c r="K40" s="68"/>
      <c r="L40" s="68"/>
      <c r="M40" s="68" t="n">
        <v>1980</v>
      </c>
      <c r="N40" s="69" t="n">
        <v>404</v>
      </c>
      <c r="O40" s="69" t="s">
        <v>205</v>
      </c>
      <c r="P40" s="69" t="s">
        <v>205</v>
      </c>
      <c r="Q40" s="68"/>
      <c r="R40" s="68"/>
      <c r="S40" s="68" t="n">
        <v>1980</v>
      </c>
      <c r="T40" s="70" t="n">
        <v>33.5</v>
      </c>
      <c r="U40" s="70" t="s">
        <v>205</v>
      </c>
      <c r="V40" s="70" t="s">
        <v>205</v>
      </c>
    </row>
    <row r="41" customFormat="false" ht="15" hidden="false" customHeight="false" outlineLevel="0" collapsed="false">
      <c r="A41" s="68" t="n">
        <v>1981</v>
      </c>
      <c r="B41" s="69" t="n">
        <v>108.9</v>
      </c>
      <c r="C41" s="69" t="s">
        <v>205</v>
      </c>
      <c r="D41" s="69" t="s">
        <v>205</v>
      </c>
      <c r="E41" s="68"/>
      <c r="F41" s="68"/>
      <c r="G41" s="68" t="n">
        <v>1981</v>
      </c>
      <c r="H41" s="69" t="n">
        <v>30.1</v>
      </c>
      <c r="I41" s="69" t="s">
        <v>205</v>
      </c>
      <c r="J41" s="69" t="s">
        <v>205</v>
      </c>
      <c r="K41" s="68"/>
      <c r="L41" s="68"/>
      <c r="M41" s="68" t="n">
        <v>1981</v>
      </c>
      <c r="N41" s="69" t="n">
        <v>542</v>
      </c>
      <c r="O41" s="69" t="s">
        <v>205</v>
      </c>
      <c r="P41" s="69" t="s">
        <v>205</v>
      </c>
      <c r="Q41" s="68"/>
      <c r="R41" s="68"/>
      <c r="S41" s="68" t="n">
        <v>1981</v>
      </c>
      <c r="T41" s="70" t="n">
        <v>34.5</v>
      </c>
      <c r="U41" s="70" t="s">
        <v>205</v>
      </c>
      <c r="V41" s="70" t="s">
        <v>205</v>
      </c>
    </row>
    <row r="42" customFormat="false" ht="15" hidden="false" customHeight="false" outlineLevel="0" collapsed="false">
      <c r="A42" s="68" t="n">
        <v>1982</v>
      </c>
      <c r="B42" s="69" t="n">
        <v>113.2</v>
      </c>
      <c r="C42" s="69" t="s">
        <v>205</v>
      </c>
      <c r="D42" s="69" t="s">
        <v>205</v>
      </c>
      <c r="E42" s="68"/>
      <c r="F42" s="68"/>
      <c r="G42" s="68" t="n">
        <v>1982</v>
      </c>
      <c r="H42" s="69" t="n">
        <v>31.5</v>
      </c>
      <c r="I42" s="69" t="s">
        <v>205</v>
      </c>
      <c r="J42" s="69" t="s">
        <v>205</v>
      </c>
      <c r="K42" s="68"/>
      <c r="L42" s="68"/>
      <c r="M42" s="68" t="n">
        <v>1982</v>
      </c>
      <c r="N42" s="69" t="n">
        <v>590</v>
      </c>
      <c r="O42" s="69" t="s">
        <v>205</v>
      </c>
      <c r="P42" s="69" t="s">
        <v>205</v>
      </c>
      <c r="Q42" s="68"/>
      <c r="R42" s="68"/>
      <c r="S42" s="68" t="n">
        <v>1982</v>
      </c>
      <c r="T42" s="70" t="n">
        <v>35.5</v>
      </c>
      <c r="U42" s="70" t="s">
        <v>205</v>
      </c>
      <c r="V42" s="70" t="s">
        <v>205</v>
      </c>
    </row>
    <row r="43" customFormat="false" ht="15" hidden="false" customHeight="false" outlineLevel="0" collapsed="false">
      <c r="A43" s="68" t="n">
        <v>1983</v>
      </c>
      <c r="B43" s="69" t="n">
        <v>81.1</v>
      </c>
      <c r="C43" s="69" t="s">
        <v>205</v>
      </c>
      <c r="D43" s="69" t="s">
        <v>205</v>
      </c>
      <c r="E43" s="68"/>
      <c r="F43" s="68"/>
      <c r="G43" s="68" t="n">
        <v>1983</v>
      </c>
      <c r="H43" s="69" t="n">
        <v>26.2</v>
      </c>
      <c r="I43" s="69" t="s">
        <v>205</v>
      </c>
      <c r="J43" s="69" t="s">
        <v>205</v>
      </c>
      <c r="K43" s="68"/>
      <c r="L43" s="68"/>
      <c r="M43" s="68" t="n">
        <v>1983</v>
      </c>
      <c r="N43" s="69" t="n">
        <v>508</v>
      </c>
      <c r="O43" s="69" t="s">
        <v>205</v>
      </c>
      <c r="P43" s="69" t="s">
        <v>205</v>
      </c>
      <c r="Q43" s="68"/>
      <c r="R43" s="68"/>
      <c r="S43" s="68" t="n">
        <v>1983</v>
      </c>
      <c r="T43" s="70" t="n">
        <v>39.4</v>
      </c>
      <c r="U43" s="70" t="s">
        <v>205</v>
      </c>
      <c r="V43" s="70" t="s">
        <v>205</v>
      </c>
    </row>
    <row r="44" customFormat="false" ht="15" hidden="false" customHeight="false" outlineLevel="0" collapsed="false">
      <c r="A44" s="68" t="n">
        <v>1984</v>
      </c>
      <c r="B44" s="69" t="n">
        <v>106.7</v>
      </c>
      <c r="C44" s="69" t="n">
        <v>65.1207269057747</v>
      </c>
      <c r="D44" s="69" t="n">
        <v>196.836151394463</v>
      </c>
      <c r="E44" s="68"/>
      <c r="F44" s="68"/>
      <c r="G44" s="68" t="n">
        <v>1984</v>
      </c>
      <c r="H44" s="69" t="n">
        <v>28.1</v>
      </c>
      <c r="I44" s="69" t="n">
        <v>25.2677378587392</v>
      </c>
      <c r="J44" s="69" t="n">
        <v>85.2306604764294</v>
      </c>
      <c r="K44" s="68"/>
      <c r="L44" s="68"/>
      <c r="M44" s="68" t="n">
        <v>1984</v>
      </c>
      <c r="N44" s="69" t="n">
        <v>600</v>
      </c>
      <c r="O44" s="69" t="n">
        <v>10.4857886547488</v>
      </c>
      <c r="P44" s="69" t="n">
        <v>70.5371937544676</v>
      </c>
      <c r="Q44" s="68"/>
      <c r="R44" s="68"/>
      <c r="S44" s="68" t="n">
        <v>1984</v>
      </c>
      <c r="T44" s="70" t="n">
        <v>38.8</v>
      </c>
      <c r="U44" s="70" t="n">
        <v>20.4082697272092</v>
      </c>
      <c r="V44" s="70" t="n">
        <v>66.8950475828813</v>
      </c>
    </row>
    <row r="45" customFormat="false" ht="15" hidden="false" customHeight="false" outlineLevel="0" collapsed="false">
      <c r="A45" s="68" t="n">
        <v>1985</v>
      </c>
      <c r="B45" s="69" t="n">
        <v>118</v>
      </c>
      <c r="C45" s="69" t="s">
        <v>205</v>
      </c>
      <c r="D45" s="69" t="s">
        <v>205</v>
      </c>
      <c r="E45" s="68"/>
      <c r="F45" s="68"/>
      <c r="G45" s="68" t="n">
        <v>1985</v>
      </c>
      <c r="H45" s="69" t="n">
        <v>34.1</v>
      </c>
      <c r="I45" s="69" t="s">
        <v>205</v>
      </c>
      <c r="J45" s="69" t="s">
        <v>205</v>
      </c>
      <c r="K45" s="68"/>
      <c r="L45" s="68"/>
      <c r="M45" s="68" t="n">
        <v>1985</v>
      </c>
      <c r="N45" s="69" t="n">
        <v>630</v>
      </c>
      <c r="O45" s="69" t="s">
        <v>205</v>
      </c>
      <c r="P45" s="69" t="s">
        <v>205</v>
      </c>
      <c r="Q45" s="68"/>
      <c r="R45" s="68"/>
      <c r="S45" s="68" t="n">
        <v>1985</v>
      </c>
      <c r="T45" s="70" t="n">
        <v>37.5</v>
      </c>
      <c r="U45" s="70" t="s">
        <v>205</v>
      </c>
      <c r="V45" s="70" t="s">
        <v>205</v>
      </c>
    </row>
    <row r="46" customFormat="false" ht="15" hidden="false" customHeight="false" outlineLevel="0" collapsed="false">
      <c r="A46" s="68" t="n">
        <v>1986</v>
      </c>
      <c r="B46" s="69" t="n">
        <v>119.4</v>
      </c>
      <c r="C46" s="69" t="s">
        <v>205</v>
      </c>
      <c r="D46" s="69" t="s">
        <v>205</v>
      </c>
      <c r="E46" s="68"/>
      <c r="F46" s="68"/>
      <c r="G46" s="68" t="n">
        <v>1986</v>
      </c>
      <c r="H46" s="69" t="n">
        <v>33.3</v>
      </c>
      <c r="I46" s="69" t="s">
        <v>205</v>
      </c>
      <c r="J46" s="69" t="s">
        <v>205</v>
      </c>
      <c r="K46" s="68"/>
      <c r="L46" s="68"/>
      <c r="M46" s="68" t="n">
        <v>1986</v>
      </c>
      <c r="N46" s="69" t="n">
        <v>552</v>
      </c>
      <c r="O46" s="69" t="s">
        <v>205</v>
      </c>
      <c r="P46" s="69" t="s">
        <v>205</v>
      </c>
      <c r="Q46" s="68"/>
      <c r="R46" s="68"/>
      <c r="S46" s="68" t="n">
        <v>1986</v>
      </c>
      <c r="T46" s="70" t="n">
        <v>34.4</v>
      </c>
      <c r="U46" s="70" t="s">
        <v>205</v>
      </c>
      <c r="V46" s="70" t="s">
        <v>205</v>
      </c>
    </row>
    <row r="47" customFormat="false" ht="15" hidden="false" customHeight="false" outlineLevel="0" collapsed="false">
      <c r="A47" s="68" t="n">
        <v>1987</v>
      </c>
      <c r="B47" s="69" t="n">
        <v>119.8</v>
      </c>
      <c r="C47" s="69" t="s">
        <v>205</v>
      </c>
      <c r="D47" s="69" t="s">
        <v>205</v>
      </c>
      <c r="E47" s="68"/>
      <c r="F47" s="68"/>
      <c r="G47" s="68" t="n">
        <v>1987</v>
      </c>
      <c r="H47" s="69" t="n">
        <v>33.9</v>
      </c>
      <c r="I47" s="69" t="s">
        <v>205</v>
      </c>
      <c r="J47" s="69" t="s">
        <v>205</v>
      </c>
      <c r="K47" s="68"/>
      <c r="L47" s="68"/>
      <c r="M47" s="68" t="n">
        <v>1987</v>
      </c>
      <c r="N47" s="69" t="n">
        <v>706</v>
      </c>
      <c r="O47" s="69" t="s">
        <v>205</v>
      </c>
      <c r="P47" s="69" t="s">
        <v>205</v>
      </c>
      <c r="Q47" s="68"/>
      <c r="R47" s="68"/>
      <c r="S47" s="68" t="n">
        <v>1987</v>
      </c>
      <c r="T47" s="70" t="n">
        <v>37.7</v>
      </c>
      <c r="U47" s="70" t="s">
        <v>205</v>
      </c>
      <c r="V47" s="70" t="s">
        <v>205</v>
      </c>
    </row>
    <row r="48" customFormat="false" ht="15" hidden="false" customHeight="false" outlineLevel="0" collapsed="false">
      <c r="A48" s="68" t="n">
        <v>1988</v>
      </c>
      <c r="B48" s="69" t="n">
        <v>84.6</v>
      </c>
      <c r="C48" s="69" t="s">
        <v>205</v>
      </c>
      <c r="D48" s="69" t="s">
        <v>205</v>
      </c>
      <c r="E48" s="68"/>
      <c r="F48" s="68"/>
      <c r="G48" s="68" t="n">
        <v>1988</v>
      </c>
      <c r="H48" s="69" t="n">
        <v>27</v>
      </c>
      <c r="I48" s="69" t="s">
        <v>205</v>
      </c>
      <c r="J48" s="69" t="s">
        <v>205</v>
      </c>
      <c r="K48" s="68"/>
      <c r="L48" s="68"/>
      <c r="M48" s="68" t="n">
        <v>1988</v>
      </c>
      <c r="N48" s="69" t="n">
        <v>619</v>
      </c>
      <c r="O48" s="69" t="s">
        <v>205</v>
      </c>
      <c r="P48" s="69" t="s">
        <v>205</v>
      </c>
      <c r="Q48" s="68"/>
      <c r="R48" s="68"/>
      <c r="S48" s="68" t="n">
        <v>1988</v>
      </c>
      <c r="T48" s="70" t="n">
        <v>34.1</v>
      </c>
      <c r="U48" s="70" t="s">
        <v>205</v>
      </c>
      <c r="V48" s="70" t="s">
        <v>205</v>
      </c>
    </row>
    <row r="49" customFormat="false" ht="15" hidden="false" customHeight="false" outlineLevel="0" collapsed="false">
      <c r="A49" s="68" t="n">
        <v>1989</v>
      </c>
      <c r="B49" s="69" t="n">
        <v>116.3</v>
      </c>
      <c r="C49" s="69" t="s">
        <v>205</v>
      </c>
      <c r="D49" s="69" t="s">
        <v>205</v>
      </c>
      <c r="E49" s="68"/>
      <c r="F49" s="68"/>
      <c r="G49" s="68" t="n">
        <v>1989</v>
      </c>
      <c r="H49" s="69" t="n">
        <v>32.3</v>
      </c>
      <c r="I49" s="69" t="s">
        <v>205</v>
      </c>
      <c r="J49" s="69" t="s">
        <v>205</v>
      </c>
      <c r="K49" s="68"/>
      <c r="L49" s="68"/>
      <c r="M49" s="68" t="n">
        <v>1989</v>
      </c>
      <c r="N49" s="69" t="n">
        <v>614</v>
      </c>
      <c r="O49" s="69" t="s">
        <v>205</v>
      </c>
      <c r="P49" s="69" t="s">
        <v>205</v>
      </c>
      <c r="Q49" s="68"/>
      <c r="R49" s="68"/>
      <c r="S49" s="68" t="n">
        <v>1989</v>
      </c>
      <c r="T49" s="70" t="n">
        <v>32.7</v>
      </c>
      <c r="U49" s="70" t="s">
        <v>205</v>
      </c>
      <c r="V49" s="70" t="s">
        <v>205</v>
      </c>
    </row>
    <row r="50" customFormat="false" ht="15" hidden="false" customHeight="false" outlineLevel="0" collapsed="false">
      <c r="A50" s="68" t="n">
        <v>1990</v>
      </c>
      <c r="B50" s="69" t="n">
        <v>118.5</v>
      </c>
      <c r="C50" s="69" t="s">
        <v>205</v>
      </c>
      <c r="D50" s="69" t="s">
        <v>205</v>
      </c>
      <c r="E50" s="68"/>
      <c r="F50" s="68"/>
      <c r="G50" s="68" t="n">
        <v>1990</v>
      </c>
      <c r="H50" s="69" t="n">
        <v>34.1</v>
      </c>
      <c r="I50" s="69" t="s">
        <v>205</v>
      </c>
      <c r="J50" s="69" t="s">
        <v>205</v>
      </c>
      <c r="K50" s="68"/>
      <c r="L50" s="68"/>
      <c r="M50" s="68" t="n">
        <v>1990</v>
      </c>
      <c r="N50" s="69" t="n">
        <v>634</v>
      </c>
      <c r="O50" s="69" t="s">
        <v>205</v>
      </c>
      <c r="P50" s="69" t="s">
        <v>205</v>
      </c>
      <c r="Q50" s="68"/>
      <c r="R50" s="68"/>
      <c r="S50" s="68" t="n">
        <v>1990</v>
      </c>
      <c r="T50" s="70" t="n">
        <v>39.5</v>
      </c>
      <c r="U50" s="70" t="s">
        <v>205</v>
      </c>
      <c r="V50" s="70" t="s">
        <v>205</v>
      </c>
    </row>
    <row r="51" customFormat="false" ht="15" hidden="false" customHeight="false" outlineLevel="0" collapsed="false">
      <c r="A51" s="68" t="n">
        <v>1991</v>
      </c>
      <c r="B51" s="69" t="n">
        <v>108.6</v>
      </c>
      <c r="C51" s="69" t="s">
        <v>205</v>
      </c>
      <c r="D51" s="69" t="s">
        <v>205</v>
      </c>
      <c r="E51" s="68"/>
      <c r="F51" s="68"/>
      <c r="G51" s="68" t="n">
        <v>1991</v>
      </c>
      <c r="H51" s="69" t="n">
        <v>34.2</v>
      </c>
      <c r="I51" s="69" t="s">
        <v>205</v>
      </c>
      <c r="J51" s="69" t="s">
        <v>205</v>
      </c>
      <c r="K51" s="68"/>
      <c r="L51" s="68"/>
      <c r="M51" s="68" t="n">
        <v>1991</v>
      </c>
      <c r="N51" s="69" t="n">
        <v>652</v>
      </c>
      <c r="O51" s="69" t="s">
        <v>205</v>
      </c>
      <c r="P51" s="69" t="s">
        <v>205</v>
      </c>
      <c r="Q51" s="68"/>
      <c r="R51" s="68"/>
      <c r="S51" s="68" t="n">
        <v>1991</v>
      </c>
      <c r="T51" s="70" t="n">
        <v>34.3</v>
      </c>
      <c r="U51" s="70" t="s">
        <v>205</v>
      </c>
      <c r="V51" s="70" t="s">
        <v>205</v>
      </c>
    </row>
    <row r="52" customFormat="false" ht="15" hidden="false" customHeight="false" outlineLevel="0" collapsed="false">
      <c r="A52" s="68" t="n">
        <v>1992</v>
      </c>
      <c r="B52" s="69" t="n">
        <v>131.5</v>
      </c>
      <c r="C52" s="69" t="s">
        <v>205</v>
      </c>
      <c r="D52" s="69" t="s">
        <v>205</v>
      </c>
      <c r="E52" s="68"/>
      <c r="F52" s="68"/>
      <c r="G52" s="68" t="n">
        <v>1992</v>
      </c>
      <c r="H52" s="69" t="n">
        <v>37.6</v>
      </c>
      <c r="I52" s="69" t="s">
        <v>205</v>
      </c>
      <c r="J52" s="69" t="s">
        <v>205</v>
      </c>
      <c r="K52" s="68"/>
      <c r="L52" s="68"/>
      <c r="M52" s="68" t="n">
        <v>1992</v>
      </c>
      <c r="N52" s="69" t="n">
        <v>700</v>
      </c>
      <c r="O52" s="69" t="s">
        <v>205</v>
      </c>
      <c r="P52" s="69" t="s">
        <v>205</v>
      </c>
      <c r="Q52" s="68"/>
      <c r="R52" s="68"/>
      <c r="S52" s="68" t="n">
        <v>1992</v>
      </c>
      <c r="T52" s="70" t="n">
        <v>39.3</v>
      </c>
      <c r="U52" s="70" t="s">
        <v>205</v>
      </c>
      <c r="V52" s="70" t="s">
        <v>205</v>
      </c>
    </row>
    <row r="53" customFormat="false" ht="15" hidden="false" customHeight="false" outlineLevel="0" collapsed="false">
      <c r="A53" s="68" t="n">
        <v>1993</v>
      </c>
      <c r="B53" s="69" t="n">
        <v>100.7</v>
      </c>
      <c r="C53" s="69" t="s">
        <v>205</v>
      </c>
      <c r="D53" s="69" t="s">
        <v>205</v>
      </c>
      <c r="E53" s="68"/>
      <c r="F53" s="68"/>
      <c r="G53" s="68" t="n">
        <v>1993</v>
      </c>
      <c r="H53" s="69" t="n">
        <v>32.6</v>
      </c>
      <c r="I53" s="69" t="s">
        <v>205</v>
      </c>
      <c r="J53" s="69" t="s">
        <v>205</v>
      </c>
      <c r="K53" s="68"/>
      <c r="L53" s="68"/>
      <c r="M53" s="68" t="n">
        <v>1993</v>
      </c>
      <c r="N53" s="69" t="n">
        <v>606</v>
      </c>
      <c r="O53" s="69" t="s">
        <v>205</v>
      </c>
      <c r="P53" s="69" t="s">
        <v>205</v>
      </c>
      <c r="Q53" s="68"/>
      <c r="R53" s="68"/>
      <c r="S53" s="68" t="n">
        <v>1993</v>
      </c>
      <c r="T53" s="70" t="n">
        <v>38.2</v>
      </c>
      <c r="U53" s="70" t="s">
        <v>205</v>
      </c>
      <c r="V53" s="70" t="s">
        <v>205</v>
      </c>
    </row>
    <row r="54" customFormat="false" ht="15" hidden="false" customHeight="false" outlineLevel="0" collapsed="false">
      <c r="A54" s="68" t="n">
        <v>1994</v>
      </c>
      <c r="B54" s="69" t="n">
        <v>138.6</v>
      </c>
      <c r="C54" s="69" t="n">
        <v>182.996682310931</v>
      </c>
      <c r="D54" s="69" t="n">
        <v>367.560475982962</v>
      </c>
      <c r="E54" s="68"/>
      <c r="F54" s="68"/>
      <c r="G54" s="68" t="n">
        <v>1994</v>
      </c>
      <c r="H54" s="69" t="n">
        <v>41.4</v>
      </c>
      <c r="I54" s="69" t="n">
        <v>64.128928106368</v>
      </c>
      <c r="J54" s="69" t="n">
        <v>134.535695664437</v>
      </c>
      <c r="K54" s="68"/>
      <c r="L54" s="68"/>
      <c r="M54" s="68" t="n">
        <v>1994</v>
      </c>
      <c r="N54" s="69" t="n">
        <v>708</v>
      </c>
      <c r="O54" s="69" t="n">
        <v>45.9197647410814</v>
      </c>
      <c r="P54" s="69" t="n">
        <v>152.614477668088</v>
      </c>
      <c r="Q54" s="68"/>
      <c r="R54" s="68"/>
      <c r="S54" s="68" t="n">
        <v>1994</v>
      </c>
      <c r="T54" s="70" t="n">
        <v>37.6</v>
      </c>
      <c r="U54" s="70" t="n">
        <v>49.4736307607626</v>
      </c>
      <c r="V54" s="70" t="n">
        <v>105.181863044488</v>
      </c>
    </row>
    <row r="55" customFormat="false" ht="15" hidden="false" customHeight="false" outlineLevel="0" collapsed="false">
      <c r="A55" s="68" t="n">
        <v>1995</v>
      </c>
      <c r="B55" s="69" t="n">
        <v>113.5</v>
      </c>
      <c r="C55" s="69" t="n">
        <v>217.622317961089</v>
      </c>
      <c r="D55" s="69" t="n">
        <v>419.268860322693</v>
      </c>
      <c r="E55" s="68"/>
      <c r="F55" s="68"/>
      <c r="G55" s="68" t="n">
        <v>1995</v>
      </c>
      <c r="H55" s="69" t="n">
        <v>35.3</v>
      </c>
      <c r="I55" s="69" t="n">
        <v>72.7074847488244</v>
      </c>
      <c r="J55" s="69" t="n">
        <v>143.491404542908</v>
      </c>
      <c r="K55" s="68"/>
      <c r="L55" s="68"/>
      <c r="M55" s="68" t="n">
        <v>1995</v>
      </c>
      <c r="N55" s="69" t="n">
        <v>537</v>
      </c>
      <c r="O55" s="69" t="n">
        <v>52.6824211093558</v>
      </c>
      <c r="P55" s="69" t="n">
        <v>151.85442898969</v>
      </c>
      <c r="Q55" s="68"/>
      <c r="R55" s="68"/>
      <c r="S55" s="68" t="n">
        <v>1995</v>
      </c>
      <c r="T55" s="70" t="n">
        <v>35.8</v>
      </c>
      <c r="U55" s="70" t="n">
        <v>51.6451357697974</v>
      </c>
      <c r="V55" s="70" t="n">
        <v>111.617134803928</v>
      </c>
    </row>
    <row r="56" customFormat="false" ht="15" hidden="false" customHeight="false" outlineLevel="0" collapsed="false">
      <c r="A56" s="68" t="n">
        <v>1996</v>
      </c>
      <c r="B56" s="69" t="n">
        <v>127.1</v>
      </c>
      <c r="C56" s="69" t="n">
        <v>276.537508774368</v>
      </c>
      <c r="D56" s="69" t="n">
        <v>492.85019308151</v>
      </c>
      <c r="E56" s="68"/>
      <c r="F56" s="68"/>
      <c r="G56" s="68" t="n">
        <v>1996</v>
      </c>
      <c r="H56" s="69" t="n">
        <v>37.6</v>
      </c>
      <c r="I56" s="69" t="n">
        <v>86.1950541852476</v>
      </c>
      <c r="J56" s="69" t="n">
        <v>160.746520990843</v>
      </c>
      <c r="K56" s="68"/>
      <c r="L56" s="68"/>
      <c r="M56" s="68" t="n">
        <v>1996</v>
      </c>
      <c r="N56" s="69" t="n">
        <v>705</v>
      </c>
      <c r="O56" s="69" t="n">
        <v>64.0297251473893</v>
      </c>
      <c r="P56" s="69" t="n">
        <v>167.687292459693</v>
      </c>
      <c r="Q56" s="68"/>
      <c r="R56" s="68"/>
      <c r="S56" s="68" t="n">
        <v>1996</v>
      </c>
      <c r="T56" s="70" t="n">
        <v>36.3</v>
      </c>
      <c r="U56" s="70" t="n">
        <v>55.0218385093452</v>
      </c>
      <c r="V56" s="70" t="n">
        <v>114.624905278248</v>
      </c>
    </row>
    <row r="57" customFormat="false" ht="15" hidden="false" customHeight="false" outlineLevel="0" collapsed="false">
      <c r="A57" s="68" t="n">
        <v>1997</v>
      </c>
      <c r="B57" s="69" t="n">
        <v>126.7</v>
      </c>
      <c r="C57" s="69" t="n">
        <v>346.32994285412</v>
      </c>
      <c r="D57" s="69" t="n">
        <v>583.095807463632</v>
      </c>
      <c r="E57" s="68"/>
      <c r="F57" s="68"/>
      <c r="G57" s="68" t="n">
        <v>1997</v>
      </c>
      <c r="H57" s="69" t="n">
        <v>38.9</v>
      </c>
      <c r="I57" s="69" t="n">
        <v>104.00739475979</v>
      </c>
      <c r="J57" s="69" t="n">
        <v>185.060563359002</v>
      </c>
      <c r="K57" s="68"/>
      <c r="L57" s="68"/>
      <c r="M57" s="68" t="n">
        <v>1997</v>
      </c>
      <c r="N57" s="69" t="n">
        <v>673</v>
      </c>
      <c r="O57" s="69" t="n">
        <v>75.8452569347032</v>
      </c>
      <c r="P57" s="69" t="n">
        <v>187.336545817059</v>
      </c>
      <c r="Q57" s="68"/>
      <c r="R57" s="68"/>
      <c r="S57" s="68" t="n">
        <v>1997</v>
      </c>
      <c r="T57" s="70" t="n">
        <v>39.5</v>
      </c>
      <c r="U57" s="70" t="n">
        <v>59.3293676681726</v>
      </c>
      <c r="V57" s="70" t="n">
        <v>122.933996010751</v>
      </c>
    </row>
    <row r="58" customFormat="false" ht="15" hidden="false" customHeight="false" outlineLevel="0" collapsed="false">
      <c r="A58" s="68" t="n">
        <v>1998</v>
      </c>
      <c r="B58" s="69" t="n">
        <v>134.4</v>
      </c>
      <c r="C58" s="69" t="n">
        <v>435.903863608009</v>
      </c>
      <c r="D58" s="69" t="n">
        <v>656.042710842332</v>
      </c>
      <c r="E58" s="68"/>
      <c r="F58" s="68"/>
      <c r="G58" s="68" t="n">
        <v>1998</v>
      </c>
      <c r="H58" s="69" t="n">
        <v>38.9</v>
      </c>
      <c r="I58" s="69" t="n">
        <v>125.833002119624</v>
      </c>
      <c r="J58" s="69" t="n">
        <v>196.285582542059</v>
      </c>
      <c r="K58" s="68"/>
      <c r="L58" s="68"/>
      <c r="M58" s="68" t="n">
        <v>1998</v>
      </c>
      <c r="N58" s="69" t="n">
        <v>625</v>
      </c>
      <c r="O58" s="69" t="n">
        <v>91.4466063385245</v>
      </c>
      <c r="P58" s="69" t="n">
        <v>185.845044214278</v>
      </c>
      <c r="Q58" s="68"/>
      <c r="R58" s="68"/>
      <c r="S58" s="68" t="n">
        <v>1998</v>
      </c>
      <c r="T58" s="70" t="n">
        <v>43.2</v>
      </c>
      <c r="U58" s="70" t="n">
        <v>62.6729363423434</v>
      </c>
      <c r="V58" s="70" t="n">
        <v>114.171738108639</v>
      </c>
    </row>
    <row r="59" customFormat="false" ht="15" hidden="false" customHeight="false" outlineLevel="0" collapsed="false">
      <c r="A59" s="68" t="n">
        <v>1999</v>
      </c>
      <c r="B59" s="69" t="n">
        <v>133.8</v>
      </c>
      <c r="C59" s="69" t="n">
        <v>473.075623452825</v>
      </c>
      <c r="D59" s="69" t="n">
        <v>676.126025231367</v>
      </c>
      <c r="E59" s="68"/>
      <c r="F59" s="68"/>
      <c r="G59" s="68" t="n">
        <v>1999</v>
      </c>
      <c r="H59" s="69" t="n">
        <v>36.6</v>
      </c>
      <c r="I59" s="69" t="n">
        <v>139.958929198141</v>
      </c>
      <c r="J59" s="69" t="n">
        <v>206.885023055861</v>
      </c>
      <c r="K59" s="68"/>
      <c r="L59" s="68"/>
      <c r="M59" s="68" t="n">
        <v>1999</v>
      </c>
      <c r="N59" s="69" t="n">
        <v>607</v>
      </c>
      <c r="O59" s="69" t="n">
        <v>96.8124856919939</v>
      </c>
      <c r="P59" s="69" t="n">
        <v>183.98178397857</v>
      </c>
      <c r="Q59" s="68"/>
      <c r="R59" s="68"/>
      <c r="S59" s="68" t="n">
        <v>1999</v>
      </c>
      <c r="T59" s="70" t="n">
        <v>42.7</v>
      </c>
      <c r="U59" s="70" t="n">
        <v>64.2584019839536</v>
      </c>
      <c r="V59" s="70" t="n">
        <v>112.296785596104</v>
      </c>
    </row>
    <row r="60" customFormat="false" ht="15" hidden="false" customHeight="false" outlineLevel="0" collapsed="false">
      <c r="A60" s="68" t="n">
        <v>2000</v>
      </c>
      <c r="B60" s="69" t="n">
        <v>136.9</v>
      </c>
      <c r="C60" s="69" t="n">
        <v>520.081643915533</v>
      </c>
      <c r="D60" s="69" t="n">
        <v>712.774844217497</v>
      </c>
      <c r="E60" s="68"/>
      <c r="F60" s="68"/>
      <c r="G60" s="68" t="n">
        <v>2000</v>
      </c>
      <c r="H60" s="69" t="n">
        <v>38.1</v>
      </c>
      <c r="I60" s="69" t="n">
        <v>150.746241094095</v>
      </c>
      <c r="J60" s="69" t="n">
        <v>211.64166759273</v>
      </c>
      <c r="K60" s="68"/>
      <c r="L60" s="68"/>
      <c r="M60" s="68" t="n">
        <v>2000</v>
      </c>
      <c r="N60" s="69" t="n">
        <v>632</v>
      </c>
      <c r="O60" s="69" t="n">
        <v>103.944803571454</v>
      </c>
      <c r="P60" s="69" t="n">
        <v>184.929322504838</v>
      </c>
      <c r="Q60" s="68"/>
      <c r="R60" s="68"/>
      <c r="S60" s="68" t="n">
        <v>2000</v>
      </c>
      <c r="T60" s="70" t="n">
        <v>42</v>
      </c>
      <c r="U60" s="70" t="n">
        <v>67.0696096288394</v>
      </c>
      <c r="V60" s="70" t="n">
        <v>116.302561529133</v>
      </c>
    </row>
    <row r="61" customFormat="false" ht="15" hidden="false" customHeight="false" outlineLevel="0" collapsed="false">
      <c r="A61" s="68" t="n">
        <v>2001</v>
      </c>
      <c r="B61" s="69" t="n">
        <v>138.2</v>
      </c>
      <c r="C61" s="69" t="n">
        <v>515.760697288212</v>
      </c>
      <c r="D61" s="69" t="n">
        <v>663.299514777723</v>
      </c>
      <c r="E61" s="68"/>
      <c r="F61" s="68"/>
      <c r="G61" s="68" t="n">
        <v>2001</v>
      </c>
      <c r="H61" s="69" t="n">
        <v>39.6</v>
      </c>
      <c r="I61" s="69" t="n">
        <v>151.867996789171</v>
      </c>
      <c r="J61" s="69" t="n">
        <v>200.196085049502</v>
      </c>
      <c r="K61" s="68"/>
      <c r="L61" s="68"/>
      <c r="M61" s="68" t="n">
        <v>2001</v>
      </c>
      <c r="N61" s="69" t="n">
        <v>705</v>
      </c>
      <c r="O61" s="69" t="n">
        <v>102.073842675253</v>
      </c>
      <c r="P61" s="69" t="n">
        <v>168.776153217576</v>
      </c>
      <c r="Q61" s="68"/>
      <c r="R61" s="68"/>
      <c r="S61" s="68" t="n">
        <v>2001</v>
      </c>
      <c r="T61" s="70" t="n">
        <v>40.2</v>
      </c>
      <c r="U61" s="70" t="n">
        <v>65.1674017739519</v>
      </c>
      <c r="V61" s="70" t="n">
        <v>106.22220304103</v>
      </c>
    </row>
    <row r="62" customFormat="false" ht="15" hidden="false" customHeight="false" outlineLevel="0" collapsed="false">
      <c r="A62" s="68" t="n">
        <v>2002</v>
      </c>
      <c r="B62" s="69" t="n">
        <v>129.3</v>
      </c>
      <c r="C62" s="69" t="n">
        <v>530.654913527264</v>
      </c>
      <c r="D62" s="69" t="n">
        <v>679.365448089768</v>
      </c>
      <c r="E62" s="68"/>
      <c r="F62" s="68"/>
      <c r="G62" s="68" t="n">
        <v>2002</v>
      </c>
      <c r="H62" s="69" t="n">
        <v>38</v>
      </c>
      <c r="I62" s="69" t="n">
        <v>159.012564206543</v>
      </c>
      <c r="J62" s="69" t="n">
        <v>210.741552708303</v>
      </c>
      <c r="K62" s="68"/>
      <c r="L62" s="68"/>
      <c r="M62" s="68" t="n">
        <v>2002</v>
      </c>
      <c r="N62" s="69" t="n">
        <v>665</v>
      </c>
      <c r="O62" s="69" t="n">
        <v>104.26438328614</v>
      </c>
      <c r="P62" s="69" t="n">
        <v>172.610482369695</v>
      </c>
      <c r="Q62" s="68"/>
      <c r="R62" s="68"/>
      <c r="S62" s="68" t="n">
        <v>2002</v>
      </c>
      <c r="T62" s="70" t="n">
        <v>35</v>
      </c>
      <c r="U62" s="70" t="n">
        <v>67.4264241412329</v>
      </c>
      <c r="V62" s="70" t="n">
        <v>112.38540214102</v>
      </c>
    </row>
    <row r="63" customFormat="false" ht="15" hidden="false" customHeight="false" outlineLevel="0" collapsed="false">
      <c r="A63" s="68" t="n">
        <v>2003</v>
      </c>
      <c r="B63" s="69" t="n">
        <v>142.2</v>
      </c>
      <c r="C63" s="69" t="n">
        <v>532.213864751022</v>
      </c>
      <c r="D63" s="69" t="n">
        <v>689.534791427861</v>
      </c>
      <c r="E63" s="68"/>
      <c r="F63" s="68"/>
      <c r="G63" s="68" t="n">
        <v>2003</v>
      </c>
      <c r="H63" s="69" t="n">
        <v>33.9</v>
      </c>
      <c r="I63" s="69" t="n">
        <v>160.201241780245</v>
      </c>
      <c r="J63" s="69" t="n">
        <v>214.215406314318</v>
      </c>
      <c r="K63" s="68"/>
      <c r="L63" s="68"/>
      <c r="M63" s="68" t="n">
        <v>2003</v>
      </c>
      <c r="N63" s="69" t="n">
        <v>730</v>
      </c>
      <c r="O63" s="69" t="n">
        <v>105.288647855944</v>
      </c>
      <c r="P63" s="69" t="n">
        <v>175.31345571616</v>
      </c>
      <c r="Q63" s="68"/>
      <c r="R63" s="68"/>
      <c r="S63" s="68" t="n">
        <v>2003</v>
      </c>
      <c r="T63" s="70" t="n">
        <v>44.2</v>
      </c>
      <c r="U63" s="70" t="n">
        <v>69.6755934923592</v>
      </c>
      <c r="V63" s="70" t="n">
        <v>119.895264227494</v>
      </c>
    </row>
    <row r="64" customFormat="false" ht="15" hidden="false" customHeight="false" outlineLevel="0" collapsed="false">
      <c r="A64" s="68" t="n">
        <v>2004</v>
      </c>
      <c r="B64" s="69" t="n">
        <v>160.3</v>
      </c>
      <c r="C64" s="69" t="n">
        <v>567.469685231618</v>
      </c>
      <c r="D64" s="69" t="n">
        <v>745.299467383736</v>
      </c>
      <c r="E64" s="68"/>
      <c r="F64" s="68"/>
      <c r="G64" s="68" t="n">
        <v>2004</v>
      </c>
      <c r="H64" s="69" t="n">
        <v>42.2</v>
      </c>
      <c r="I64" s="69" t="n">
        <v>172.253415015588</v>
      </c>
      <c r="J64" s="69" t="n">
        <v>236.368889577499</v>
      </c>
      <c r="K64" s="68"/>
      <c r="L64" s="68"/>
      <c r="M64" s="68" t="n">
        <v>2004</v>
      </c>
      <c r="N64" s="69" t="n">
        <v>855</v>
      </c>
      <c r="O64" s="69" t="n">
        <v>111.514300340382</v>
      </c>
      <c r="P64" s="69" t="n">
        <v>185.28183766934</v>
      </c>
      <c r="Q64" s="68"/>
      <c r="R64" s="68"/>
      <c r="S64" s="68" t="n">
        <v>2004</v>
      </c>
      <c r="T64" s="70" t="n">
        <v>43.2</v>
      </c>
      <c r="U64" s="70" t="n">
        <v>71.3536760592143</v>
      </c>
      <c r="V64" s="70" t="n">
        <v>125.265586620893</v>
      </c>
    </row>
    <row r="65" customFormat="false" ht="15" hidden="false" customHeight="false" outlineLevel="0" collapsed="false">
      <c r="A65" s="68" t="n">
        <v>2005</v>
      </c>
      <c r="B65" s="69" t="n">
        <v>147.9</v>
      </c>
      <c r="C65" s="69" t="n">
        <v>575.578418216119</v>
      </c>
      <c r="D65" s="69" t="n">
        <v>761.469897590546</v>
      </c>
      <c r="E65" s="68"/>
      <c r="F65" s="68"/>
      <c r="G65" s="68" t="n">
        <v>2005</v>
      </c>
      <c r="H65" s="69" t="n">
        <v>43.1</v>
      </c>
      <c r="I65" s="69" t="n">
        <v>175.599356451869</v>
      </c>
      <c r="J65" s="69" t="n">
        <v>243.997424417713</v>
      </c>
      <c r="K65" s="68"/>
      <c r="L65" s="68"/>
      <c r="M65" s="68" t="n">
        <v>2005</v>
      </c>
      <c r="N65" s="69" t="n">
        <v>831</v>
      </c>
      <c r="O65" s="69" t="n">
        <v>113.213079306258</v>
      </c>
      <c r="P65" s="69" t="n">
        <v>185.711891082836</v>
      </c>
      <c r="Q65" s="68"/>
      <c r="R65" s="68"/>
      <c r="S65" s="68" t="n">
        <v>2005</v>
      </c>
      <c r="T65" s="70" t="n">
        <v>42</v>
      </c>
      <c r="U65" s="70" t="n">
        <v>71.8831463185738</v>
      </c>
      <c r="V65" s="70" t="n">
        <v>125.582230746904</v>
      </c>
    </row>
    <row r="66" customFormat="false" ht="15" hidden="false" customHeight="false" outlineLevel="0" collapsed="false">
      <c r="A66" s="68" t="n">
        <v>2006</v>
      </c>
      <c r="B66" s="69" t="n">
        <v>149.1</v>
      </c>
      <c r="C66" s="69" t="n">
        <v>658.839528555513</v>
      </c>
      <c r="D66" s="69" t="n">
        <v>880.902882612298</v>
      </c>
      <c r="E66" s="68"/>
      <c r="F66" s="68"/>
      <c r="G66" s="68" t="n">
        <v>2006</v>
      </c>
      <c r="H66" s="69" t="n">
        <v>42.9</v>
      </c>
      <c r="I66" s="69" t="n">
        <v>194.290231773323</v>
      </c>
      <c r="J66" s="69" t="n">
        <v>280.175500988158</v>
      </c>
      <c r="K66" s="68"/>
      <c r="L66" s="68"/>
      <c r="M66" s="68" t="n">
        <v>2006</v>
      </c>
      <c r="N66" s="69" t="n">
        <v>814</v>
      </c>
      <c r="O66" s="69" t="n">
        <v>127.260782997273</v>
      </c>
      <c r="P66" s="69" t="n">
        <v>188.688221374258</v>
      </c>
      <c r="Q66" s="68"/>
      <c r="R66" s="68"/>
      <c r="S66" s="68" t="n">
        <v>2006</v>
      </c>
      <c r="T66" s="70" t="n">
        <v>38.6</v>
      </c>
      <c r="U66" s="70" t="n">
        <v>77.2332637706272</v>
      </c>
      <c r="V66" s="70" t="n">
        <v>137.798074174435</v>
      </c>
    </row>
    <row r="67" customFormat="false" ht="15" hidden="false" customHeight="false" outlineLevel="0" collapsed="false">
      <c r="A67" s="68" t="n">
        <v>2007</v>
      </c>
      <c r="B67" s="69" t="n">
        <v>150.7</v>
      </c>
      <c r="C67" s="69" t="n">
        <v>727.873083552502</v>
      </c>
      <c r="D67" s="69" t="n">
        <v>925.921407851604</v>
      </c>
      <c r="E67" s="68"/>
      <c r="F67" s="68"/>
      <c r="G67" s="68" t="n">
        <v>2007</v>
      </c>
      <c r="H67" s="69" t="n">
        <v>41.7</v>
      </c>
      <c r="I67" s="69" t="n">
        <v>214.6032972926</v>
      </c>
      <c r="J67" s="69" t="n">
        <v>294.591805824057</v>
      </c>
      <c r="K67" s="68"/>
      <c r="L67" s="68"/>
      <c r="M67" s="68" t="n">
        <v>2007</v>
      </c>
      <c r="N67" s="69" t="n">
        <v>879</v>
      </c>
      <c r="O67" s="69" t="n">
        <v>139.27573514361</v>
      </c>
      <c r="P67" s="69" t="n">
        <v>210.622909301064</v>
      </c>
      <c r="Q67" s="68"/>
      <c r="R67" s="68"/>
      <c r="S67" s="68" t="n">
        <v>2007</v>
      </c>
      <c r="T67" s="70" t="n">
        <v>40.2</v>
      </c>
      <c r="U67" s="70" t="n">
        <v>77.4498749564896</v>
      </c>
      <c r="V67" s="70" t="n">
        <v>134.501284783441</v>
      </c>
    </row>
    <row r="68" customFormat="false" ht="15" hidden="false" customHeight="false" outlineLevel="0" collapsed="false">
      <c r="A68" s="68" t="n">
        <v>2008</v>
      </c>
      <c r="B68" s="69" t="n">
        <v>153.3</v>
      </c>
      <c r="C68" s="69" t="n">
        <v>884.072729213494</v>
      </c>
      <c r="D68" s="69" t="n">
        <v>1106.47671769746</v>
      </c>
      <c r="E68" s="68"/>
      <c r="F68" s="68"/>
      <c r="G68" s="68" t="n">
        <v>2008</v>
      </c>
      <c r="H68" s="69" t="n">
        <v>39.7</v>
      </c>
      <c r="I68" s="69" t="n">
        <v>253.944085451239</v>
      </c>
      <c r="J68" s="69" t="n">
        <v>342.498791610294</v>
      </c>
      <c r="K68" s="68"/>
      <c r="L68" s="68"/>
      <c r="M68" s="68" t="n">
        <v>2008</v>
      </c>
      <c r="N68" s="69" t="n">
        <v>813</v>
      </c>
      <c r="O68" s="69" t="n">
        <v>165.968567858256</v>
      </c>
      <c r="P68" s="69" t="n">
        <v>244.790156902507</v>
      </c>
      <c r="Q68" s="68"/>
      <c r="R68" s="68"/>
      <c r="S68" s="68" t="n">
        <v>2008</v>
      </c>
      <c r="T68" s="70" t="n">
        <v>44.8</v>
      </c>
      <c r="U68" s="70" t="n">
        <v>84.7582078848752</v>
      </c>
      <c r="V68" s="70" t="n">
        <v>142.260194950154</v>
      </c>
    </row>
    <row r="69" customFormat="false" ht="15" hidden="false" customHeight="false" outlineLevel="0" collapsed="false">
      <c r="A69" s="68" t="n">
        <v>2009</v>
      </c>
      <c r="B69" s="69" t="n">
        <v>164.4</v>
      </c>
      <c r="C69" s="69" t="n">
        <v>962.830029536437</v>
      </c>
      <c r="D69" s="69" t="n">
        <v>1209.63941878638</v>
      </c>
      <c r="E69" s="68"/>
      <c r="F69" s="68"/>
      <c r="G69" s="68" t="n">
        <v>2009</v>
      </c>
      <c r="H69" s="69" t="n">
        <v>44</v>
      </c>
      <c r="I69" s="69" t="n">
        <v>273.757649848745</v>
      </c>
      <c r="J69" s="69" t="n">
        <v>371.595498419915</v>
      </c>
      <c r="K69" s="68"/>
      <c r="L69" s="68"/>
      <c r="M69" s="68" t="n">
        <v>2009</v>
      </c>
      <c r="N69" s="69" t="n">
        <v>776</v>
      </c>
      <c r="O69" s="69" t="n">
        <v>177.264396497501</v>
      </c>
      <c r="P69" s="69" t="n">
        <v>256.819809313268</v>
      </c>
      <c r="Q69" s="68"/>
      <c r="R69" s="68"/>
      <c r="S69" s="68" t="n">
        <v>2009</v>
      </c>
      <c r="T69" s="70" t="n">
        <v>44.3</v>
      </c>
      <c r="U69" s="70" t="n">
        <v>92.219772807429</v>
      </c>
      <c r="V69" s="70" t="n">
        <v>153.20936244106</v>
      </c>
    </row>
    <row r="70" customFormat="false" ht="15" hidden="false" customHeight="false" outlineLevel="0" collapsed="false">
      <c r="A70" s="68" t="n">
        <v>2010</v>
      </c>
      <c r="B70" s="69" t="n">
        <v>152.6</v>
      </c>
      <c r="C70" s="69" t="n">
        <v>1084.84265562167</v>
      </c>
      <c r="D70" s="69" t="s">
        <v>205</v>
      </c>
      <c r="E70" s="68"/>
      <c r="F70" s="68"/>
      <c r="G70" s="68" t="n">
        <v>2010</v>
      </c>
      <c r="H70" s="69" t="n">
        <v>43.5</v>
      </c>
      <c r="I70" s="69" t="n">
        <v>298.891948269201</v>
      </c>
      <c r="J70" s="69" t="s">
        <v>205</v>
      </c>
      <c r="K70" s="68"/>
      <c r="L70" s="68"/>
      <c r="M70" s="68" t="n">
        <v>2010</v>
      </c>
      <c r="N70" s="69" t="n">
        <v>812</v>
      </c>
      <c r="O70" s="69" t="n">
        <v>200.815351830286</v>
      </c>
      <c r="P70" s="69" t="s">
        <v>205</v>
      </c>
      <c r="Q70" s="68"/>
      <c r="R70" s="68"/>
      <c r="S70" s="68" t="n">
        <v>2010</v>
      </c>
      <c r="T70" s="70" t="n">
        <v>46.1</v>
      </c>
      <c r="U70" s="70" t="n">
        <v>97.4406144480841</v>
      </c>
      <c r="V70" s="70" t="s">
        <v>205</v>
      </c>
    </row>
    <row r="71" customFormat="false" ht="15" hidden="false" customHeight="false" outlineLevel="0" collapsed="false">
      <c r="A71" s="68" t="n">
        <v>2011</v>
      </c>
      <c r="B71" s="69" t="n">
        <v>146.8</v>
      </c>
      <c r="C71" s="69" t="n">
        <v>1234.76033435961</v>
      </c>
      <c r="D71" s="69" t="s">
        <v>205</v>
      </c>
      <c r="E71" s="68"/>
      <c r="F71" s="68"/>
      <c r="G71" s="68" t="n">
        <v>2011</v>
      </c>
      <c r="H71" s="69" t="n">
        <v>42</v>
      </c>
      <c r="I71" s="69" t="n">
        <v>331.058176326307</v>
      </c>
      <c r="J71" s="69" t="s">
        <v>205</v>
      </c>
      <c r="K71" s="68"/>
      <c r="L71" s="68"/>
      <c r="M71" s="68" t="n">
        <v>2011</v>
      </c>
      <c r="N71" s="69" t="n">
        <v>790</v>
      </c>
      <c r="O71" s="69" t="n">
        <v>225.681068614059</v>
      </c>
      <c r="P71" s="69" t="s">
        <v>205</v>
      </c>
      <c r="Q71" s="68"/>
      <c r="R71" s="68"/>
      <c r="S71" s="68" t="n">
        <v>2011</v>
      </c>
      <c r="T71" s="70" t="n">
        <v>43.6</v>
      </c>
      <c r="U71" s="70" t="n">
        <v>107.26009798454</v>
      </c>
      <c r="V71" s="70" t="s">
        <v>205</v>
      </c>
    </row>
    <row r="72" customFormat="false" ht="15" hidden="false" customHeight="false" outlineLevel="0" collapsed="false">
      <c r="A72" s="68" t="n">
        <v>2012</v>
      </c>
      <c r="B72" s="69" t="n">
        <v>123.1</v>
      </c>
      <c r="C72" s="69" t="n">
        <v>1308.34823359874</v>
      </c>
      <c r="D72" s="69" t="s">
        <v>205</v>
      </c>
      <c r="E72" s="68"/>
      <c r="F72" s="68"/>
      <c r="G72" s="68" t="n">
        <v>2012</v>
      </c>
      <c r="H72" s="69" t="n">
        <v>40</v>
      </c>
      <c r="I72" s="69" t="n">
        <v>350.056337263698</v>
      </c>
      <c r="J72" s="69" t="s">
        <v>205</v>
      </c>
      <c r="K72" s="68"/>
      <c r="L72" s="68"/>
      <c r="M72" s="68" t="n">
        <v>2012</v>
      </c>
      <c r="N72" s="69" t="n">
        <v>892</v>
      </c>
      <c r="O72" s="69" t="n">
        <v>235.844640420763</v>
      </c>
      <c r="P72" s="69" t="s">
        <v>205</v>
      </c>
      <c r="Q72" s="68"/>
      <c r="R72" s="68"/>
      <c r="S72" s="68" t="n">
        <v>2012</v>
      </c>
      <c r="T72" s="70" t="n">
        <v>46.2</v>
      </c>
      <c r="U72" s="70" t="n">
        <v>113.18999686651</v>
      </c>
      <c r="V72" s="70" t="s">
        <v>205</v>
      </c>
    </row>
    <row r="73" customFormat="false" ht="15" hidden="false" customHeight="false" outlineLevel="0" collapsed="false">
      <c r="A73" s="68" t="n">
        <v>2013</v>
      </c>
      <c r="B73" s="69" t="n">
        <v>158.1</v>
      </c>
      <c r="C73" s="69" t="n">
        <v>1342.6981418622</v>
      </c>
      <c r="D73" s="69" t="s">
        <v>205</v>
      </c>
      <c r="E73" s="68"/>
      <c r="F73" s="68"/>
      <c r="G73" s="68" t="n">
        <v>2013</v>
      </c>
      <c r="H73" s="69" t="n">
        <v>44</v>
      </c>
      <c r="I73" s="69" t="n">
        <v>355.342517406927</v>
      </c>
      <c r="J73" s="69" t="s">
        <v>205</v>
      </c>
      <c r="K73" s="68"/>
      <c r="L73" s="68"/>
      <c r="M73" s="68" t="n">
        <v>2013</v>
      </c>
      <c r="N73" s="69" t="n">
        <v>821</v>
      </c>
      <c r="O73" s="69" t="n">
        <v>241.095339724642</v>
      </c>
      <c r="P73" s="69" t="s">
        <v>205</v>
      </c>
      <c r="Q73" s="68"/>
      <c r="R73" s="68"/>
      <c r="S73" s="68" t="n">
        <v>2013</v>
      </c>
      <c r="T73" s="70" t="n">
        <v>47.1</v>
      </c>
      <c r="U73" s="70" t="n">
        <v>113.934255274181</v>
      </c>
      <c r="V73" s="70" t="s">
        <v>205</v>
      </c>
    </row>
    <row r="74" customFormat="false" ht="15" hidden="false" customHeight="false" outlineLevel="0" collapsed="false">
      <c r="A74" s="68" t="n">
        <v>2014</v>
      </c>
      <c r="B74" s="69" t="n">
        <v>171</v>
      </c>
      <c r="C74" s="69" t="n">
        <v>1418.92217762312</v>
      </c>
      <c r="D74" s="69" t="s">
        <v>205</v>
      </c>
      <c r="E74" s="68"/>
      <c r="F74" s="68"/>
      <c r="G74" s="68" t="n">
        <v>2014</v>
      </c>
      <c r="H74" s="69" t="n">
        <v>47.5</v>
      </c>
      <c r="I74" s="69" t="n">
        <v>374.472199869549</v>
      </c>
      <c r="J74" s="69" t="s">
        <v>205</v>
      </c>
      <c r="K74" s="68"/>
      <c r="L74" s="68"/>
      <c r="M74" s="68" t="n">
        <v>2014</v>
      </c>
      <c r="N74" s="69" t="n">
        <v>838</v>
      </c>
      <c r="O74" s="69" t="n">
        <v>254.744528431934</v>
      </c>
      <c r="P74" s="69" t="s">
        <v>205</v>
      </c>
      <c r="Q74" s="68"/>
      <c r="R74" s="68"/>
      <c r="S74" s="68" t="n">
        <v>2014</v>
      </c>
      <c r="T74" s="70" t="n">
        <v>43.7</v>
      </c>
      <c r="U74" s="70" t="n">
        <v>122.761475343262</v>
      </c>
      <c r="V74" s="70" t="s">
        <v>205</v>
      </c>
    </row>
    <row r="75" customFormat="false" ht="15" hidden="false" customHeight="false" outlineLevel="0" collapsed="false">
      <c r="A75" s="68" t="n">
        <v>2015</v>
      </c>
      <c r="B75" s="69" t="n">
        <v>168.4</v>
      </c>
      <c r="C75" s="69" t="s">
        <v>205</v>
      </c>
      <c r="D75" s="69" t="s">
        <v>205</v>
      </c>
      <c r="E75" s="68"/>
      <c r="F75" s="68"/>
      <c r="G75" s="68" t="n">
        <v>2015</v>
      </c>
      <c r="H75" s="69" t="n">
        <v>48</v>
      </c>
      <c r="I75" s="69" t="s">
        <v>205</v>
      </c>
      <c r="J75" s="69" t="s">
        <v>205</v>
      </c>
      <c r="K75" s="68"/>
      <c r="L75" s="68"/>
      <c r="M75" s="68" t="n">
        <v>2015</v>
      </c>
      <c r="N75" s="69" t="n">
        <v>766</v>
      </c>
      <c r="O75" s="69" t="s">
        <v>205</v>
      </c>
      <c r="P75" s="69" t="s">
        <v>205</v>
      </c>
      <c r="Q75" s="68"/>
      <c r="R75" s="68"/>
      <c r="S75" s="68" t="n">
        <v>2015</v>
      </c>
      <c r="T75" s="70" t="n">
        <v>43.6</v>
      </c>
      <c r="U75" s="70" t="s">
        <v>205</v>
      </c>
      <c r="V75" s="70" t="s">
        <v>205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2016-07-10T16:01:15Z</dcterms:created>
  <dc:creator>Microsoft Office User</dc:creator>
  <dc:description/>
  <dc:language>en-US</dc:language>
  <cp:lastModifiedBy/>
  <dcterms:modified xsi:type="dcterms:W3CDTF">2016-11-11T10:13:26Z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