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4F2D471A-21E8-4004-A0C4-84AD0D69C840}" xr6:coauthVersionLast="45" xr6:coauthVersionMax="45" xr10:uidLastSave="{00000000-0000-0000-0000-000000000000}"/>
  <bookViews>
    <workbookView xWindow="33030" yWindow="0" windowWidth="19980" windowHeight="13590" tabRatio="817" xr2:uid="{00000000-000D-0000-FFFF-FFFF00000000}"/>
  </bookViews>
  <sheets>
    <sheet name="TEST" sheetId="19" r:id="rId1"/>
    <sheet name="COBIT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8" i="19" l="1"/>
  <c r="T28" i="19"/>
  <c r="S28" i="19"/>
  <c r="N28" i="19"/>
  <c r="P28" i="19" s="1"/>
  <c r="T26" i="19"/>
  <c r="S26" i="19"/>
  <c r="N26" i="19"/>
  <c r="P26" i="19" s="1"/>
  <c r="V25" i="19"/>
  <c r="T25" i="19"/>
  <c r="S25" i="19"/>
  <c r="N25" i="19"/>
  <c r="P25" i="19" s="1"/>
  <c r="V24" i="19"/>
  <c r="T24" i="19"/>
  <c r="S24" i="19"/>
  <c r="N24" i="19"/>
  <c r="P24" i="19" s="1"/>
  <c r="T22" i="19"/>
  <c r="S22" i="19"/>
  <c r="N22" i="19"/>
  <c r="P22" i="19" s="1"/>
  <c r="T21" i="19"/>
  <c r="S21" i="19"/>
  <c r="N21" i="19"/>
  <c r="P21" i="19" s="1"/>
  <c r="U19" i="19"/>
  <c r="N19" i="19"/>
  <c r="P19" i="19" s="1"/>
  <c r="U18" i="19"/>
  <c r="N18" i="19"/>
  <c r="P18" i="19" s="1"/>
  <c r="V16" i="19"/>
  <c r="T16" i="19"/>
  <c r="S16" i="19"/>
  <c r="N16" i="19"/>
  <c r="P16" i="19" s="1"/>
  <c r="V15" i="19"/>
  <c r="T15" i="19"/>
  <c r="S15" i="19"/>
  <c r="N15" i="19"/>
  <c r="P15" i="19" s="1"/>
  <c r="T13" i="19"/>
  <c r="S13" i="19"/>
  <c r="N13" i="19"/>
  <c r="P13" i="19" s="1"/>
  <c r="T12" i="19"/>
  <c r="S12" i="19"/>
  <c r="U12" i="19" s="1"/>
  <c r="N12" i="19"/>
  <c r="P12" i="19" s="1"/>
  <c r="T11" i="19"/>
  <c r="S11" i="19"/>
  <c r="U11" i="19" s="1"/>
  <c r="N11" i="19"/>
  <c r="P11" i="19" s="1"/>
  <c r="U9" i="19"/>
  <c r="T9" i="19"/>
  <c r="S9" i="19"/>
  <c r="N9" i="19"/>
  <c r="P9" i="19" s="1"/>
  <c r="V8" i="19"/>
  <c r="T8" i="19"/>
  <c r="S8" i="19"/>
  <c r="U8" i="19" s="1"/>
  <c r="N8" i="19"/>
  <c r="P8" i="19" s="1"/>
  <c r="V7" i="19"/>
  <c r="T7" i="19"/>
  <c r="S7" i="19"/>
  <c r="N7" i="19"/>
  <c r="P7" i="19" s="1"/>
  <c r="T6" i="19"/>
  <c r="S6" i="19"/>
  <c r="U6" i="19" s="1"/>
  <c r="N6" i="19"/>
  <c r="P6" i="19" s="1"/>
  <c r="T5" i="19"/>
  <c r="S5" i="19"/>
  <c r="U5" i="19" s="1"/>
  <c r="P5" i="19"/>
  <c r="N5" i="19"/>
  <c r="V4" i="19"/>
  <c r="T4" i="19"/>
  <c r="S4" i="19"/>
  <c r="N4" i="19"/>
  <c r="P4" i="19" s="1"/>
  <c r="T3" i="19"/>
  <c r="S3" i="19"/>
  <c r="U3" i="19" s="1"/>
  <c r="N3" i="19"/>
  <c r="P3" i="19" s="1"/>
  <c r="V30" i="19" l="1"/>
  <c r="U28" i="19"/>
  <c r="U22" i="19"/>
  <c r="U26" i="19"/>
  <c r="U13" i="19"/>
  <c r="U16" i="19"/>
  <c r="U21" i="19"/>
  <c r="U7" i="19"/>
  <c r="U15" i="19"/>
  <c r="U24" i="19"/>
  <c r="U25" i="19"/>
  <c r="U4" i="19"/>
</calcChain>
</file>

<file path=xl/sharedStrings.xml><?xml version="1.0" encoding="utf-8"?>
<sst xmlns="http://schemas.openxmlformats.org/spreadsheetml/2006/main" count="279" uniqueCount="155">
  <si>
    <t>No one is accountable for information security</t>
  </si>
  <si>
    <t>Connectivity is a problem</t>
  </si>
  <si>
    <t>There are too many ERPs and they are expensive to maintain</t>
  </si>
  <si>
    <t>IT audit issues are piling up</t>
  </si>
  <si>
    <t>Manufacturing and shop floor systems are old and causing the production line to stop</t>
  </si>
  <si>
    <t>PCs and operating systems are old and unsupported</t>
  </si>
  <si>
    <t>No one understands how the applications and business systems work except the vendor</t>
  </si>
  <si>
    <t>Subcategory</t>
  </si>
  <si>
    <t>Hire information security manager and 1 security analyst for each business unit</t>
  </si>
  <si>
    <t>Enterprise AV license</t>
  </si>
  <si>
    <t>Firewall</t>
  </si>
  <si>
    <t>Advanced infosec annual training for security team</t>
  </si>
  <si>
    <t>Hire annual external consultant for penetration testing and assessment</t>
  </si>
  <si>
    <t>Actions</t>
  </si>
  <si>
    <t>Risk Score</t>
  </si>
  <si>
    <t>Firewall and service contract</t>
  </si>
  <si>
    <t>50000 (600 staff), classroom or web-based</t>
  </si>
  <si>
    <t>Determine business internet speed, increase service plan for bandwidth increase or additional (redundant) data line</t>
  </si>
  <si>
    <t>Configure firewall and network equipment to limit unnecessary data on network</t>
  </si>
  <si>
    <t>Consolidate and streamline business processes to meet current business needs</t>
  </si>
  <si>
    <r>
      <t>Invest in a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party ERP suite</t>
    </r>
  </si>
  <si>
    <t>Hire an internal IT auditor to work in partnership with corporate and business units</t>
  </si>
  <si>
    <t>Establish monthly, quarterly, annual audits to comply with existing and future business goals</t>
  </si>
  <si>
    <t>External IT audit consultant, annually</t>
  </si>
  <si>
    <t>Replace shop floor systems and establish redundant support systems, i.e. RAID and UPS</t>
  </si>
  <si>
    <t>Develop corporate-wide phasing plan to standardize and replace old systems and applications</t>
  </si>
  <si>
    <t>Quarterly/Annual training IT training budget</t>
  </si>
  <si>
    <t>Category (T, E, O, P)</t>
  </si>
  <si>
    <t>500 p/month x 2 = 12000</t>
  </si>
  <si>
    <t>https://www.business.org/services/internet/att-business-internet-review/</t>
  </si>
  <si>
    <t>https://www.myworkdrive.com/vpn-alternative/software-costs/</t>
  </si>
  <si>
    <t>https://www.bitdefender.com/business/smb-products/business-security.html</t>
  </si>
  <si>
    <t>50000  (4 staff)</t>
  </si>
  <si>
    <t>Basic infosec training for company, quarterly/annual (4 hours p/staff)</t>
  </si>
  <si>
    <t>Additional software (i.e. VPN, network security tools, manuals)</t>
  </si>
  <si>
    <t>https://www.fortinet.com/content/dam/fortinet/assets/partners/state-contracts/fortinet-americas-price-list-effective-dec-3-2019.pdf</t>
  </si>
  <si>
    <t>O</t>
  </si>
  <si>
    <t>F</t>
  </si>
  <si>
    <t>E</t>
  </si>
  <si>
    <t>N</t>
  </si>
  <si>
    <t>T</t>
  </si>
  <si>
    <t>H</t>
  </si>
  <si>
    <t>M</t>
  </si>
  <si>
    <t>PM</t>
  </si>
  <si>
    <t>Risk Category classifications</t>
  </si>
  <si>
    <t>Impact Occurrence Timeframe
(N, M, F)</t>
  </si>
  <si>
    <t>Probability vs Impact</t>
  </si>
  <si>
    <t>TEOP</t>
  </si>
  <si>
    <t xml:space="preserve">Technical, External, Operational, Project Management </t>
  </si>
  <si>
    <t>High, High Medium, Medium, Medium Low, Low</t>
  </si>
  <si>
    <t>H, HM, M, ML,L</t>
  </si>
  <si>
    <t>HML</t>
  </si>
  <si>
    <t>High, Medium, Low</t>
  </si>
  <si>
    <t>N, M, F</t>
  </si>
  <si>
    <t>Near, Medium, Far</t>
  </si>
  <si>
    <t>750000/5</t>
  </si>
  <si>
    <t>https://www.dell.com/en-us/work/shop/desktops-all-in-one-pcs/sc/desktops-n-workstations</t>
  </si>
  <si>
    <t>Applications and specialized software, updated</t>
  </si>
  <si>
    <t>https://www.microsoft.com/en-us/microsoft-365/business/compare-more-office-365-for-business-plans</t>
  </si>
  <si>
    <t>https://www.bizjournals.com/phoenix/news/2018/11/15/outdated-technology-costs-businesses-more-than-it.html</t>
  </si>
  <si>
    <t>https://www.hrdive.com/news/outdated-tech-may-be-costing-us-employers-18t-thanks-to-repetitive-tasks/414819/</t>
  </si>
  <si>
    <t>Salary</t>
  </si>
  <si>
    <t>https://resources.infosecinstitute.com/risk-management-concepts/</t>
  </si>
  <si>
    <t>ALE Before</t>
  </si>
  <si>
    <t>Time for training</t>
  </si>
  <si>
    <t>Salary network personnel</t>
  </si>
  <si>
    <t>IT security analysts responsible for monthly audits of essential systems, and weekly audits of critical systems</t>
  </si>
  <si>
    <t>Production system downtime</t>
  </si>
  <si>
    <t>$30 avg wage</t>
  </si>
  <si>
    <t>Int emp salary $150000</t>
  </si>
  <si>
    <t>Annual Cost to mitigate risk (Countermeasure cost)</t>
  </si>
  <si>
    <t>Annualized Loss Expectancy Monetary Value (Cost Benefit or Countermeasure value)</t>
  </si>
  <si>
    <t>Annualized Loss Expectancy Business Value Measurement</t>
  </si>
  <si>
    <t>Network staff combined annual salary</t>
  </si>
  <si>
    <t>ALE After (tolerance)</t>
  </si>
  <si>
    <t>Manager and staff salary</t>
  </si>
  <si>
    <t>CM=(150000/365 * 5) * 4 personnel</t>
  </si>
  <si>
    <t xml:space="preserve">CM=highest value ALE-50000 (cost of cons) - int salary </t>
  </si>
  <si>
    <t>Weight</t>
  </si>
  <si>
    <t>Final Impact</t>
  </si>
  <si>
    <t>L</t>
  </si>
  <si>
    <t>Invest in IT capital improvements, servers, new router, switch, and infrastructure equipment &amp; Service Plans</t>
  </si>
  <si>
    <t>Company wide training, 5,000 personnel</t>
  </si>
  <si>
    <t>Executive and management coordination with IT Department</t>
  </si>
  <si>
    <t>500 Personnel, 3 weeks for planning</t>
  </si>
  <si>
    <t>Decreased efficiency/Productivity loss</t>
  </si>
  <si>
    <t>Compare platforms and find product to align with business goals</t>
  </si>
  <si>
    <t>5000 devices, including servers AV</t>
  </si>
  <si>
    <t>https://go.microsoft.com/fwlink/?LinkId=866544&amp;clcid=0x409</t>
  </si>
  <si>
    <t>https://www.payscale.com/research/US/Job=Information_Technology_(IT)_Auditor/Salary</t>
  </si>
  <si>
    <t>Includes operating system and Office 365 E3 (Enterprise) license</t>
  </si>
  <si>
    <t>Salary of employee, reduces business liability and risk exposure</t>
  </si>
  <si>
    <t>Consultant cost, reduces business liability and risk exposure</t>
  </si>
  <si>
    <t>https://smallbusiness.chron.com/dangers-inaccurate-financial-reporting-79357.html</t>
  </si>
  <si>
    <t>Cost of system and redundancy</t>
  </si>
  <si>
    <t>Salary of IT staff</t>
  </si>
  <si>
    <t>Avg hrly wage*5000 staff*16hrs</t>
  </si>
  <si>
    <t>Probability of Risk Occurance
(H, HM, M, ML, L)</t>
  </si>
  <si>
    <t>Impact 
(H, HM, M, ML, L)</t>
  </si>
  <si>
    <t>Values 5,3,1</t>
  </si>
  <si>
    <t>Impact Values 5,4,3,2,1</t>
  </si>
  <si>
    <t>HM</t>
  </si>
  <si>
    <t>ML</t>
  </si>
  <si>
    <t>Project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</si>
  <si>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</si>
  <si>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</si>
  <si>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</si>
  <si>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</si>
  <si>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</si>
  <si>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</si>
  <si>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</si>
  <si>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</si>
  <si>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</si>
  <si>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</si>
  <si>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</si>
  <si>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</si>
  <si>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</si>
  <si>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</si>
  <si>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</si>
  <si>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</si>
  <si>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</si>
  <si>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</si>
  <si>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</si>
  <si>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</si>
  <si>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Replace 5000 computers with business applications</t>
  </si>
  <si>
    <t>COBIT Information Criteria</t>
  </si>
  <si>
    <t>Effectiveness</t>
  </si>
  <si>
    <t>Efficiency</t>
  </si>
  <si>
    <t>Confidentiality</t>
  </si>
  <si>
    <t>Integrity</t>
  </si>
  <si>
    <t>Availability</t>
  </si>
  <si>
    <t>Compliance</t>
  </si>
  <si>
    <t>Reliability</t>
  </si>
  <si>
    <t>Immediate IT Department Business Objectives</t>
  </si>
  <si>
    <t>Probability of Risk Occurance 5,4,3,2,1</t>
  </si>
  <si>
    <t>5000 pc replacement</t>
  </si>
  <si>
    <t>Confidential information exploit, recovery from virus, malicious hacker, loss of critical devices, SLE for most critical asset</t>
  </si>
  <si>
    <t>Consultant cost, Salary of Infosec team (risk mitigation. Confidential information exploit, recovery from virus, malicious hacker, loss of critical devices, SLE for most critical asset</t>
  </si>
  <si>
    <t>CM=(125000 salary/365 days * .5 day training) * 600 personnel</t>
  </si>
  <si>
    <t>CM Notes</t>
  </si>
  <si>
    <t>Manage and mitigate threats: Confidential information exploit, recovery from virus, malicious hacker, loss of critical devices, SLE for most critical asset</t>
  </si>
  <si>
    <t>ALE before (greatest risk value; production system financial loss * 5 days * 3 systems) - ALE after (greatest risk value; production system financial loss * 5 days * 1 systems) - CM</t>
  </si>
  <si>
    <t>ALE before (greatest risk value; production system financial loss * 5 days * 3 systems) - ALE after (greatest risk value; production system financial loss * 1 day downtime * 3 systems) - CM</t>
  </si>
  <si>
    <t>ALE before (avg annual wage* 50% less productive*amount of employees) - ALE after (avg annual wage* amount of employees) - CM</t>
  </si>
  <si>
    <t>200 p/user * 500 users</t>
  </si>
  <si>
    <t>ALE before (audit risk value to company) - no risk - CM</t>
  </si>
  <si>
    <t>Annual consultant cost</t>
  </si>
  <si>
    <t>5000pcs* $800/5 year life exp + 1M contract for implementation</t>
  </si>
  <si>
    <t>Bus app cost, 500 special software users</t>
  </si>
  <si>
    <t>avg annual wage 100,000</t>
  </si>
  <si>
    <t>Antivirus annual cost1, 2</t>
  </si>
  <si>
    <r>
      <t xml:space="preserve">ALE Formula or Notes (ALE before - ALE after - Countermeasure = ALE Monetary Value
</t>
    </r>
    <r>
      <rPr>
        <sz val="11"/>
        <color theme="1"/>
        <rFont val="Calibri"/>
        <family val="2"/>
        <scheme val="minor"/>
      </rPr>
      <t>(https://resources.infosecinstitute.com/quantitative-risk-analysis/)</t>
    </r>
  </si>
  <si>
    <t>Reference 2</t>
  </si>
  <si>
    <t>Reference 1</t>
  </si>
  <si>
    <t>Total Cost for Improvements: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</si>
</sst>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3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3" fontId="0" fillId="2" borderId="0" xfId="0" applyNumberFormat="1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3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3" fillId="0" borderId="0" xfId="1" applyFill="1" applyAlignment="1">
      <alignment horizontal="left" vertical="top"/>
    </xf>
    <xf numFmtId="1" fontId="0" fillId="0" borderId="0" xfId="0" applyNumberFormat="1" applyFill="1" applyAlignment="1">
      <alignment horizontal="left"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 wrapText="1"/>
    </xf>
    <xf numFmtId="3" fontId="1" fillId="0" borderId="0" xfId="0" applyNumberFormat="1" applyFont="1" applyFill="1" applyBorder="1" applyAlignment="1">
      <alignment horizontal="left" vertical="top" wrapText="1"/>
    </xf>
    <xf numFmtId="0" fontId="3" fillId="0" borderId="0" xfId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 wrapText="1"/>
    </xf>
    <xf numFmtId="3" fontId="1" fillId="0" borderId="0" xfId="0" applyNumberFormat="1" applyFont="1" applyAlignment="1">
      <alignment horizontal="left" vertical="top"/>
    </xf>
    <xf numFmtId="0" fontId="1" fillId="6" borderId="0" xfId="0" applyFont="1" applyFill="1" applyAlignment="1">
      <alignment horizontal="left" vertical="top" wrapText="1"/>
    </xf>
    <xf numFmtId="0" fontId="1" fillId="6" borderId="3" xfId="0" applyFont="1" applyFill="1" applyBorder="1" applyAlignment="1">
      <alignment horizontal="center" vertical="center" wrapText="1"/>
    </xf>
    <xf numFmtId="3" fontId="1" fillId="6" borderId="3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center" vertical="center" wrapText="1"/>
    </xf>
    <xf numFmtId="0" fontId="3" fillId="0" borderId="1" xfId="1" applyFill="1" applyBorder="1" applyAlignment="1">
      <alignment horizontal="left" vertical="top" wrapText="1"/>
    </xf>
    <xf numFmtId="0" fontId="3" fillId="0" borderId="1" xfId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0" fillId="0" borderId="0" xfId="0" applyNumberFormat="1" applyFill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0" fontId="0" fillId="4" borderId="3" xfId="0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tdefender.com/business/smb-products/business-security.html" TargetMode="External"/><Relationship Id="rId2" Type="http://schemas.openxmlformats.org/officeDocument/2006/relationships/hyperlink" Target="https://www.business.org/services/internet/att-business-internet-review/" TargetMode="External"/><Relationship Id="rId1" Type="http://schemas.openxmlformats.org/officeDocument/2006/relationships/hyperlink" Target="https://www.hrdive.com/news/outdated-tech-may-be-costing-us-employers-18t-thanks-to-repetitive-tasks/414819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mallbusiness.chron.com/dangers-inaccurate-financial-reporting-79357.html" TargetMode="External"/><Relationship Id="rId4" Type="http://schemas.openxmlformats.org/officeDocument/2006/relationships/hyperlink" Target="https://go.microsoft.com/fwlink/?LinkId=866544&amp;clcid=0x4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CC05-D3B0-4F26-BC43-D282C8BE146B}">
  <dimension ref="A1:AA35"/>
  <sheetViews>
    <sheetView tabSelected="1" zoomScale="70" zoomScaleNormal="70" workbookViewId="0">
      <selection activeCell="W38" sqref="W38"/>
    </sheetView>
  </sheetViews>
  <sheetFormatPr defaultRowHeight="15" x14ac:dyDescent="0.25"/>
  <cols>
    <col min="1" max="1" width="10.28515625" style="1" customWidth="1"/>
    <col min="2" max="2" width="61.28515625" style="24" customWidth="1"/>
    <col min="3" max="3" width="40.5703125" style="24" hidden="1" customWidth="1"/>
    <col min="4" max="4" width="15.85546875" style="11" hidden="1" customWidth="1"/>
    <col min="5" max="5" width="14.5703125" style="11" customWidth="1"/>
    <col min="6" max="6" width="13.5703125" style="11" hidden="1" customWidth="1"/>
    <col min="7" max="7" width="12.7109375" style="11" hidden="1" customWidth="1"/>
    <col min="8" max="8" width="12.28515625" style="11" customWidth="1"/>
    <col min="9" max="9" width="11.42578125" style="11" hidden="1" customWidth="1"/>
    <col min="10" max="10" width="8.85546875" style="11" hidden="1" customWidth="1"/>
    <col min="11" max="11" width="13.140625" style="11" customWidth="1"/>
    <col min="12" max="12" width="10.140625" style="11" hidden="1" customWidth="1"/>
    <col min="13" max="14" width="11.140625" style="11" hidden="1" customWidth="1"/>
    <col min="15" max="15" width="14.5703125" style="11" hidden="1" customWidth="1"/>
    <col min="16" max="16" width="9" style="11" customWidth="1"/>
    <col min="17" max="17" width="44.28515625" style="24" customWidth="1"/>
    <col min="18" max="18" width="50.5703125" style="24" customWidth="1"/>
    <col min="19" max="20" width="14.28515625" style="4" customWidth="1"/>
    <col min="21" max="21" width="17.7109375" style="4" customWidth="1"/>
    <col min="22" max="22" width="20.140625" style="4" customWidth="1"/>
    <col min="23" max="23" width="32.7109375" style="2" customWidth="1"/>
    <col min="24" max="24" width="29.42578125" style="14" customWidth="1"/>
    <col min="25" max="25" width="28.140625" style="46" customWidth="1"/>
    <col min="26" max="26" width="62.28515625" style="1" customWidth="1"/>
    <col min="27" max="27" width="9.140625" style="1"/>
    <col min="28" max="28" width="64.140625" style="1" customWidth="1"/>
    <col min="29" max="16384" width="9.140625" style="1"/>
  </cols>
  <sheetData>
    <row r="1" spans="1:25" s="36" customFormat="1" ht="72.75" customHeight="1" x14ac:dyDescent="0.25">
      <c r="A1" s="37" t="s">
        <v>103</v>
      </c>
      <c r="B1" s="37" t="s">
        <v>7</v>
      </c>
      <c r="C1" s="37" t="s">
        <v>13</v>
      </c>
      <c r="D1" s="37" t="s">
        <v>27</v>
      </c>
      <c r="E1" s="37" t="s">
        <v>97</v>
      </c>
      <c r="F1" s="37" t="s">
        <v>134</v>
      </c>
      <c r="G1" s="37" t="s">
        <v>78</v>
      </c>
      <c r="H1" s="37" t="s">
        <v>98</v>
      </c>
      <c r="I1" s="37" t="s">
        <v>100</v>
      </c>
      <c r="J1" s="37" t="s">
        <v>78</v>
      </c>
      <c r="K1" s="37" t="s">
        <v>45</v>
      </c>
      <c r="L1" s="37" t="s">
        <v>99</v>
      </c>
      <c r="M1" s="37" t="s">
        <v>78</v>
      </c>
      <c r="N1" s="37" t="s">
        <v>79</v>
      </c>
      <c r="O1" s="37" t="s">
        <v>46</v>
      </c>
      <c r="P1" s="37" t="s">
        <v>14</v>
      </c>
      <c r="Q1" s="37" t="s">
        <v>72</v>
      </c>
      <c r="R1" s="37" t="s">
        <v>151</v>
      </c>
      <c r="S1" s="38" t="s">
        <v>63</v>
      </c>
      <c r="T1" s="38" t="s">
        <v>74</v>
      </c>
      <c r="U1" s="38" t="s">
        <v>71</v>
      </c>
      <c r="V1" s="38" t="s">
        <v>70</v>
      </c>
      <c r="W1" s="41" t="s">
        <v>139</v>
      </c>
      <c r="X1" s="37" t="s">
        <v>153</v>
      </c>
      <c r="Y1" s="37" t="s">
        <v>152</v>
      </c>
    </row>
    <row r="2" spans="1:25" s="5" customFormat="1" x14ac:dyDescent="0.25">
      <c r="A2" s="39" t="s">
        <v>0</v>
      </c>
      <c r="B2" s="3"/>
      <c r="C2" s="3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34"/>
      <c r="R2" s="3"/>
      <c r="S2" s="6"/>
      <c r="T2" s="6"/>
      <c r="U2" s="6"/>
      <c r="V2" s="6"/>
      <c r="W2" s="3"/>
      <c r="X2" s="15"/>
      <c r="Y2" s="44"/>
    </row>
    <row r="3" spans="1:25" s="10" customFormat="1" ht="60.75" customHeight="1" x14ac:dyDescent="0.25">
      <c r="A3" s="10">
        <v>1</v>
      </c>
      <c r="B3" s="13" t="s">
        <v>8</v>
      </c>
      <c r="C3" s="13"/>
      <c r="D3" s="10" t="s">
        <v>36</v>
      </c>
      <c r="E3" s="17" t="s">
        <v>102</v>
      </c>
      <c r="F3" s="11">
        <v>2</v>
      </c>
      <c r="G3" s="11"/>
      <c r="H3" s="11" t="s">
        <v>41</v>
      </c>
      <c r="I3" s="11">
        <v>5</v>
      </c>
      <c r="J3" s="11"/>
      <c r="K3" s="11" t="s">
        <v>39</v>
      </c>
      <c r="L3" s="11">
        <v>5</v>
      </c>
      <c r="M3" s="11"/>
      <c r="N3" s="11">
        <f>(I3+L3)/2</f>
        <v>5</v>
      </c>
      <c r="O3" s="11"/>
      <c r="P3" s="20">
        <f>(F3+N3)/2</f>
        <v>3.5</v>
      </c>
      <c r="Q3" s="24" t="s">
        <v>140</v>
      </c>
      <c r="R3" s="13" t="s">
        <v>142</v>
      </c>
      <c r="S3" s="12">
        <f>(5000000*5*3)</f>
        <v>75000000</v>
      </c>
      <c r="T3" s="12">
        <f>(5000000*1*3)</f>
        <v>15000000</v>
      </c>
      <c r="U3" s="12">
        <f>S3-T3-V3</f>
        <v>59500000</v>
      </c>
      <c r="V3" s="12">
        <v>500000</v>
      </c>
      <c r="W3" s="13" t="s">
        <v>75</v>
      </c>
      <c r="X3" s="18"/>
      <c r="Y3" s="45"/>
    </row>
    <row r="4" spans="1:25" s="10" customFormat="1" ht="60" x14ac:dyDescent="0.25">
      <c r="A4" s="10">
        <v>2</v>
      </c>
      <c r="B4" s="13" t="s">
        <v>9</v>
      </c>
      <c r="C4" s="13" t="s">
        <v>87</v>
      </c>
      <c r="D4" s="10" t="s">
        <v>40</v>
      </c>
      <c r="E4" s="17" t="s">
        <v>102</v>
      </c>
      <c r="F4" s="11">
        <v>2</v>
      </c>
      <c r="G4" s="11"/>
      <c r="H4" s="11" t="s">
        <v>41</v>
      </c>
      <c r="I4" s="11">
        <v>5</v>
      </c>
      <c r="J4" s="11"/>
      <c r="K4" s="11" t="s">
        <v>39</v>
      </c>
      <c r="L4" s="11">
        <v>5</v>
      </c>
      <c r="M4" s="11"/>
      <c r="N4" s="11">
        <f t="shared" ref="N4:N28" si="0">(I4+L4)/2</f>
        <v>5</v>
      </c>
      <c r="O4" s="11"/>
      <c r="P4" s="20">
        <f t="shared" ref="P4:P28" si="1">(F4+N4)/2</f>
        <v>3.5</v>
      </c>
      <c r="Q4" s="24" t="s">
        <v>136</v>
      </c>
      <c r="R4" s="13" t="s">
        <v>142</v>
      </c>
      <c r="S4" s="12">
        <f t="shared" ref="S4:S6" si="2">(5000000*5*3)</f>
        <v>75000000</v>
      </c>
      <c r="T4" s="12">
        <f t="shared" ref="T4:T6" si="3">(5000000*1*3)</f>
        <v>15000000</v>
      </c>
      <c r="U4" s="12">
        <f t="shared" ref="U4:U5" si="4">S4-T4-V4</f>
        <v>59900000</v>
      </c>
      <c r="V4" s="12">
        <f>5000*20</f>
        <v>100000</v>
      </c>
      <c r="W4" s="13" t="s">
        <v>150</v>
      </c>
      <c r="X4" s="42" t="s">
        <v>31</v>
      </c>
      <c r="Y4" s="45" t="s">
        <v>62</v>
      </c>
    </row>
    <row r="5" spans="1:25" s="10" customFormat="1" ht="62.25" customHeight="1" x14ac:dyDescent="0.25">
      <c r="A5" s="10">
        <v>3</v>
      </c>
      <c r="B5" s="13" t="s">
        <v>10</v>
      </c>
      <c r="C5" s="13" t="s">
        <v>15</v>
      </c>
      <c r="D5" s="10" t="s">
        <v>40</v>
      </c>
      <c r="E5" s="17" t="s">
        <v>102</v>
      </c>
      <c r="F5" s="11">
        <v>2</v>
      </c>
      <c r="G5" s="11"/>
      <c r="H5" s="11" t="s">
        <v>41</v>
      </c>
      <c r="I5" s="11">
        <v>5</v>
      </c>
      <c r="J5" s="11"/>
      <c r="K5" s="11" t="s">
        <v>39</v>
      </c>
      <c r="L5" s="11">
        <v>5</v>
      </c>
      <c r="M5" s="11"/>
      <c r="N5" s="11">
        <f t="shared" si="0"/>
        <v>5</v>
      </c>
      <c r="O5" s="11"/>
      <c r="P5" s="20">
        <f t="shared" si="1"/>
        <v>3.5</v>
      </c>
      <c r="Q5" s="24" t="s">
        <v>136</v>
      </c>
      <c r="R5" s="13" t="s">
        <v>142</v>
      </c>
      <c r="S5" s="12">
        <f t="shared" si="2"/>
        <v>75000000</v>
      </c>
      <c r="T5" s="12">
        <f t="shared" si="3"/>
        <v>15000000</v>
      </c>
      <c r="U5" s="12">
        <f t="shared" si="4"/>
        <v>59850000</v>
      </c>
      <c r="V5" s="12">
        <v>150000</v>
      </c>
      <c r="W5" s="13" t="s">
        <v>55</v>
      </c>
      <c r="X5" s="18" t="s">
        <v>35</v>
      </c>
      <c r="Y5" s="45"/>
    </row>
    <row r="6" spans="1:25" s="10" customFormat="1" ht="60.75" customHeight="1" x14ac:dyDescent="0.25">
      <c r="A6" s="10">
        <v>4</v>
      </c>
      <c r="B6" s="13" t="s">
        <v>34</v>
      </c>
      <c r="C6" s="13"/>
      <c r="D6" s="10" t="s">
        <v>40</v>
      </c>
      <c r="E6" s="17" t="s">
        <v>102</v>
      </c>
      <c r="F6" s="11">
        <v>2</v>
      </c>
      <c r="G6" s="11"/>
      <c r="H6" s="11" t="s">
        <v>80</v>
      </c>
      <c r="I6" s="11">
        <v>1</v>
      </c>
      <c r="J6" s="11"/>
      <c r="K6" s="11" t="s">
        <v>42</v>
      </c>
      <c r="L6" s="11">
        <v>3</v>
      </c>
      <c r="M6" s="11"/>
      <c r="N6" s="11">
        <f t="shared" si="0"/>
        <v>2</v>
      </c>
      <c r="O6" s="11"/>
      <c r="P6" s="20">
        <f t="shared" si="1"/>
        <v>2</v>
      </c>
      <c r="Q6" s="24" t="s">
        <v>136</v>
      </c>
      <c r="R6" s="13" t="s">
        <v>142</v>
      </c>
      <c r="S6" s="12">
        <f t="shared" si="2"/>
        <v>75000000</v>
      </c>
      <c r="T6" s="12">
        <f t="shared" si="3"/>
        <v>15000000</v>
      </c>
      <c r="U6" s="12">
        <f>S6-T6-V6</f>
        <v>59990000</v>
      </c>
      <c r="V6" s="12">
        <v>10000</v>
      </c>
      <c r="W6" s="47">
        <v>10000</v>
      </c>
      <c r="X6" s="18" t="s">
        <v>30</v>
      </c>
      <c r="Y6" s="45"/>
    </row>
    <row r="7" spans="1:25" s="10" customFormat="1" ht="62.25" customHeight="1" x14ac:dyDescent="0.25">
      <c r="A7" s="10">
        <v>5</v>
      </c>
      <c r="B7" s="13" t="s">
        <v>11</v>
      </c>
      <c r="C7" s="13" t="s">
        <v>32</v>
      </c>
      <c r="D7" s="10" t="s">
        <v>36</v>
      </c>
      <c r="E7" s="17" t="s">
        <v>102</v>
      </c>
      <c r="F7" s="11">
        <v>2</v>
      </c>
      <c r="G7" s="11"/>
      <c r="H7" s="11" t="s">
        <v>102</v>
      </c>
      <c r="I7" s="11">
        <v>2</v>
      </c>
      <c r="J7" s="11"/>
      <c r="K7" s="11" t="s">
        <v>42</v>
      </c>
      <c r="L7" s="11">
        <v>3</v>
      </c>
      <c r="M7" s="11"/>
      <c r="N7" s="11">
        <f t="shared" si="0"/>
        <v>2.5</v>
      </c>
      <c r="O7" s="11"/>
      <c r="P7" s="20">
        <f t="shared" si="1"/>
        <v>2.25</v>
      </c>
      <c r="Q7" s="24" t="s">
        <v>64</v>
      </c>
      <c r="R7" s="13" t="s">
        <v>142</v>
      </c>
      <c r="S7" s="12">
        <f>(5000000*5*3)</f>
        <v>75000000</v>
      </c>
      <c r="T7" s="12">
        <f>(5000000*1*3)</f>
        <v>15000000</v>
      </c>
      <c r="U7" s="12">
        <f>S7-T7-V7</f>
        <v>59991780.82191781</v>
      </c>
      <c r="V7" s="22">
        <f>(150000/365*5)*4</f>
        <v>8219.17808219178</v>
      </c>
      <c r="W7" s="13" t="s">
        <v>76</v>
      </c>
      <c r="X7" s="18"/>
      <c r="Y7" s="45"/>
    </row>
    <row r="8" spans="1:25" s="10" customFormat="1" ht="34.5" customHeight="1" x14ac:dyDescent="0.25">
      <c r="A8" s="10">
        <v>6</v>
      </c>
      <c r="B8" s="13" t="s">
        <v>33</v>
      </c>
      <c r="C8" s="13" t="s">
        <v>16</v>
      </c>
      <c r="D8" s="10" t="s">
        <v>36</v>
      </c>
      <c r="E8" s="17" t="s">
        <v>80</v>
      </c>
      <c r="F8" s="11">
        <v>2</v>
      </c>
      <c r="G8" s="11"/>
      <c r="H8" s="11" t="s">
        <v>102</v>
      </c>
      <c r="I8" s="11">
        <v>2</v>
      </c>
      <c r="J8" s="11"/>
      <c r="K8" s="11" t="s">
        <v>42</v>
      </c>
      <c r="L8" s="11">
        <v>3</v>
      </c>
      <c r="M8" s="11"/>
      <c r="N8" s="11">
        <f t="shared" si="0"/>
        <v>2.5</v>
      </c>
      <c r="O8" s="11"/>
      <c r="P8" s="20">
        <f t="shared" si="1"/>
        <v>2.25</v>
      </c>
      <c r="Q8" s="24" t="s">
        <v>64</v>
      </c>
      <c r="R8" s="13" t="s">
        <v>141</v>
      </c>
      <c r="S8" s="12">
        <f>(5000000*5*3)</f>
        <v>75000000</v>
      </c>
      <c r="T8" s="12">
        <f>(5000000*1*3)</f>
        <v>15000000</v>
      </c>
      <c r="U8" s="12">
        <f>S8-T8-V8</f>
        <v>59897260.273972601</v>
      </c>
      <c r="V8" s="22">
        <f>(125000/365*0.5)*600</f>
        <v>102739.72602739725</v>
      </c>
      <c r="W8" s="13" t="s">
        <v>138</v>
      </c>
      <c r="X8" s="18"/>
      <c r="Y8" s="45"/>
    </row>
    <row r="9" spans="1:25" s="10" customFormat="1" ht="33" customHeight="1" x14ac:dyDescent="0.25">
      <c r="A9" s="10">
        <v>7</v>
      </c>
      <c r="B9" s="13" t="s">
        <v>12</v>
      </c>
      <c r="C9" s="13">
        <v>50000</v>
      </c>
      <c r="D9" s="10" t="s">
        <v>38</v>
      </c>
      <c r="E9" s="17" t="s">
        <v>80</v>
      </c>
      <c r="F9" s="11">
        <v>1</v>
      </c>
      <c r="G9" s="11"/>
      <c r="H9" s="11" t="s">
        <v>101</v>
      </c>
      <c r="I9" s="11">
        <v>4</v>
      </c>
      <c r="J9" s="11"/>
      <c r="K9" s="11" t="s">
        <v>37</v>
      </c>
      <c r="L9" s="11">
        <v>1</v>
      </c>
      <c r="M9" s="11"/>
      <c r="N9" s="11">
        <f t="shared" si="0"/>
        <v>2.5</v>
      </c>
      <c r="O9" s="11"/>
      <c r="P9" s="20">
        <f t="shared" si="1"/>
        <v>1.75</v>
      </c>
      <c r="Q9" s="24" t="s">
        <v>137</v>
      </c>
      <c r="R9" s="13" t="s">
        <v>77</v>
      </c>
      <c r="S9" s="12">
        <f>(5000000*5*3)</f>
        <v>75000000</v>
      </c>
      <c r="T9" s="12">
        <f>(150000/365*0.5)*600</f>
        <v>123287.6712328767</v>
      </c>
      <c r="U9" s="12">
        <f>50000+(150000/365*10)*4</f>
        <v>66438.356164383556</v>
      </c>
      <c r="V9" s="12">
        <v>50000</v>
      </c>
      <c r="W9" s="13" t="s">
        <v>69</v>
      </c>
      <c r="X9" s="18"/>
      <c r="Y9" s="45"/>
    </row>
    <row r="10" spans="1:25" s="5" customFormat="1" x14ac:dyDescent="0.25">
      <c r="A10" s="39" t="s">
        <v>1</v>
      </c>
      <c r="B10" s="3"/>
      <c r="C10" s="3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9"/>
      <c r="Q10" s="34"/>
      <c r="R10" s="3"/>
      <c r="S10" s="6"/>
      <c r="T10" s="6"/>
      <c r="U10" s="6"/>
      <c r="V10" s="6"/>
      <c r="W10" s="3"/>
      <c r="X10" s="15"/>
      <c r="Y10" s="44"/>
    </row>
    <row r="11" spans="1:25" s="10" customFormat="1" ht="45" x14ac:dyDescent="0.25">
      <c r="A11" s="10">
        <v>8</v>
      </c>
      <c r="B11" s="13" t="s">
        <v>17</v>
      </c>
      <c r="C11" s="13" t="s">
        <v>28</v>
      </c>
      <c r="D11" s="10" t="s">
        <v>40</v>
      </c>
      <c r="E11" s="17" t="s">
        <v>41</v>
      </c>
      <c r="F11" s="11">
        <v>5</v>
      </c>
      <c r="G11" s="11"/>
      <c r="H11" s="11" t="s">
        <v>42</v>
      </c>
      <c r="I11" s="11">
        <v>3</v>
      </c>
      <c r="J11" s="11"/>
      <c r="K11" s="11" t="s">
        <v>39</v>
      </c>
      <c r="L11" s="11">
        <v>5</v>
      </c>
      <c r="M11" s="11"/>
      <c r="N11" s="11">
        <f t="shared" si="0"/>
        <v>4</v>
      </c>
      <c r="O11" s="11"/>
      <c r="P11" s="20">
        <f t="shared" si="1"/>
        <v>4.5</v>
      </c>
      <c r="Q11" s="24" t="s">
        <v>85</v>
      </c>
      <c r="R11" s="13" t="s">
        <v>143</v>
      </c>
      <c r="S11" s="12">
        <f>(100000*0.5*5000)</f>
        <v>250000000</v>
      </c>
      <c r="T11" s="12">
        <f>(100000*5000)</f>
        <v>500000000</v>
      </c>
      <c r="U11" s="12">
        <f>S11-T11-V11</f>
        <v>-250012000</v>
      </c>
      <c r="V11" s="12">
        <v>12000</v>
      </c>
      <c r="W11" s="13" t="s">
        <v>149</v>
      </c>
      <c r="X11" s="42" t="s">
        <v>29</v>
      </c>
      <c r="Y11" s="45"/>
    </row>
    <row r="12" spans="1:25" s="10" customFormat="1" ht="45" x14ac:dyDescent="0.25">
      <c r="A12" s="10">
        <v>9</v>
      </c>
      <c r="B12" s="13" t="s">
        <v>81</v>
      </c>
      <c r="C12" s="13"/>
      <c r="D12" s="10" t="s">
        <v>40</v>
      </c>
      <c r="E12" s="17" t="s">
        <v>42</v>
      </c>
      <c r="F12" s="11">
        <v>3</v>
      </c>
      <c r="G12" s="11"/>
      <c r="H12" s="11" t="s">
        <v>42</v>
      </c>
      <c r="I12" s="11">
        <v>3</v>
      </c>
      <c r="J12" s="11"/>
      <c r="K12" s="11" t="s">
        <v>42</v>
      </c>
      <c r="L12" s="11">
        <v>3</v>
      </c>
      <c r="M12" s="11"/>
      <c r="N12" s="11">
        <f t="shared" si="0"/>
        <v>3</v>
      </c>
      <c r="O12" s="11"/>
      <c r="P12" s="20">
        <f t="shared" si="1"/>
        <v>3</v>
      </c>
      <c r="Q12" s="24" t="s">
        <v>85</v>
      </c>
      <c r="R12" s="13" t="s">
        <v>143</v>
      </c>
      <c r="S12" s="12">
        <f t="shared" ref="S12:S13" si="5">(100000*0.5*5000)</f>
        <v>250000000</v>
      </c>
      <c r="T12" s="12">
        <f t="shared" ref="T12:T13" si="6">(100000*5000)</f>
        <v>500000000</v>
      </c>
      <c r="U12" s="12">
        <f>S12-T12-V12</f>
        <v>-250250000</v>
      </c>
      <c r="V12" s="12">
        <v>250000</v>
      </c>
      <c r="W12" s="13" t="s">
        <v>68</v>
      </c>
      <c r="X12" s="18"/>
      <c r="Y12" s="45"/>
    </row>
    <row r="13" spans="1:25" s="10" customFormat="1" ht="31.5" customHeight="1" x14ac:dyDescent="0.25">
      <c r="A13" s="10">
        <v>10</v>
      </c>
      <c r="B13" s="13" t="s">
        <v>18</v>
      </c>
      <c r="C13" s="13"/>
      <c r="D13" s="10" t="s">
        <v>36</v>
      </c>
      <c r="E13" s="17" t="s">
        <v>41</v>
      </c>
      <c r="F13" s="11">
        <v>4</v>
      </c>
      <c r="G13" s="11"/>
      <c r="H13" s="11" t="s">
        <v>101</v>
      </c>
      <c r="I13" s="11">
        <v>4</v>
      </c>
      <c r="J13" s="11"/>
      <c r="K13" s="11" t="s">
        <v>39</v>
      </c>
      <c r="L13" s="11">
        <v>5</v>
      </c>
      <c r="M13" s="11"/>
      <c r="N13" s="11">
        <f t="shared" si="0"/>
        <v>4.5</v>
      </c>
      <c r="O13" s="11"/>
      <c r="P13" s="20">
        <f t="shared" si="1"/>
        <v>4.25</v>
      </c>
      <c r="Q13" s="24" t="s">
        <v>65</v>
      </c>
      <c r="R13" s="13" t="s">
        <v>143</v>
      </c>
      <c r="S13" s="12">
        <f t="shared" si="5"/>
        <v>250000000</v>
      </c>
      <c r="T13" s="12">
        <f t="shared" si="6"/>
        <v>500000000</v>
      </c>
      <c r="U13" s="12">
        <f>S13-T13-V13</f>
        <v>-251000000</v>
      </c>
      <c r="V13" s="12">
        <v>1000000</v>
      </c>
      <c r="W13" s="13" t="s">
        <v>73</v>
      </c>
      <c r="X13" s="18"/>
      <c r="Y13" s="45"/>
    </row>
    <row r="14" spans="1:25" s="5" customFormat="1" x14ac:dyDescent="0.25">
      <c r="A14" s="39" t="s">
        <v>2</v>
      </c>
      <c r="B14" s="3"/>
      <c r="C14" s="3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9"/>
      <c r="Q14" s="34"/>
      <c r="R14" s="3"/>
      <c r="S14" s="6"/>
      <c r="T14" s="6"/>
      <c r="U14" s="6"/>
      <c r="V14" s="6"/>
      <c r="W14" s="3"/>
      <c r="X14" s="15"/>
      <c r="Y14" s="44"/>
    </row>
    <row r="15" spans="1:25" s="10" customFormat="1" ht="45" x14ac:dyDescent="0.25">
      <c r="A15" s="10">
        <v>11</v>
      </c>
      <c r="B15" s="13" t="s">
        <v>19</v>
      </c>
      <c r="C15" s="13" t="s">
        <v>83</v>
      </c>
      <c r="D15" s="10" t="s">
        <v>43</v>
      </c>
      <c r="E15" s="17" t="s">
        <v>101</v>
      </c>
      <c r="F15" s="11">
        <v>4</v>
      </c>
      <c r="G15" s="11"/>
      <c r="H15" s="11" t="s">
        <v>41</v>
      </c>
      <c r="I15" s="11">
        <v>3</v>
      </c>
      <c r="J15" s="11"/>
      <c r="K15" s="11" t="s">
        <v>39</v>
      </c>
      <c r="L15" s="11">
        <v>5</v>
      </c>
      <c r="M15" s="11"/>
      <c r="N15" s="11">
        <f t="shared" si="0"/>
        <v>4</v>
      </c>
      <c r="O15" s="11"/>
      <c r="P15" s="20">
        <f t="shared" si="1"/>
        <v>4</v>
      </c>
      <c r="Q15" s="24" t="s">
        <v>85</v>
      </c>
      <c r="R15" s="13" t="s">
        <v>143</v>
      </c>
      <c r="S15" s="12">
        <f>(100000*0.5*500)</f>
        <v>25000000</v>
      </c>
      <c r="T15" s="12">
        <f>(100000*500)</f>
        <v>50000000</v>
      </c>
      <c r="U15" s="16">
        <f>S15-T15-V15</f>
        <v>-25037500</v>
      </c>
      <c r="V15" s="16">
        <f>75*500</f>
        <v>37500</v>
      </c>
      <c r="W15" s="13" t="s">
        <v>84</v>
      </c>
      <c r="X15" s="18"/>
      <c r="Y15" s="45"/>
    </row>
    <row r="16" spans="1:25" s="10" customFormat="1" ht="45" x14ac:dyDescent="0.25">
      <c r="A16" s="10">
        <v>12</v>
      </c>
      <c r="B16" s="13" t="s">
        <v>20</v>
      </c>
      <c r="C16" s="13" t="s">
        <v>86</v>
      </c>
      <c r="D16" s="10" t="s">
        <v>40</v>
      </c>
      <c r="E16" s="17" t="s">
        <v>42</v>
      </c>
      <c r="F16" s="11">
        <v>3</v>
      </c>
      <c r="G16" s="11"/>
      <c r="H16" s="11" t="s">
        <v>42</v>
      </c>
      <c r="I16" s="11">
        <v>3</v>
      </c>
      <c r="J16" s="11"/>
      <c r="K16" s="11" t="s">
        <v>42</v>
      </c>
      <c r="L16" s="11">
        <v>3</v>
      </c>
      <c r="M16" s="11"/>
      <c r="N16" s="11">
        <f t="shared" si="0"/>
        <v>3</v>
      </c>
      <c r="O16" s="11"/>
      <c r="P16" s="20">
        <f t="shared" si="1"/>
        <v>3</v>
      </c>
      <c r="Q16" s="24" t="s">
        <v>85</v>
      </c>
      <c r="R16" s="13" t="s">
        <v>143</v>
      </c>
      <c r="S16" s="12">
        <f>(100000*0.5*500)</f>
        <v>25000000</v>
      </c>
      <c r="T16" s="12">
        <f>(100000*500)</f>
        <v>50000000</v>
      </c>
      <c r="U16" s="16">
        <f>S16-T16-V16</f>
        <v>-25100000</v>
      </c>
      <c r="V16" s="24">
        <f>200*500</f>
        <v>100000</v>
      </c>
      <c r="W16" s="13" t="s">
        <v>144</v>
      </c>
      <c r="X16" s="42" t="s">
        <v>88</v>
      </c>
      <c r="Y16" s="45"/>
    </row>
    <row r="17" spans="1:27" s="5" customFormat="1" x14ac:dyDescent="0.25">
      <c r="A17" s="39" t="s">
        <v>3</v>
      </c>
      <c r="B17" s="3"/>
      <c r="C17" s="3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34"/>
      <c r="R17" s="3"/>
      <c r="S17" s="6"/>
      <c r="T17" s="6"/>
      <c r="U17" s="6"/>
      <c r="V17" s="6"/>
      <c r="W17" s="3"/>
      <c r="X17" s="15"/>
      <c r="Y17" s="44"/>
    </row>
    <row r="18" spans="1:27" s="10" customFormat="1" ht="45" x14ac:dyDescent="0.25">
      <c r="A18" s="10">
        <v>13</v>
      </c>
      <c r="B18" s="13" t="s">
        <v>21</v>
      </c>
      <c r="C18" s="13" t="s">
        <v>22</v>
      </c>
      <c r="D18" s="10" t="s">
        <v>36</v>
      </c>
      <c r="E18" s="17" t="s">
        <v>101</v>
      </c>
      <c r="F18" s="11">
        <v>4</v>
      </c>
      <c r="G18" s="11"/>
      <c r="H18" s="11" t="s">
        <v>101</v>
      </c>
      <c r="I18" s="11">
        <v>4</v>
      </c>
      <c r="J18" s="11"/>
      <c r="K18" s="11" t="s">
        <v>42</v>
      </c>
      <c r="L18" s="11">
        <v>5</v>
      </c>
      <c r="M18" s="11"/>
      <c r="N18" s="11">
        <f t="shared" si="0"/>
        <v>4.5</v>
      </c>
      <c r="O18" s="11"/>
      <c r="P18" s="20">
        <f t="shared" si="1"/>
        <v>4.25</v>
      </c>
      <c r="Q18" s="24" t="s">
        <v>91</v>
      </c>
      <c r="R18" s="13" t="s">
        <v>145</v>
      </c>
      <c r="S18" s="12">
        <v>10000000</v>
      </c>
      <c r="T18" s="12">
        <v>0</v>
      </c>
      <c r="U18" s="12">
        <f>S18-T18-V18</f>
        <v>9900000</v>
      </c>
      <c r="V18" s="12">
        <v>100000</v>
      </c>
      <c r="W18" s="13" t="s">
        <v>61</v>
      </c>
      <c r="X18" s="18" t="s">
        <v>89</v>
      </c>
      <c r="Y18" s="45"/>
    </row>
    <row r="19" spans="1:27" s="10" customFormat="1" ht="45" x14ac:dyDescent="0.25">
      <c r="A19" s="10">
        <v>14</v>
      </c>
      <c r="B19" s="13" t="s">
        <v>23</v>
      </c>
      <c r="C19" s="13"/>
      <c r="D19" s="10" t="s">
        <v>38</v>
      </c>
      <c r="E19" s="17" t="s">
        <v>102</v>
      </c>
      <c r="F19" s="11">
        <v>2</v>
      </c>
      <c r="G19" s="11"/>
      <c r="H19" s="11" t="s">
        <v>102</v>
      </c>
      <c r="I19" s="11">
        <v>2</v>
      </c>
      <c r="J19" s="11"/>
      <c r="K19" s="11" t="s">
        <v>42</v>
      </c>
      <c r="L19" s="11">
        <v>5</v>
      </c>
      <c r="M19" s="11"/>
      <c r="N19" s="11">
        <f t="shared" si="0"/>
        <v>3.5</v>
      </c>
      <c r="O19" s="11"/>
      <c r="P19" s="20">
        <f t="shared" si="1"/>
        <v>2.75</v>
      </c>
      <c r="Q19" s="24" t="s">
        <v>92</v>
      </c>
      <c r="R19" s="13" t="s">
        <v>145</v>
      </c>
      <c r="S19" s="12">
        <v>10000000</v>
      </c>
      <c r="T19" s="12">
        <v>0</v>
      </c>
      <c r="U19" s="12">
        <f>S19-T19-V19</f>
        <v>9980000</v>
      </c>
      <c r="V19" s="12">
        <v>20000</v>
      </c>
      <c r="W19" s="13" t="s">
        <v>146</v>
      </c>
      <c r="X19" s="42" t="s">
        <v>93</v>
      </c>
      <c r="Y19" s="45"/>
    </row>
    <row r="20" spans="1:27" s="5" customFormat="1" x14ac:dyDescent="0.25">
      <c r="A20" s="40" t="s">
        <v>4</v>
      </c>
      <c r="B20" s="34"/>
      <c r="C20" s="34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  <c r="Q20" s="34"/>
      <c r="R20" s="3"/>
      <c r="S20" s="6"/>
      <c r="T20" s="6"/>
      <c r="U20" s="6"/>
      <c r="V20" s="6"/>
      <c r="W20" s="3"/>
      <c r="X20" s="15"/>
      <c r="Y20" s="44"/>
    </row>
    <row r="21" spans="1:27" s="10" customFormat="1" ht="60" x14ac:dyDescent="0.25">
      <c r="A21" s="10">
        <v>15</v>
      </c>
      <c r="B21" s="24" t="s">
        <v>24</v>
      </c>
      <c r="C21" s="24"/>
      <c r="D21" s="10" t="s">
        <v>40</v>
      </c>
      <c r="E21" s="17" t="s">
        <v>41</v>
      </c>
      <c r="F21" s="11">
        <v>5</v>
      </c>
      <c r="G21" s="11"/>
      <c r="H21" s="11" t="s">
        <v>41</v>
      </c>
      <c r="I21" s="11">
        <v>5</v>
      </c>
      <c r="J21" s="11"/>
      <c r="K21" s="11" t="s">
        <v>39</v>
      </c>
      <c r="L21" s="11">
        <v>5</v>
      </c>
      <c r="M21" s="11"/>
      <c r="N21" s="11">
        <f t="shared" si="0"/>
        <v>5</v>
      </c>
      <c r="O21" s="11"/>
      <c r="P21" s="20">
        <f t="shared" si="1"/>
        <v>5</v>
      </c>
      <c r="Q21" s="24" t="s">
        <v>67</v>
      </c>
      <c r="R21" s="13" t="s">
        <v>142</v>
      </c>
      <c r="S21" s="12">
        <f>(5000000*5*3)</f>
        <v>75000000</v>
      </c>
      <c r="T21" s="12">
        <f>(5000000*0.1*3)</f>
        <v>1500000</v>
      </c>
      <c r="U21" s="12">
        <f>S21-T21-V21</f>
        <v>73495000</v>
      </c>
      <c r="V21" s="12">
        <v>5000</v>
      </c>
      <c r="W21" s="13" t="s">
        <v>94</v>
      </c>
      <c r="X21" s="18"/>
      <c r="Y21" s="45"/>
    </row>
    <row r="22" spans="1:27" s="10" customFormat="1" ht="60" x14ac:dyDescent="0.25">
      <c r="A22" s="10">
        <v>16</v>
      </c>
      <c r="B22" s="24" t="s">
        <v>66</v>
      </c>
      <c r="C22" s="24"/>
      <c r="D22" s="10" t="s">
        <v>36</v>
      </c>
      <c r="E22" s="17" t="s">
        <v>41</v>
      </c>
      <c r="F22" s="11">
        <v>5</v>
      </c>
      <c r="G22" s="11"/>
      <c r="H22" s="11" t="s">
        <v>41</v>
      </c>
      <c r="I22" s="11">
        <v>5</v>
      </c>
      <c r="J22" s="11"/>
      <c r="K22" s="11" t="s">
        <v>39</v>
      </c>
      <c r="L22" s="11">
        <v>5</v>
      </c>
      <c r="M22" s="11"/>
      <c r="N22" s="11">
        <f t="shared" si="0"/>
        <v>5</v>
      </c>
      <c r="O22" s="11"/>
      <c r="P22" s="20">
        <f t="shared" si="1"/>
        <v>5</v>
      </c>
      <c r="Q22" s="24" t="s">
        <v>67</v>
      </c>
      <c r="R22" s="13" t="s">
        <v>142</v>
      </c>
      <c r="S22" s="12">
        <f>(5000000*5*3)</f>
        <v>75000000</v>
      </c>
      <c r="T22" s="12">
        <f>(5000000*0.1*3)</f>
        <v>1500000</v>
      </c>
      <c r="U22" s="12">
        <f>S22-T22-V22</f>
        <v>73200000</v>
      </c>
      <c r="V22" s="12">
        <v>300000</v>
      </c>
      <c r="W22" s="13" t="s">
        <v>95</v>
      </c>
      <c r="X22" s="18"/>
      <c r="Y22" s="45"/>
    </row>
    <row r="23" spans="1:27" s="5" customFormat="1" x14ac:dyDescent="0.25">
      <c r="A23" s="39" t="s">
        <v>5</v>
      </c>
      <c r="B23" s="3"/>
      <c r="C23" s="3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4"/>
      <c r="R23" s="3"/>
      <c r="S23" s="6"/>
      <c r="T23" s="6"/>
      <c r="U23" s="6"/>
      <c r="V23" s="6"/>
      <c r="W23" s="3"/>
      <c r="X23" s="15"/>
      <c r="Y23" s="44"/>
    </row>
    <row r="24" spans="1:27" s="10" customFormat="1" ht="45" x14ac:dyDescent="0.25">
      <c r="A24" s="10">
        <v>17</v>
      </c>
      <c r="B24" s="13" t="s">
        <v>25</v>
      </c>
      <c r="C24" s="13"/>
      <c r="D24" s="10" t="s">
        <v>43</v>
      </c>
      <c r="E24" s="17" t="s">
        <v>101</v>
      </c>
      <c r="F24" s="11">
        <v>4</v>
      </c>
      <c r="G24" s="11"/>
      <c r="H24" s="11" t="s">
        <v>101</v>
      </c>
      <c r="I24" s="11">
        <v>4</v>
      </c>
      <c r="J24" s="11"/>
      <c r="K24" s="11" t="s">
        <v>39</v>
      </c>
      <c r="L24" s="11">
        <v>5</v>
      </c>
      <c r="M24" s="11"/>
      <c r="N24" s="11">
        <f t="shared" si="0"/>
        <v>4.5</v>
      </c>
      <c r="O24" s="11"/>
      <c r="P24" s="20">
        <f t="shared" si="1"/>
        <v>4.25</v>
      </c>
      <c r="Q24" s="24" t="s">
        <v>85</v>
      </c>
      <c r="R24" s="13" t="s">
        <v>143</v>
      </c>
      <c r="S24" s="12">
        <f>(100000*0.5*5000)</f>
        <v>250000000</v>
      </c>
      <c r="T24" s="12">
        <f>(100000*5000)</f>
        <v>500000000</v>
      </c>
      <c r="U24" s="16">
        <f>S24-T24-V24</f>
        <v>-250037500</v>
      </c>
      <c r="V24" s="16">
        <f>75*500</f>
        <v>37500</v>
      </c>
      <c r="W24" s="13" t="s">
        <v>84</v>
      </c>
      <c r="X24" s="18"/>
      <c r="Y24" s="45"/>
    </row>
    <row r="25" spans="1:27" s="10" customFormat="1" ht="60" x14ac:dyDescent="0.25">
      <c r="A25" s="10">
        <v>18</v>
      </c>
      <c r="B25" s="13" t="s">
        <v>135</v>
      </c>
      <c r="C25" s="13" t="s">
        <v>90</v>
      </c>
      <c r="D25" s="10" t="s">
        <v>40</v>
      </c>
      <c r="E25" s="17" t="s">
        <v>101</v>
      </c>
      <c r="F25" s="11">
        <v>4</v>
      </c>
      <c r="G25" s="11"/>
      <c r="H25" s="11" t="s">
        <v>101</v>
      </c>
      <c r="I25" s="11">
        <v>4</v>
      </c>
      <c r="J25" s="11"/>
      <c r="K25" s="11" t="s">
        <v>42</v>
      </c>
      <c r="L25" s="11">
        <v>3</v>
      </c>
      <c r="M25" s="11"/>
      <c r="N25" s="11">
        <f t="shared" si="0"/>
        <v>3.5</v>
      </c>
      <c r="O25" s="11"/>
      <c r="P25" s="20">
        <f t="shared" si="1"/>
        <v>3.75</v>
      </c>
      <c r="Q25" s="24" t="s">
        <v>85</v>
      </c>
      <c r="R25" s="13" t="s">
        <v>143</v>
      </c>
      <c r="S25" s="12">
        <f>(100000*0.5*5000)</f>
        <v>250000000</v>
      </c>
      <c r="T25" s="12">
        <f>(100000*5000)</f>
        <v>500000000</v>
      </c>
      <c r="U25" s="12">
        <f>S25-T25-V25</f>
        <v>-251800000</v>
      </c>
      <c r="V25" s="12">
        <f>(5000*800)/5+1000000</f>
        <v>1800000</v>
      </c>
      <c r="W25" s="13" t="s">
        <v>147</v>
      </c>
      <c r="X25" s="18" t="s">
        <v>56</v>
      </c>
      <c r="Y25" s="45" t="s">
        <v>59</v>
      </c>
      <c r="Z25" s="21" t="s">
        <v>60</v>
      </c>
      <c r="AA25" s="10" t="s">
        <v>58</v>
      </c>
    </row>
    <row r="26" spans="1:27" s="10" customFormat="1" ht="45" x14ac:dyDescent="0.25">
      <c r="A26" s="10">
        <v>19</v>
      </c>
      <c r="B26" s="13" t="s">
        <v>57</v>
      </c>
      <c r="C26" s="13"/>
      <c r="D26" s="10" t="s">
        <v>40</v>
      </c>
      <c r="E26" s="17" t="s">
        <v>80</v>
      </c>
      <c r="F26" s="11">
        <v>1</v>
      </c>
      <c r="G26" s="11"/>
      <c r="H26" s="11" t="s">
        <v>42</v>
      </c>
      <c r="I26" s="11">
        <v>3</v>
      </c>
      <c r="J26" s="11"/>
      <c r="K26" s="11" t="s">
        <v>42</v>
      </c>
      <c r="L26" s="11">
        <v>3</v>
      </c>
      <c r="M26" s="11"/>
      <c r="N26" s="11">
        <f t="shared" si="0"/>
        <v>3</v>
      </c>
      <c r="O26" s="11"/>
      <c r="P26" s="20">
        <f t="shared" si="1"/>
        <v>2</v>
      </c>
      <c r="Q26" s="24" t="s">
        <v>85</v>
      </c>
      <c r="R26" s="13" t="s">
        <v>143</v>
      </c>
      <c r="S26" s="12">
        <f>(100000*0.5*500)</f>
        <v>25000000</v>
      </c>
      <c r="T26" s="12">
        <f>(100000*500)</f>
        <v>50000000</v>
      </c>
      <c r="U26" s="12">
        <f>S26-T26-V26</f>
        <v>-25050000</v>
      </c>
      <c r="V26" s="12">
        <v>50000</v>
      </c>
      <c r="W26" s="13" t="s">
        <v>148</v>
      </c>
      <c r="X26" s="18"/>
      <c r="Y26" s="45"/>
    </row>
    <row r="27" spans="1:27" s="5" customFormat="1" x14ac:dyDescent="0.25">
      <c r="A27" s="39" t="s">
        <v>6</v>
      </c>
      <c r="B27" s="3"/>
      <c r="C27" s="3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  <c r="Q27" s="34"/>
      <c r="R27" s="3"/>
      <c r="S27" s="6"/>
      <c r="T27" s="6"/>
      <c r="U27" s="6"/>
      <c r="V27" s="6"/>
      <c r="W27" s="3"/>
      <c r="X27" s="15"/>
      <c r="Y27" s="44"/>
    </row>
    <row r="28" spans="1:27" s="10" customFormat="1" ht="45" x14ac:dyDescent="0.25">
      <c r="A28" s="10">
        <v>20</v>
      </c>
      <c r="B28" s="13" t="s">
        <v>26</v>
      </c>
      <c r="C28" s="13" t="s">
        <v>82</v>
      </c>
      <c r="D28" s="10" t="s">
        <v>36</v>
      </c>
      <c r="E28" s="17" t="s">
        <v>102</v>
      </c>
      <c r="F28" s="11">
        <v>2</v>
      </c>
      <c r="G28" s="11"/>
      <c r="H28" s="11" t="s">
        <v>42</v>
      </c>
      <c r="I28" s="11">
        <v>3</v>
      </c>
      <c r="J28" s="11"/>
      <c r="K28" s="11" t="s">
        <v>42</v>
      </c>
      <c r="L28" s="11">
        <v>3</v>
      </c>
      <c r="M28" s="11"/>
      <c r="N28" s="11">
        <f t="shared" si="0"/>
        <v>3</v>
      </c>
      <c r="O28" s="11"/>
      <c r="P28" s="20">
        <f t="shared" si="1"/>
        <v>2.5</v>
      </c>
      <c r="Q28" s="24" t="s">
        <v>85</v>
      </c>
      <c r="R28" s="13" t="s">
        <v>143</v>
      </c>
      <c r="S28" s="12">
        <f>(100000*0.5*500)</f>
        <v>25000000</v>
      </c>
      <c r="T28" s="12">
        <f>(100000*500)</f>
        <v>50000000</v>
      </c>
      <c r="U28" s="12">
        <f>S28-T28-V28</f>
        <v>-49000000</v>
      </c>
      <c r="V28" s="12">
        <f>30*50000*16</f>
        <v>24000000</v>
      </c>
      <c r="W28" s="13" t="s">
        <v>96</v>
      </c>
      <c r="X28" s="18"/>
      <c r="Y28" s="45"/>
    </row>
    <row r="29" spans="1:27" s="10" customFormat="1" x14ac:dyDescent="0.25">
      <c r="B29" s="24"/>
      <c r="C29" s="2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24"/>
      <c r="R29" s="24"/>
      <c r="S29" s="12"/>
      <c r="T29" s="12"/>
      <c r="U29" s="12"/>
      <c r="V29" s="12"/>
      <c r="W29" s="13"/>
      <c r="X29" s="18" t="s">
        <v>44</v>
      </c>
      <c r="Y29" s="45"/>
    </row>
    <row r="30" spans="1:27" ht="45" x14ac:dyDescent="0.25">
      <c r="R30" s="10"/>
      <c r="U30" s="48" t="s">
        <v>154</v>
      </c>
      <c r="V30" s="35">
        <f>SUM(V3:V29)</f>
        <v>28632958.90410959</v>
      </c>
      <c r="X30" s="14" t="s">
        <v>47</v>
      </c>
      <c r="Y30" s="46" t="s">
        <v>48</v>
      </c>
    </row>
    <row r="31" spans="1:27" ht="30" x14ac:dyDescent="0.25">
      <c r="X31" s="14" t="s">
        <v>50</v>
      </c>
      <c r="Y31" s="46" t="s">
        <v>49</v>
      </c>
    </row>
    <row r="32" spans="1:27" x14ac:dyDescent="0.25">
      <c r="X32" s="14" t="s">
        <v>51</v>
      </c>
      <c r="Y32" s="46" t="s">
        <v>52</v>
      </c>
    </row>
    <row r="33" spans="24:25" x14ac:dyDescent="0.25">
      <c r="X33" s="14" t="s">
        <v>53</v>
      </c>
      <c r="Y33" s="46" t="s">
        <v>54</v>
      </c>
    </row>
    <row r="35" spans="24:25" x14ac:dyDescent="0.25">
      <c r="X35" s="43"/>
    </row>
  </sheetData>
  <hyperlinks>
    <hyperlink ref="Z25" r:id="rId1" xr:uid="{6AA6AE0F-1402-47A9-A808-12BE6FD23036}"/>
    <hyperlink ref="X11" r:id="rId2" xr:uid="{9BDA1877-75C1-4F81-89D3-068A731C931F}"/>
    <hyperlink ref="X4" r:id="rId3" xr:uid="{8F48736D-E035-42D0-814C-F469A1DC0FAB}"/>
    <hyperlink ref="X16" r:id="rId4" xr:uid="{EAD6D8E9-55E0-469F-A709-B21D4FCDCE57}"/>
    <hyperlink ref="X19" r:id="rId5" xr:uid="{EC969C49-73FD-41B0-8C67-9CE544C7F486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72C2-89E5-4911-B239-51E45D9A9C24}">
  <dimension ref="A1:Y36"/>
  <sheetViews>
    <sheetView zoomScale="70" zoomScaleNormal="70" workbookViewId="0">
      <selection activeCell="B19" sqref="B19"/>
    </sheetView>
  </sheetViews>
  <sheetFormatPr defaultRowHeight="15" x14ac:dyDescent="0.25"/>
  <cols>
    <col min="1" max="1" width="16.85546875" style="1" customWidth="1"/>
    <col min="2" max="2" width="84.42578125" style="2" customWidth="1"/>
    <col min="3" max="3" width="17.7109375" style="2" customWidth="1"/>
    <col min="4" max="9" width="17.7109375" style="11" customWidth="1"/>
    <col min="10" max="10" width="10.140625" style="11" customWidth="1"/>
    <col min="11" max="12" width="11.140625" style="11" customWidth="1"/>
    <col min="13" max="13" width="14.5703125" style="11" customWidth="1"/>
    <col min="14" max="14" width="11" style="11" customWidth="1"/>
    <col min="15" max="15" width="44.28515625" style="24" customWidth="1"/>
    <col min="16" max="16" width="77.5703125" style="24" customWidth="1"/>
    <col min="17" max="17" width="28.5703125" style="11" customWidth="1"/>
    <col min="18" max="18" width="15.28515625" style="16" customWidth="1"/>
    <col min="19" max="19" width="15.42578125" style="16" customWidth="1"/>
    <col min="20" max="20" width="17.7109375" style="16" customWidth="1"/>
    <col min="21" max="21" width="17.42578125" style="16" customWidth="1"/>
    <col min="22" max="22" width="17.140625" style="24" customWidth="1"/>
    <col min="23" max="23" width="19.28515625" style="11" customWidth="1"/>
    <col min="24" max="24" width="20" style="11" customWidth="1"/>
    <col min="25" max="25" width="62.28515625" style="11" customWidth="1"/>
    <col min="26" max="26" width="9.140625" style="11"/>
    <col min="27" max="27" width="64.140625" style="11" customWidth="1"/>
    <col min="28" max="16384" width="9.140625" style="11"/>
  </cols>
  <sheetData>
    <row r="1" spans="1:23" ht="45" customHeight="1" x14ac:dyDescent="0.25">
      <c r="A1" s="50" t="s">
        <v>133</v>
      </c>
      <c r="B1" s="50"/>
      <c r="C1" s="50" t="s">
        <v>125</v>
      </c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</row>
    <row r="2" spans="1:23" s="19" customFormat="1" ht="18" customHeight="1" x14ac:dyDescent="0.25">
      <c r="A2" s="50"/>
      <c r="B2" s="50"/>
      <c r="C2" s="31" t="s">
        <v>126</v>
      </c>
      <c r="D2" s="32" t="s">
        <v>127</v>
      </c>
      <c r="E2" s="32" t="s">
        <v>128</v>
      </c>
      <c r="F2" s="32" t="s">
        <v>129</v>
      </c>
      <c r="G2" s="32" t="s">
        <v>130</v>
      </c>
      <c r="H2" s="32" t="s">
        <v>131</v>
      </c>
      <c r="I2" s="32" t="s">
        <v>132</v>
      </c>
      <c r="R2" s="25"/>
      <c r="S2" s="25"/>
      <c r="T2" s="25"/>
      <c r="U2" s="25"/>
    </row>
    <row r="3" spans="1:23" x14ac:dyDescent="0.25">
      <c r="A3" s="51" t="s">
        <v>0</v>
      </c>
      <c r="B3" s="52"/>
      <c r="C3" s="49"/>
      <c r="D3" s="49"/>
      <c r="E3" s="49"/>
      <c r="F3" s="49"/>
      <c r="G3" s="49"/>
      <c r="H3" s="49"/>
      <c r="I3" s="49"/>
    </row>
    <row r="4" spans="1:23" ht="16.5" customHeight="1" x14ac:dyDescent="0.25">
      <c r="A4" s="29" t="s">
        <v>104</v>
      </c>
      <c r="B4" s="30" t="s">
        <v>8</v>
      </c>
      <c r="C4" s="30"/>
      <c r="D4" s="29"/>
      <c r="E4" s="33"/>
      <c r="F4" s="33"/>
      <c r="G4" s="33"/>
      <c r="H4" s="33"/>
      <c r="I4" s="33"/>
    </row>
    <row r="5" spans="1:23" x14ac:dyDescent="0.25">
      <c r="A5" s="29" t="s">
        <v>105</v>
      </c>
      <c r="B5" s="30" t="s">
        <v>9</v>
      </c>
      <c r="C5" s="30"/>
      <c r="D5" s="29"/>
      <c r="E5" s="33"/>
      <c r="F5" s="33"/>
      <c r="G5" s="33"/>
      <c r="H5" s="33"/>
      <c r="I5" s="33"/>
      <c r="W5" s="26"/>
    </row>
    <row r="6" spans="1:23" x14ac:dyDescent="0.25">
      <c r="A6" s="29" t="s">
        <v>106</v>
      </c>
      <c r="B6" s="30" t="s">
        <v>10</v>
      </c>
      <c r="C6" s="30"/>
      <c r="D6" s="29"/>
      <c r="E6" s="33"/>
      <c r="F6" s="33"/>
      <c r="G6" s="33"/>
      <c r="H6" s="33"/>
      <c r="I6" s="33"/>
    </row>
    <row r="7" spans="1:23" ht="15.75" customHeight="1" x14ac:dyDescent="0.25">
      <c r="A7" s="29" t="s">
        <v>107</v>
      </c>
      <c r="B7" s="30" t="s">
        <v>34</v>
      </c>
      <c r="C7" s="30"/>
      <c r="D7" s="29"/>
      <c r="E7" s="33"/>
      <c r="F7" s="33"/>
      <c r="G7" s="33"/>
      <c r="H7" s="29"/>
      <c r="I7" s="33"/>
    </row>
    <row r="8" spans="1:23" ht="15.75" customHeight="1" x14ac:dyDescent="0.25">
      <c r="A8" s="29" t="s">
        <v>108</v>
      </c>
      <c r="B8" s="30" t="s">
        <v>11</v>
      </c>
      <c r="C8" s="33"/>
      <c r="D8" s="33"/>
      <c r="E8" s="29"/>
      <c r="F8" s="29"/>
      <c r="G8" s="29"/>
      <c r="H8" s="29"/>
      <c r="I8" s="29"/>
      <c r="U8" s="27"/>
      <c r="V8" s="28"/>
    </row>
    <row r="9" spans="1:23" ht="15.75" customHeight="1" x14ac:dyDescent="0.25">
      <c r="A9" s="29" t="s">
        <v>109</v>
      </c>
      <c r="B9" s="30" t="s">
        <v>33</v>
      </c>
      <c r="C9" s="33"/>
      <c r="D9" s="33"/>
      <c r="E9" s="29"/>
      <c r="F9" s="29"/>
      <c r="G9" s="29"/>
      <c r="H9" s="33"/>
      <c r="I9" s="29"/>
      <c r="U9" s="27"/>
      <c r="V9" s="28"/>
    </row>
    <row r="10" spans="1:23" ht="15.75" customHeight="1" x14ac:dyDescent="0.25">
      <c r="A10" s="29" t="s">
        <v>110</v>
      </c>
      <c r="B10" s="30" t="s">
        <v>12</v>
      </c>
      <c r="C10" s="33"/>
      <c r="D10" s="29"/>
      <c r="E10" s="33"/>
      <c r="F10" s="33"/>
      <c r="G10" s="33"/>
      <c r="H10" s="33"/>
      <c r="I10" s="29"/>
    </row>
    <row r="11" spans="1:23" x14ac:dyDescent="0.25">
      <c r="A11" s="51" t="s">
        <v>1</v>
      </c>
      <c r="B11" s="52"/>
      <c r="C11" s="49"/>
      <c r="D11" s="49"/>
      <c r="E11" s="49"/>
      <c r="F11" s="49"/>
      <c r="G11" s="49"/>
      <c r="H11" s="49"/>
      <c r="I11" s="49"/>
    </row>
    <row r="12" spans="1:23" ht="33" customHeight="1" x14ac:dyDescent="0.25">
      <c r="A12" s="29" t="s">
        <v>111</v>
      </c>
      <c r="B12" s="30" t="s">
        <v>17</v>
      </c>
      <c r="C12" s="33"/>
      <c r="D12" s="33"/>
      <c r="E12" s="29"/>
      <c r="F12" s="29"/>
      <c r="G12" s="33"/>
      <c r="H12" s="29"/>
      <c r="I12" s="33"/>
      <c r="W12" s="26"/>
    </row>
    <row r="13" spans="1:23" ht="33" customHeight="1" x14ac:dyDescent="0.25">
      <c r="A13" s="29" t="s">
        <v>112</v>
      </c>
      <c r="B13" s="30" t="s">
        <v>81</v>
      </c>
      <c r="C13" s="30"/>
      <c r="D13" s="33"/>
      <c r="E13" s="33"/>
      <c r="F13" s="33"/>
      <c r="G13" s="33"/>
      <c r="H13" s="29"/>
      <c r="I13" s="33"/>
    </row>
    <row r="14" spans="1:23" ht="13.5" customHeight="1" x14ac:dyDescent="0.25">
      <c r="A14" s="29" t="s">
        <v>113</v>
      </c>
      <c r="B14" s="30" t="s">
        <v>18</v>
      </c>
      <c r="C14" s="33"/>
      <c r="D14" s="33"/>
      <c r="E14" s="33"/>
      <c r="F14" s="33"/>
      <c r="G14" s="33"/>
      <c r="H14" s="29"/>
      <c r="I14" s="33"/>
    </row>
    <row r="15" spans="1:23" x14ac:dyDescent="0.25">
      <c r="A15" s="51" t="s">
        <v>2</v>
      </c>
      <c r="B15" s="52"/>
      <c r="C15" s="49"/>
      <c r="D15" s="49"/>
      <c r="E15" s="49"/>
      <c r="F15" s="49"/>
      <c r="G15" s="49"/>
      <c r="H15" s="49"/>
      <c r="I15" s="49"/>
    </row>
    <row r="16" spans="1:23" ht="18" customHeight="1" x14ac:dyDescent="0.25">
      <c r="A16" s="29" t="s">
        <v>114</v>
      </c>
      <c r="B16" s="30" t="s">
        <v>19</v>
      </c>
      <c r="C16" s="33"/>
      <c r="D16" s="33"/>
      <c r="E16" s="29"/>
      <c r="F16" s="33"/>
      <c r="G16" s="33"/>
      <c r="H16" s="29"/>
      <c r="I16" s="33"/>
    </row>
    <row r="17" spans="1:25" ht="17.25" x14ac:dyDescent="0.25">
      <c r="A17" s="29" t="s">
        <v>115</v>
      </c>
      <c r="B17" s="30" t="s">
        <v>20</v>
      </c>
      <c r="C17" s="33"/>
      <c r="D17" s="33"/>
      <c r="E17" s="29"/>
      <c r="F17" s="33"/>
      <c r="G17" s="33"/>
      <c r="H17" s="29"/>
      <c r="I17" s="29"/>
      <c r="U17" s="24"/>
      <c r="W17" s="26"/>
    </row>
    <row r="18" spans="1:25" x14ac:dyDescent="0.25">
      <c r="A18" s="51" t="s">
        <v>3</v>
      </c>
      <c r="B18" s="52"/>
      <c r="C18" s="49"/>
      <c r="D18" s="49"/>
      <c r="E18" s="49"/>
      <c r="F18" s="49"/>
      <c r="G18" s="49"/>
      <c r="H18" s="49"/>
      <c r="I18" s="49"/>
    </row>
    <row r="19" spans="1:25" ht="20.25" customHeight="1" x14ac:dyDescent="0.25">
      <c r="A19" s="29" t="s">
        <v>116</v>
      </c>
      <c r="B19" s="30" t="s">
        <v>21</v>
      </c>
      <c r="C19" s="30"/>
      <c r="D19" s="29"/>
      <c r="E19" s="33"/>
      <c r="F19" s="33"/>
      <c r="G19" s="33"/>
      <c r="H19" s="33"/>
      <c r="I19" s="29"/>
    </row>
    <row r="20" spans="1:25" ht="20.25" customHeight="1" x14ac:dyDescent="0.25">
      <c r="A20" s="29" t="s">
        <v>117</v>
      </c>
      <c r="B20" s="30" t="s">
        <v>23</v>
      </c>
      <c r="C20" s="30"/>
      <c r="D20" s="29"/>
      <c r="E20" s="33"/>
      <c r="F20" s="33"/>
      <c r="G20" s="33"/>
      <c r="H20" s="33"/>
      <c r="I20" s="29"/>
      <c r="W20" s="26"/>
    </row>
    <row r="21" spans="1:25" x14ac:dyDescent="0.25">
      <c r="A21" s="51" t="s">
        <v>4</v>
      </c>
      <c r="B21" s="52"/>
      <c r="C21" s="49"/>
      <c r="D21" s="49"/>
      <c r="E21" s="49"/>
      <c r="F21" s="49"/>
      <c r="G21" s="49"/>
      <c r="H21" s="49"/>
      <c r="I21" s="49"/>
    </row>
    <row r="22" spans="1:25" ht="19.5" customHeight="1" x14ac:dyDescent="0.25">
      <c r="A22" s="29" t="s">
        <v>118</v>
      </c>
      <c r="B22" s="30" t="s">
        <v>24</v>
      </c>
      <c r="C22" s="30"/>
      <c r="D22" s="33"/>
      <c r="E22" s="33"/>
      <c r="F22" s="33"/>
      <c r="G22" s="33"/>
      <c r="H22" s="29"/>
      <c r="I22" s="33"/>
    </row>
    <row r="23" spans="1:25" ht="19.5" customHeight="1" x14ac:dyDescent="0.25">
      <c r="A23" s="29" t="s">
        <v>119</v>
      </c>
      <c r="B23" s="30" t="s">
        <v>66</v>
      </c>
      <c r="C23" s="30"/>
      <c r="D23" s="33"/>
      <c r="E23" s="33"/>
      <c r="F23" s="33"/>
      <c r="G23" s="33"/>
      <c r="H23" s="29"/>
      <c r="I23" s="33"/>
    </row>
    <row r="24" spans="1:25" x14ac:dyDescent="0.25">
      <c r="A24" s="51" t="s">
        <v>5</v>
      </c>
      <c r="B24" s="52"/>
      <c r="C24" s="49"/>
      <c r="D24" s="49"/>
      <c r="E24" s="49"/>
      <c r="F24" s="49"/>
      <c r="G24" s="49"/>
      <c r="H24" s="49"/>
      <c r="I24" s="49"/>
    </row>
    <row r="25" spans="1:25" ht="30" customHeight="1" x14ac:dyDescent="0.25">
      <c r="A25" s="29" t="s">
        <v>120</v>
      </c>
      <c r="B25" s="30" t="s">
        <v>25</v>
      </c>
      <c r="C25" s="33"/>
      <c r="D25" s="33"/>
      <c r="E25" s="33"/>
      <c r="F25" s="33"/>
      <c r="G25" s="33"/>
      <c r="H25" s="29"/>
      <c r="I25" s="33"/>
    </row>
    <row r="26" spans="1:25" ht="15.75" customHeight="1" x14ac:dyDescent="0.25">
      <c r="A26" s="29" t="s">
        <v>121</v>
      </c>
      <c r="B26" s="30" t="s">
        <v>124</v>
      </c>
      <c r="C26" s="33"/>
      <c r="D26" s="33"/>
      <c r="E26" s="33"/>
      <c r="F26" s="33"/>
      <c r="G26" s="33"/>
      <c r="H26" s="29"/>
      <c r="I26" s="33"/>
      <c r="Y26" s="26"/>
    </row>
    <row r="27" spans="1:25" ht="15.75" customHeight="1" x14ac:dyDescent="0.25">
      <c r="A27" s="29" t="s">
        <v>122</v>
      </c>
      <c r="B27" s="30" t="s">
        <v>57</v>
      </c>
      <c r="C27" s="33"/>
      <c r="D27" s="33"/>
      <c r="E27" s="33"/>
      <c r="F27" s="33"/>
      <c r="G27" s="33"/>
      <c r="H27" s="29"/>
      <c r="I27" s="33"/>
    </row>
    <row r="28" spans="1:25" x14ac:dyDescent="0.25">
      <c r="A28" s="51" t="s">
        <v>6</v>
      </c>
      <c r="B28" s="52"/>
      <c r="C28" s="49"/>
      <c r="D28" s="49"/>
      <c r="E28" s="49"/>
      <c r="F28" s="49"/>
      <c r="G28" s="49"/>
      <c r="H28" s="49"/>
      <c r="I28" s="49"/>
    </row>
    <row r="29" spans="1:25" x14ac:dyDescent="0.25">
      <c r="A29" s="29" t="s">
        <v>123</v>
      </c>
      <c r="B29" s="30" t="s">
        <v>26</v>
      </c>
      <c r="C29" s="33"/>
      <c r="D29" s="33"/>
      <c r="E29" s="29"/>
      <c r="F29" s="29"/>
      <c r="G29" s="29"/>
      <c r="H29" s="29"/>
      <c r="I29" s="29"/>
    </row>
    <row r="30" spans="1:25" x14ac:dyDescent="0.25">
      <c r="A30" s="10"/>
      <c r="B30" s="13"/>
      <c r="C30" s="13"/>
    </row>
    <row r="31" spans="1:25" x14ac:dyDescent="0.25">
      <c r="A31" s="10"/>
      <c r="B31" s="13"/>
      <c r="C31" s="13"/>
    </row>
    <row r="32" spans="1:25" x14ac:dyDescent="0.25">
      <c r="A32" s="10"/>
      <c r="B32" s="13"/>
      <c r="C32" s="13"/>
    </row>
    <row r="33" spans="1:23" x14ac:dyDescent="0.25">
      <c r="A33" s="10"/>
      <c r="B33" s="13"/>
      <c r="C33" s="13"/>
    </row>
    <row r="34" spans="1:23" x14ac:dyDescent="0.25">
      <c r="A34" s="10"/>
      <c r="B34" s="13"/>
      <c r="C34" s="13"/>
    </row>
    <row r="36" spans="1:23" x14ac:dyDescent="0.25">
      <c r="W36" s="26"/>
    </row>
  </sheetData>
  <mergeCells count="16">
    <mergeCell ref="C28:I28"/>
    <mergeCell ref="C1:I1"/>
    <mergeCell ref="A1:B2"/>
    <mergeCell ref="A3:B3"/>
    <mergeCell ref="A11:B11"/>
    <mergeCell ref="A15:B15"/>
    <mergeCell ref="A18:B18"/>
    <mergeCell ref="A21:B21"/>
    <mergeCell ref="A24:B24"/>
    <mergeCell ref="A28:B28"/>
    <mergeCell ref="C3:I3"/>
    <mergeCell ref="C11:I11"/>
    <mergeCell ref="C15:I15"/>
    <mergeCell ref="C18:I18"/>
    <mergeCell ref="C21:I21"/>
    <mergeCell ref="C24:I24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COBIT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 Risk Analysis, COBIT implementation</dc:title>
  <dc:creator>Charles Ajax Hulebak</dc:creator>
  <cp:lastModifiedBy/>
  <dcterms:created xsi:type="dcterms:W3CDTF">2015-06-05T18:17:20Z</dcterms:created>
  <dcterms:modified xsi:type="dcterms:W3CDTF">2020-01-10T07:05:11Z</dcterms:modified>
</cp:coreProperties>
</file>