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<sst xmlns="http://schemas.openxmlformats.org/spreadsheetml/2006/main" count="62" uniqueCount="32">
  <si>
    <t>sample_id</t>
  </si>
  <si>
    <t>sample_name</t>
  </si>
  <si>
    <t>No more than 1000 samples can be entered in this worksheet.  If you need to submit metadata for &gt;1000 samples, please contact CMI directly.</t>
  </si>
  <si>
    <t>altitude</t>
  </si>
  <si>
    <t>altitude_units</t>
  </si>
  <si>
    <t>empo_3</t>
  </si>
  <si>
    <t>env_material</t>
  </si>
  <si>
    <t>env_package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</si>
  <si>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</si>
  <si>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</si>
  <si>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</si>
  <si>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</si>
  <si>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</si>
  <si>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</si>
  <si>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</si>
  <si>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</si>
  <si>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</si>
  <si>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</si>
  <si>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</si>
  <si>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</si>
  <si>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</si>
  <si>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</si>
  <si>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</si>
  <si>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Height above land where air was sampled. The value must be a string and must equal "not applicable" or must equal "not collected" or must equal "not provided" or must equal "restricted access" or the value must be a number.</t>
  </si>
  <si>
    <t>The value must be a string and must equal "m". The default value is m.</t>
  </si>
  <si>
    <t>The value must be a string and must equal "aerosol (non-saline)" or must equal "aerosol (saline)".</t>
  </si>
  <si>
    <t>The value must be a string and must equal "air". The default value is air.</t>
  </si>
  <si>
    <t>The value must be a string and must equal "air metagenome". The default value is air metagenome.</t>
  </si>
  <si>
    <t>The value must be a string and must equal "655179". The default value is 655179.</t>
  </si>
  <si>
    <t xml:space="preserve">altitude:
  anyof:
  - allowed:
    - not applicable
    - not collected
    - not provided
    - restricted access
    type: string
  - type: number
  empty: false
  field_desc: height above land where air was sampled
  is_phi: false
  required: true
  units: altitude_units
altitude_units:
  allowed:
  - m
  default: m
  empty: false
  is_phi: false
  required: true
  type: string
empo_3:
  allowed:
  - aerosol (non-saline)
  - aerosol (saline)
  empty: false
  is_phi: false
  required: true
  type: string
env_material:
  allowed:
  - air
  default: air
  empty: false
  is_phi: false
  required: true
  type: string
env_package:
  allowed:
  - air
  default: air
  empty: false
  is_phi: false
  required: true
  type: string
sample_name:
  empty: false
  is_phi: false
  regex: ^[a-zA-Z0-9\.]+$
  required: true
  type: string
  unique: true
sample_type:
  allowed:
  - air
  default: air
  empty: false
  is_phi: false
  required: true
  type: string
scientific_name:
  allowed:
  - air metagenome
  default: air metagenome
  empty: false
  is_phi: false
  required: true
  type: string
taxon_id:
  allowed:
  - '655179'
  default: '655179'
  empty: false
  is_phi: false
  required: true
  type: string
</t>
  </si>
  <si>
    <t xml:space="preserve">0:
  allowed_missing_vals[]:
  - ebi_not_applicable
  - ebi_not_collected
  - ebi_not_provided
  - ebi_restricted
  data_type: number
  default_value: no_default
  field_desc: height above land where air was sampled
  field_name: altitude
  field_type: continuous
  maximum_comparison: no_comparison
  minimum_comparison: no_comparison
  units: m
1:
  categorical_values: "aerosol (non-saline)\r\naerosol (saline)"
  default_value: no_default
  field_name: empo_3
  field_type: categorical
2:
  categorical_default_select: air
  categorical_values: air
  default_value: categorical_default
  field_name: env_material
  field_type: categorical
3:
  categorical_default_select: air
  categorical_values: air
  default_value: categorical_default
  field_name: env_package
  field_type: categorical
4:
  categorical_default_select: air
  categorical_values: air
  default_value: categorical_default
  field_name: sample_type
  field_type: categorical
5:
  categorical_default_select: air metagenome
  categorical_values: air metagenome
  default_value: categorical_default
  field_name: scientific_name
  field_type: categorical
6:
  categorical_default_select: '655179'
  categorical_values: '655179'
  default_value: categorical_default
  field_name: taxon_id
  field_type: categorical
</t>
  </si>
  <si>
    <t>This file was created by QIIMP v0.3 at 2018-07-06 17:03:51.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</si>
</sst>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2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D2" s="1">
        <f>IF(B2="", "", "m")</f>
        <v>0</v>
      </c>
      <c r="F2" s="1">
        <f>IF(B2="", "", "air")</f>
        <v>0</v>
      </c>
      <c r="G2" s="1">
        <f>IF(B2="", "", "air")</f>
        <v>0</v>
      </c>
      <c r="H2" s="1">
        <f>IF(B2="", "", "air")</f>
        <v>0</v>
      </c>
      <c r="I2" s="1">
        <f>IF(B2="", "", "air metagenome")</f>
        <v>0</v>
      </c>
      <c r="J2" s="1">
        <f>IF(B2="", "", "655179")</f>
        <v>0</v>
      </c>
    </row>
    <row r="3" spans="1:10">
      <c r="A3">
        <f>IF(COUNTBLANK(B3:J3)&lt;&gt;COLUMNS(B3:J3),2,"")</f>
        <v>0</v>
      </c>
      <c r="D3" s="1">
        <f>IF(B3="", "", "m")</f>
        <v>0</v>
      </c>
      <c r="F3" s="1">
        <f>IF(B3="", "", "air")</f>
        <v>0</v>
      </c>
      <c r="G3" s="1">
        <f>IF(B3="", "", "air")</f>
        <v>0</v>
      </c>
      <c r="H3" s="1">
        <f>IF(B3="", "", "air")</f>
        <v>0</v>
      </c>
      <c r="I3" s="1">
        <f>IF(B3="", "", "air metagenome")</f>
        <v>0</v>
      </c>
      <c r="J3" s="1">
        <f>IF(B3="", "", "655179")</f>
        <v>0</v>
      </c>
    </row>
    <row r="4" spans="1:10">
      <c r="A4">
        <f>IF(COUNTBLANK(B4:J4)&lt;&gt;COLUMNS(B4:J4),3,"")</f>
        <v>0</v>
      </c>
      <c r="D4" s="1">
        <f>IF(B4="", "", "m")</f>
        <v>0</v>
      </c>
      <c r="F4" s="1">
        <f>IF(B4="", "", "air")</f>
        <v>0</v>
      </c>
      <c r="G4" s="1">
        <f>IF(B4="", "", "air")</f>
        <v>0</v>
      </c>
      <c r="H4" s="1">
        <f>IF(B4="", "", "air")</f>
        <v>0</v>
      </c>
      <c r="I4" s="1">
        <f>IF(B4="", "", "air metagenome")</f>
        <v>0</v>
      </c>
      <c r="J4" s="1">
        <f>IF(B4="", "", "655179")</f>
        <v>0</v>
      </c>
    </row>
    <row r="5" spans="1:10">
      <c r="A5">
        <f>IF(COUNTBLANK(B5:J5)&lt;&gt;COLUMNS(B5:J5),4,"")</f>
        <v>0</v>
      </c>
      <c r="D5" s="1">
        <f>IF(B5="", "", "m")</f>
        <v>0</v>
      </c>
      <c r="F5" s="1">
        <f>IF(B5="", "", "air")</f>
        <v>0</v>
      </c>
      <c r="G5" s="1">
        <f>IF(B5="", "", "air")</f>
        <v>0</v>
      </c>
      <c r="H5" s="1">
        <f>IF(B5="", "", "air")</f>
        <v>0</v>
      </c>
      <c r="I5" s="1">
        <f>IF(B5="", "", "air metagenome")</f>
        <v>0</v>
      </c>
      <c r="J5" s="1">
        <f>IF(B5="", "", "655179")</f>
        <v>0</v>
      </c>
    </row>
    <row r="6" spans="1:10">
      <c r="A6">
        <f>IF(COUNTBLANK(B6:J6)&lt;&gt;COLUMNS(B6:J6),5,"")</f>
        <v>0</v>
      </c>
      <c r="D6" s="1">
        <f>IF(B6="", "", "m")</f>
        <v>0</v>
      </c>
      <c r="F6" s="1">
        <f>IF(B6="", "", "air")</f>
        <v>0</v>
      </c>
      <c r="G6" s="1">
        <f>IF(B6="", "", "air")</f>
        <v>0</v>
      </c>
      <c r="H6" s="1">
        <f>IF(B6="", "", "air")</f>
        <v>0</v>
      </c>
      <c r="I6" s="1">
        <f>IF(B6="", "", "air metagenome")</f>
        <v>0</v>
      </c>
      <c r="J6" s="1">
        <f>IF(B6="", "", "655179")</f>
        <v>0</v>
      </c>
    </row>
    <row r="7" spans="1:10">
      <c r="A7">
        <f>IF(COUNTBLANK(B7:J7)&lt;&gt;COLUMNS(B7:J7),6,"")</f>
        <v>0</v>
      </c>
      <c r="D7" s="1">
        <f>IF(B7="", "", "m")</f>
        <v>0</v>
      </c>
      <c r="F7" s="1">
        <f>IF(B7="", "", "air")</f>
        <v>0</v>
      </c>
      <c r="G7" s="1">
        <f>IF(B7="", "", "air")</f>
        <v>0</v>
      </c>
      <c r="H7" s="1">
        <f>IF(B7="", "", "air")</f>
        <v>0</v>
      </c>
      <c r="I7" s="1">
        <f>IF(B7="", "", "air metagenome")</f>
        <v>0</v>
      </c>
      <c r="J7" s="1">
        <f>IF(B7="", "", "655179")</f>
        <v>0</v>
      </c>
    </row>
    <row r="8" spans="1:10">
      <c r="A8">
        <f>IF(COUNTBLANK(B8:J8)&lt;&gt;COLUMNS(B8:J8),7,"")</f>
        <v>0</v>
      </c>
      <c r="D8" s="1">
        <f>IF(B8="", "", "m")</f>
        <v>0</v>
      </c>
      <c r="F8" s="1">
        <f>IF(B8="", "", "air")</f>
        <v>0</v>
      </c>
      <c r="G8" s="1">
        <f>IF(B8="", "", "air")</f>
        <v>0</v>
      </c>
      <c r="H8" s="1">
        <f>IF(B8="", "", "air")</f>
        <v>0</v>
      </c>
      <c r="I8" s="1">
        <f>IF(B8="", "", "air metagenome")</f>
        <v>0</v>
      </c>
      <c r="J8" s="1">
        <f>IF(B8="", "", "655179")</f>
        <v>0</v>
      </c>
    </row>
    <row r="9" spans="1:10">
      <c r="A9">
        <f>IF(COUNTBLANK(B9:J9)&lt;&gt;COLUMNS(B9:J9),8,"")</f>
        <v>0</v>
      </c>
      <c r="D9" s="1">
        <f>IF(B9="", "", "m")</f>
        <v>0</v>
      </c>
      <c r="F9" s="1">
        <f>IF(B9="", "", "air")</f>
        <v>0</v>
      </c>
      <c r="G9" s="1">
        <f>IF(B9="", "", "air")</f>
        <v>0</v>
      </c>
      <c r="H9" s="1">
        <f>IF(B9="", "", "air")</f>
        <v>0</v>
      </c>
      <c r="I9" s="1">
        <f>IF(B9="", "", "air metagenome")</f>
        <v>0</v>
      </c>
      <c r="J9" s="1">
        <f>IF(B9="", "", "655179")</f>
        <v>0</v>
      </c>
    </row>
    <row r="10" spans="1:10">
      <c r="A10">
        <f>IF(COUNTBLANK(B10:J10)&lt;&gt;COLUMNS(B10:J10),9,"")</f>
        <v>0</v>
      </c>
      <c r="D10" s="1">
        <f>IF(B10="", "", "m")</f>
        <v>0</v>
      </c>
      <c r="F10" s="1">
        <f>IF(B10="", "", "air")</f>
        <v>0</v>
      </c>
      <c r="G10" s="1">
        <f>IF(B10="", "", "air")</f>
        <v>0</v>
      </c>
      <c r="H10" s="1">
        <f>IF(B10="", "", "air")</f>
        <v>0</v>
      </c>
      <c r="I10" s="1">
        <f>IF(B10="", "", "air metagenome")</f>
        <v>0</v>
      </c>
      <c r="J10" s="1">
        <f>IF(B10="", "", "655179")</f>
        <v>0</v>
      </c>
    </row>
    <row r="11" spans="1:10">
      <c r="A11">
        <f>IF(COUNTBLANK(B11:J11)&lt;&gt;COLUMNS(B11:J11),10,"")</f>
        <v>0</v>
      </c>
      <c r="D11" s="1">
        <f>IF(B11="", "", "m")</f>
        <v>0</v>
      </c>
      <c r="F11" s="1">
        <f>IF(B11="", "", "air")</f>
        <v>0</v>
      </c>
      <c r="G11" s="1">
        <f>IF(B11="", "", "air")</f>
        <v>0</v>
      </c>
      <c r="H11" s="1">
        <f>IF(B11="", "", "air")</f>
        <v>0</v>
      </c>
      <c r="I11" s="1">
        <f>IF(B11="", "", "air metagenome")</f>
        <v>0</v>
      </c>
      <c r="J11" s="1">
        <f>IF(B11="", "", "655179")</f>
        <v>0</v>
      </c>
    </row>
    <row r="12" spans="1:10">
      <c r="A12">
        <f>IF(COUNTBLANK(B12:J12)&lt;&gt;COLUMNS(B12:J12),11,"")</f>
        <v>0</v>
      </c>
      <c r="D12" s="1">
        <f>IF(B12="", "", "m")</f>
        <v>0</v>
      </c>
      <c r="F12" s="1">
        <f>IF(B12="", "", "air")</f>
        <v>0</v>
      </c>
      <c r="G12" s="1">
        <f>IF(B12="", "", "air")</f>
        <v>0</v>
      </c>
      <c r="H12" s="1">
        <f>IF(B12="", "", "air")</f>
        <v>0</v>
      </c>
      <c r="I12" s="1">
        <f>IF(B12="", "", "air metagenome")</f>
        <v>0</v>
      </c>
      <c r="J12" s="1">
        <f>IF(B12="", "", "655179")</f>
        <v>0</v>
      </c>
    </row>
    <row r="13" spans="1:10">
      <c r="A13">
        <f>IF(COUNTBLANK(B13:J13)&lt;&gt;COLUMNS(B13:J13),12,"")</f>
        <v>0</v>
      </c>
      <c r="D13" s="1">
        <f>IF(B13="", "", "m")</f>
        <v>0</v>
      </c>
      <c r="F13" s="1">
        <f>IF(B13="", "", "air")</f>
        <v>0</v>
      </c>
      <c r="G13" s="1">
        <f>IF(B13="", "", "air")</f>
        <v>0</v>
      </c>
      <c r="H13" s="1">
        <f>IF(B13="", "", "air")</f>
        <v>0</v>
      </c>
      <c r="I13" s="1">
        <f>IF(B13="", "", "air metagenome")</f>
        <v>0</v>
      </c>
      <c r="J13" s="1">
        <f>IF(B13="", "", "655179")</f>
        <v>0</v>
      </c>
    </row>
    <row r="14" spans="1:10">
      <c r="A14">
        <f>IF(COUNTBLANK(B14:J14)&lt;&gt;COLUMNS(B14:J14),13,"")</f>
        <v>0</v>
      </c>
      <c r="D14" s="1">
        <f>IF(B14="", "", "m")</f>
        <v>0</v>
      </c>
      <c r="F14" s="1">
        <f>IF(B14="", "", "air")</f>
        <v>0</v>
      </c>
      <c r="G14" s="1">
        <f>IF(B14="", "", "air")</f>
        <v>0</v>
      </c>
      <c r="H14" s="1">
        <f>IF(B14="", "", "air")</f>
        <v>0</v>
      </c>
      <c r="I14" s="1">
        <f>IF(B14="", "", "air metagenome")</f>
        <v>0</v>
      </c>
      <c r="J14" s="1">
        <f>IF(B14="", "", "655179")</f>
        <v>0</v>
      </c>
    </row>
    <row r="15" spans="1:10">
      <c r="A15">
        <f>IF(COUNTBLANK(B15:J15)&lt;&gt;COLUMNS(B15:J15),14,"")</f>
        <v>0</v>
      </c>
      <c r="D15" s="1">
        <f>IF(B15="", "", "m")</f>
        <v>0</v>
      </c>
      <c r="F15" s="1">
        <f>IF(B15="", "", "air")</f>
        <v>0</v>
      </c>
      <c r="G15" s="1">
        <f>IF(B15="", "", "air")</f>
        <v>0</v>
      </c>
      <c r="H15" s="1">
        <f>IF(B15="", "", "air")</f>
        <v>0</v>
      </c>
      <c r="I15" s="1">
        <f>IF(B15="", "", "air metagenome")</f>
        <v>0</v>
      </c>
      <c r="J15" s="1">
        <f>IF(B15="", "", "655179")</f>
        <v>0</v>
      </c>
    </row>
    <row r="16" spans="1:10">
      <c r="A16">
        <f>IF(COUNTBLANK(B16:J16)&lt;&gt;COLUMNS(B16:J16),15,"")</f>
        <v>0</v>
      </c>
      <c r="D16" s="1">
        <f>IF(B16="", "", "m")</f>
        <v>0</v>
      </c>
      <c r="F16" s="1">
        <f>IF(B16="", "", "air")</f>
        <v>0</v>
      </c>
      <c r="G16" s="1">
        <f>IF(B16="", "", "air")</f>
        <v>0</v>
      </c>
      <c r="H16" s="1">
        <f>IF(B16="", "", "air")</f>
        <v>0</v>
      </c>
      <c r="I16" s="1">
        <f>IF(B16="", "", "air metagenome")</f>
        <v>0</v>
      </c>
      <c r="J16" s="1">
        <f>IF(B16="", "", "655179")</f>
        <v>0</v>
      </c>
    </row>
    <row r="17" spans="1:10">
      <c r="A17">
        <f>IF(COUNTBLANK(B17:J17)&lt;&gt;COLUMNS(B17:J17),16,"")</f>
        <v>0</v>
      </c>
      <c r="D17" s="1">
        <f>IF(B17="", "", "m")</f>
        <v>0</v>
      </c>
      <c r="F17" s="1">
        <f>IF(B17="", "", "air")</f>
        <v>0</v>
      </c>
      <c r="G17" s="1">
        <f>IF(B17="", "", "air")</f>
        <v>0</v>
      </c>
      <c r="H17" s="1">
        <f>IF(B17="", "", "air")</f>
        <v>0</v>
      </c>
      <c r="I17" s="1">
        <f>IF(B17="", "", "air metagenome")</f>
        <v>0</v>
      </c>
      <c r="J17" s="1">
        <f>IF(B17="", "", "655179")</f>
        <v>0</v>
      </c>
    </row>
    <row r="18" spans="1:10">
      <c r="A18">
        <f>IF(COUNTBLANK(B18:J18)&lt;&gt;COLUMNS(B18:J18),17,"")</f>
        <v>0</v>
      </c>
      <c r="D18" s="1">
        <f>IF(B18="", "", "m")</f>
        <v>0</v>
      </c>
      <c r="F18" s="1">
        <f>IF(B18="", "", "air")</f>
        <v>0</v>
      </c>
      <c r="G18" s="1">
        <f>IF(B18="", "", "air")</f>
        <v>0</v>
      </c>
      <c r="H18" s="1">
        <f>IF(B18="", "", "air")</f>
        <v>0</v>
      </c>
      <c r="I18" s="1">
        <f>IF(B18="", "", "air metagenome")</f>
        <v>0</v>
      </c>
      <c r="J18" s="1">
        <f>IF(B18="", "", "655179")</f>
        <v>0</v>
      </c>
    </row>
    <row r="19" spans="1:10">
      <c r="A19">
        <f>IF(COUNTBLANK(B19:J19)&lt;&gt;COLUMNS(B19:J19),18,"")</f>
        <v>0</v>
      </c>
      <c r="D19" s="1">
        <f>IF(B19="", "", "m")</f>
        <v>0</v>
      </c>
      <c r="F19" s="1">
        <f>IF(B19="", "", "air")</f>
        <v>0</v>
      </c>
      <c r="G19" s="1">
        <f>IF(B19="", "", "air")</f>
        <v>0</v>
      </c>
      <c r="H19" s="1">
        <f>IF(B19="", "", "air")</f>
        <v>0</v>
      </c>
      <c r="I19" s="1">
        <f>IF(B19="", "", "air metagenome")</f>
        <v>0</v>
      </c>
      <c r="J19" s="1">
        <f>IF(B19="", "", "655179")</f>
        <v>0</v>
      </c>
    </row>
    <row r="20" spans="1:10">
      <c r="A20">
        <f>IF(COUNTBLANK(B20:J20)&lt;&gt;COLUMNS(B20:J20),19,"")</f>
        <v>0</v>
      </c>
      <c r="D20" s="1">
        <f>IF(B20="", "", "m")</f>
        <v>0</v>
      </c>
      <c r="F20" s="1">
        <f>IF(B20="", "", "air")</f>
        <v>0</v>
      </c>
      <c r="G20" s="1">
        <f>IF(B20="", "", "air")</f>
        <v>0</v>
      </c>
      <c r="H20" s="1">
        <f>IF(B20="", "", "air")</f>
        <v>0</v>
      </c>
      <c r="I20" s="1">
        <f>IF(B20="", "", "air metagenome")</f>
        <v>0</v>
      </c>
      <c r="J20" s="1">
        <f>IF(B20="", "", "655179")</f>
        <v>0</v>
      </c>
    </row>
    <row r="21" spans="1:10">
      <c r="A21">
        <f>IF(COUNTBLANK(B21:J21)&lt;&gt;COLUMNS(B21:J21),20,"")</f>
        <v>0</v>
      </c>
      <c r="D21" s="1">
        <f>IF(B21="", "", "m")</f>
        <v>0</v>
      </c>
      <c r="F21" s="1">
        <f>IF(B21="", "", "air")</f>
        <v>0</v>
      </c>
      <c r="G21" s="1">
        <f>IF(B21="", "", "air")</f>
        <v>0</v>
      </c>
      <c r="H21" s="1">
        <f>IF(B21="", "", "air")</f>
        <v>0</v>
      </c>
      <c r="I21" s="1">
        <f>IF(B21="", "", "air metagenome")</f>
        <v>0</v>
      </c>
      <c r="J21" s="1">
        <f>IF(B21="", "", "655179")</f>
        <v>0</v>
      </c>
    </row>
    <row r="22" spans="1:10">
      <c r="A22">
        <f>IF(COUNTBLANK(B22:J22)&lt;&gt;COLUMNS(B22:J22),21,"")</f>
        <v>0</v>
      </c>
      <c r="D22" s="1">
        <f>IF(B22="", "", "m")</f>
        <v>0</v>
      </c>
      <c r="F22" s="1">
        <f>IF(B22="", "", "air")</f>
        <v>0</v>
      </c>
      <c r="G22" s="1">
        <f>IF(B22="", "", "air")</f>
        <v>0</v>
      </c>
      <c r="H22" s="1">
        <f>IF(B22="", "", "air")</f>
        <v>0</v>
      </c>
      <c r="I22" s="1">
        <f>IF(B22="", "", "air metagenome")</f>
        <v>0</v>
      </c>
      <c r="J22" s="1">
        <f>IF(B22="", "", "655179")</f>
        <v>0</v>
      </c>
    </row>
    <row r="23" spans="1:10">
      <c r="A23">
        <f>IF(COUNTBLANK(B23:J23)&lt;&gt;COLUMNS(B23:J23),22,"")</f>
        <v>0</v>
      </c>
      <c r="D23" s="1">
        <f>IF(B23="", "", "m")</f>
        <v>0</v>
      </c>
      <c r="F23" s="1">
        <f>IF(B23="", "", "air")</f>
        <v>0</v>
      </c>
      <c r="G23" s="1">
        <f>IF(B23="", "", "air")</f>
        <v>0</v>
      </c>
      <c r="H23" s="1">
        <f>IF(B23="", "", "air")</f>
        <v>0</v>
      </c>
      <c r="I23" s="1">
        <f>IF(B23="", "", "air metagenome")</f>
        <v>0</v>
      </c>
      <c r="J23" s="1">
        <f>IF(B23="", "", "655179")</f>
        <v>0</v>
      </c>
    </row>
    <row r="24" spans="1:10">
      <c r="A24">
        <f>IF(COUNTBLANK(B24:J24)&lt;&gt;COLUMNS(B24:J24),23,"")</f>
        <v>0</v>
      </c>
      <c r="D24" s="1">
        <f>IF(B24="", "", "m")</f>
        <v>0</v>
      </c>
      <c r="F24" s="1">
        <f>IF(B24="", "", "air")</f>
        <v>0</v>
      </c>
      <c r="G24" s="1">
        <f>IF(B24="", "", "air")</f>
        <v>0</v>
      </c>
      <c r="H24" s="1">
        <f>IF(B24="", "", "air")</f>
        <v>0</v>
      </c>
      <c r="I24" s="1">
        <f>IF(B24="", "", "air metagenome")</f>
        <v>0</v>
      </c>
      <c r="J24" s="1">
        <f>IF(B24="", "", "655179")</f>
        <v>0</v>
      </c>
    </row>
    <row r="25" spans="1:10">
      <c r="A25">
        <f>IF(COUNTBLANK(B25:J25)&lt;&gt;COLUMNS(B25:J25),24,"")</f>
        <v>0</v>
      </c>
      <c r="D25" s="1">
        <f>IF(B25="", "", "m")</f>
        <v>0</v>
      </c>
      <c r="F25" s="1">
        <f>IF(B25="", "", "air")</f>
        <v>0</v>
      </c>
      <c r="G25" s="1">
        <f>IF(B25="", "", "air")</f>
        <v>0</v>
      </c>
      <c r="H25" s="1">
        <f>IF(B25="", "", "air")</f>
        <v>0</v>
      </c>
      <c r="I25" s="1">
        <f>IF(B25="", "", "air metagenome")</f>
        <v>0</v>
      </c>
      <c r="J25" s="1">
        <f>IF(B25="", "", "655179")</f>
        <v>0</v>
      </c>
    </row>
    <row r="26" spans="1:10">
      <c r="A26">
        <f>IF(COUNTBLANK(B26:J26)&lt;&gt;COLUMNS(B26:J26),25,"")</f>
        <v>0</v>
      </c>
      <c r="D26" s="1">
        <f>IF(B26="", "", "m")</f>
        <v>0</v>
      </c>
      <c r="F26" s="1">
        <f>IF(B26="", "", "air")</f>
        <v>0</v>
      </c>
      <c r="G26" s="1">
        <f>IF(B26="", "", "air")</f>
        <v>0</v>
      </c>
      <c r="H26" s="1">
        <f>IF(B26="", "", "air")</f>
        <v>0</v>
      </c>
      <c r="I26" s="1">
        <f>IF(B26="", "", "air metagenome")</f>
        <v>0</v>
      </c>
      <c r="J26" s="1">
        <f>IF(B26="", "", "655179")</f>
        <v>0</v>
      </c>
    </row>
    <row r="27" spans="1:10">
      <c r="A27">
        <f>IF(COUNTBLANK(B27:J27)&lt;&gt;COLUMNS(B27:J27),26,"")</f>
        <v>0</v>
      </c>
      <c r="D27" s="1">
        <f>IF(B27="", "", "m")</f>
        <v>0</v>
      </c>
      <c r="F27" s="1">
        <f>IF(B27="", "", "air")</f>
        <v>0</v>
      </c>
      <c r="G27" s="1">
        <f>IF(B27="", "", "air")</f>
        <v>0</v>
      </c>
      <c r="H27" s="1">
        <f>IF(B27="", "", "air")</f>
        <v>0</v>
      </c>
      <c r="I27" s="1">
        <f>IF(B27="", "", "air metagenome")</f>
        <v>0</v>
      </c>
      <c r="J27" s="1">
        <f>IF(B27="", "", "655179")</f>
        <v>0</v>
      </c>
    </row>
    <row r="28" spans="1:10">
      <c r="A28">
        <f>IF(COUNTBLANK(B28:J28)&lt;&gt;COLUMNS(B28:J28),27,"")</f>
        <v>0</v>
      </c>
      <c r="D28" s="1">
        <f>IF(B28="", "", "m")</f>
        <v>0</v>
      </c>
      <c r="F28" s="1">
        <f>IF(B28="", "", "air")</f>
        <v>0</v>
      </c>
      <c r="G28" s="1">
        <f>IF(B28="", "", "air")</f>
        <v>0</v>
      </c>
      <c r="H28" s="1">
        <f>IF(B28="", "", "air")</f>
        <v>0</v>
      </c>
      <c r="I28" s="1">
        <f>IF(B28="", "", "air metagenome")</f>
        <v>0</v>
      </c>
      <c r="J28" s="1">
        <f>IF(B28="", "", "655179")</f>
        <v>0</v>
      </c>
    </row>
    <row r="29" spans="1:10">
      <c r="A29">
        <f>IF(COUNTBLANK(B29:J29)&lt;&gt;COLUMNS(B29:J29),28,"")</f>
        <v>0</v>
      </c>
      <c r="D29" s="1">
        <f>IF(B29="", "", "m")</f>
        <v>0</v>
      </c>
      <c r="F29" s="1">
        <f>IF(B29="", "", "air")</f>
        <v>0</v>
      </c>
      <c r="G29" s="1">
        <f>IF(B29="", "", "air")</f>
        <v>0</v>
      </c>
      <c r="H29" s="1">
        <f>IF(B29="", "", "air")</f>
        <v>0</v>
      </c>
      <c r="I29" s="1">
        <f>IF(B29="", "", "air metagenome")</f>
        <v>0</v>
      </c>
      <c r="J29" s="1">
        <f>IF(B29="", "", "655179")</f>
        <v>0</v>
      </c>
    </row>
    <row r="30" spans="1:10">
      <c r="A30">
        <f>IF(COUNTBLANK(B30:J30)&lt;&gt;COLUMNS(B30:J30),29,"")</f>
        <v>0</v>
      </c>
      <c r="D30" s="1">
        <f>IF(B30="", "", "m")</f>
        <v>0</v>
      </c>
      <c r="F30" s="1">
        <f>IF(B30="", "", "air")</f>
        <v>0</v>
      </c>
      <c r="G30" s="1">
        <f>IF(B30="", "", "air")</f>
        <v>0</v>
      </c>
      <c r="H30" s="1">
        <f>IF(B30="", "", "air")</f>
        <v>0</v>
      </c>
      <c r="I30" s="1">
        <f>IF(B30="", "", "air metagenome")</f>
        <v>0</v>
      </c>
      <c r="J30" s="1">
        <f>IF(B30="", "", "655179")</f>
        <v>0</v>
      </c>
    </row>
    <row r="31" spans="1:10">
      <c r="A31">
        <f>IF(COUNTBLANK(B31:J31)&lt;&gt;COLUMNS(B31:J31),30,"")</f>
        <v>0</v>
      </c>
      <c r="D31" s="1">
        <f>IF(B31="", "", "m")</f>
        <v>0</v>
      </c>
      <c r="F31" s="1">
        <f>IF(B31="", "", "air")</f>
        <v>0</v>
      </c>
      <c r="G31" s="1">
        <f>IF(B31="", "", "air")</f>
        <v>0</v>
      </c>
      <c r="H31" s="1">
        <f>IF(B31="", "", "air")</f>
        <v>0</v>
      </c>
      <c r="I31" s="1">
        <f>IF(B31="", "", "air metagenome")</f>
        <v>0</v>
      </c>
      <c r="J31" s="1">
        <f>IF(B31="", "", "655179")</f>
        <v>0</v>
      </c>
    </row>
    <row r="32" spans="1:10">
      <c r="A32">
        <f>IF(COUNTBLANK(B32:J32)&lt;&gt;COLUMNS(B32:J32),31,"")</f>
        <v>0</v>
      </c>
      <c r="D32" s="1">
        <f>IF(B32="", "", "m")</f>
        <v>0</v>
      </c>
      <c r="F32" s="1">
        <f>IF(B32="", "", "air")</f>
        <v>0</v>
      </c>
      <c r="G32" s="1">
        <f>IF(B32="", "", "air")</f>
        <v>0</v>
      </c>
      <c r="H32" s="1">
        <f>IF(B32="", "", "air")</f>
        <v>0</v>
      </c>
      <c r="I32" s="1">
        <f>IF(B32="", "", "air metagenome")</f>
        <v>0</v>
      </c>
      <c r="J32" s="1">
        <f>IF(B32="", "", "655179")</f>
        <v>0</v>
      </c>
    </row>
    <row r="33" spans="1:10">
      <c r="A33">
        <f>IF(COUNTBLANK(B33:J33)&lt;&gt;COLUMNS(B33:J33),32,"")</f>
        <v>0</v>
      </c>
      <c r="D33" s="1">
        <f>IF(B33="", "", "m")</f>
        <v>0</v>
      </c>
      <c r="F33" s="1">
        <f>IF(B33="", "", "air")</f>
        <v>0</v>
      </c>
      <c r="G33" s="1">
        <f>IF(B33="", "", "air")</f>
        <v>0</v>
      </c>
      <c r="H33" s="1">
        <f>IF(B33="", "", "air")</f>
        <v>0</v>
      </c>
      <c r="I33" s="1">
        <f>IF(B33="", "", "air metagenome")</f>
        <v>0</v>
      </c>
      <c r="J33" s="1">
        <f>IF(B33="", "", "655179")</f>
        <v>0</v>
      </c>
    </row>
    <row r="34" spans="1:10">
      <c r="A34">
        <f>IF(COUNTBLANK(B34:J34)&lt;&gt;COLUMNS(B34:J34),33,"")</f>
        <v>0</v>
      </c>
      <c r="D34" s="1">
        <f>IF(B34="", "", "m")</f>
        <v>0</v>
      </c>
      <c r="F34" s="1">
        <f>IF(B34="", "", "air")</f>
        <v>0</v>
      </c>
      <c r="G34" s="1">
        <f>IF(B34="", "", "air")</f>
        <v>0</v>
      </c>
      <c r="H34" s="1">
        <f>IF(B34="", "", "air")</f>
        <v>0</v>
      </c>
      <c r="I34" s="1">
        <f>IF(B34="", "", "air metagenome")</f>
        <v>0</v>
      </c>
      <c r="J34" s="1">
        <f>IF(B34="", "", "655179")</f>
        <v>0</v>
      </c>
    </row>
    <row r="35" spans="1:10">
      <c r="A35">
        <f>IF(COUNTBLANK(B35:J35)&lt;&gt;COLUMNS(B35:J35),34,"")</f>
        <v>0</v>
      </c>
      <c r="D35" s="1">
        <f>IF(B35="", "", "m")</f>
        <v>0</v>
      </c>
      <c r="F35" s="1">
        <f>IF(B35="", "", "air")</f>
        <v>0</v>
      </c>
      <c r="G35" s="1">
        <f>IF(B35="", "", "air")</f>
        <v>0</v>
      </c>
      <c r="H35" s="1">
        <f>IF(B35="", "", "air")</f>
        <v>0</v>
      </c>
      <c r="I35" s="1">
        <f>IF(B35="", "", "air metagenome")</f>
        <v>0</v>
      </c>
      <c r="J35" s="1">
        <f>IF(B35="", "", "655179")</f>
        <v>0</v>
      </c>
    </row>
    <row r="36" spans="1:10">
      <c r="A36">
        <f>IF(COUNTBLANK(B36:J36)&lt;&gt;COLUMNS(B36:J36),35,"")</f>
        <v>0</v>
      </c>
      <c r="D36" s="1">
        <f>IF(B36="", "", "m")</f>
        <v>0</v>
      </c>
      <c r="F36" s="1">
        <f>IF(B36="", "", "air")</f>
        <v>0</v>
      </c>
      <c r="G36" s="1">
        <f>IF(B36="", "", "air")</f>
        <v>0</v>
      </c>
      <c r="H36" s="1">
        <f>IF(B36="", "", "air")</f>
        <v>0</v>
      </c>
      <c r="I36" s="1">
        <f>IF(B36="", "", "air metagenome")</f>
        <v>0</v>
      </c>
      <c r="J36" s="1">
        <f>IF(B36="", "", "655179")</f>
        <v>0</v>
      </c>
    </row>
    <row r="37" spans="1:10">
      <c r="A37">
        <f>IF(COUNTBLANK(B37:J37)&lt;&gt;COLUMNS(B37:J37),36,"")</f>
        <v>0</v>
      </c>
      <c r="D37" s="1">
        <f>IF(B37="", "", "m")</f>
        <v>0</v>
      </c>
      <c r="F37" s="1">
        <f>IF(B37="", "", "air")</f>
        <v>0</v>
      </c>
      <c r="G37" s="1">
        <f>IF(B37="", "", "air")</f>
        <v>0</v>
      </c>
      <c r="H37" s="1">
        <f>IF(B37="", "", "air")</f>
        <v>0</v>
      </c>
      <c r="I37" s="1">
        <f>IF(B37="", "", "air metagenome")</f>
        <v>0</v>
      </c>
      <c r="J37" s="1">
        <f>IF(B37="", "", "655179")</f>
        <v>0</v>
      </c>
    </row>
    <row r="38" spans="1:10">
      <c r="A38">
        <f>IF(COUNTBLANK(B38:J38)&lt;&gt;COLUMNS(B38:J38),37,"")</f>
        <v>0</v>
      </c>
      <c r="D38" s="1">
        <f>IF(B38="", "", "m")</f>
        <v>0</v>
      </c>
      <c r="F38" s="1">
        <f>IF(B38="", "", "air")</f>
        <v>0</v>
      </c>
      <c r="G38" s="1">
        <f>IF(B38="", "", "air")</f>
        <v>0</v>
      </c>
      <c r="H38" s="1">
        <f>IF(B38="", "", "air")</f>
        <v>0</v>
      </c>
      <c r="I38" s="1">
        <f>IF(B38="", "", "air metagenome")</f>
        <v>0</v>
      </c>
      <c r="J38" s="1">
        <f>IF(B38="", "", "655179")</f>
        <v>0</v>
      </c>
    </row>
    <row r="39" spans="1:10">
      <c r="A39">
        <f>IF(COUNTBLANK(B39:J39)&lt;&gt;COLUMNS(B39:J39),38,"")</f>
        <v>0</v>
      </c>
      <c r="D39" s="1">
        <f>IF(B39="", "", "m")</f>
        <v>0</v>
      </c>
      <c r="F39" s="1">
        <f>IF(B39="", "", "air")</f>
        <v>0</v>
      </c>
      <c r="G39" s="1">
        <f>IF(B39="", "", "air")</f>
        <v>0</v>
      </c>
      <c r="H39" s="1">
        <f>IF(B39="", "", "air")</f>
        <v>0</v>
      </c>
      <c r="I39" s="1">
        <f>IF(B39="", "", "air metagenome")</f>
        <v>0</v>
      </c>
      <c r="J39" s="1">
        <f>IF(B39="", "", "655179")</f>
        <v>0</v>
      </c>
    </row>
    <row r="40" spans="1:10">
      <c r="A40">
        <f>IF(COUNTBLANK(B40:J40)&lt;&gt;COLUMNS(B40:J40),39,"")</f>
        <v>0</v>
      </c>
      <c r="D40" s="1">
        <f>IF(B40="", "", "m")</f>
        <v>0</v>
      </c>
      <c r="F40" s="1">
        <f>IF(B40="", "", "air")</f>
        <v>0</v>
      </c>
      <c r="G40" s="1">
        <f>IF(B40="", "", "air")</f>
        <v>0</v>
      </c>
      <c r="H40" s="1">
        <f>IF(B40="", "", "air")</f>
        <v>0</v>
      </c>
      <c r="I40" s="1">
        <f>IF(B40="", "", "air metagenome")</f>
        <v>0</v>
      </c>
      <c r="J40" s="1">
        <f>IF(B40="", "", "655179")</f>
        <v>0</v>
      </c>
    </row>
    <row r="41" spans="1:10">
      <c r="A41">
        <f>IF(COUNTBLANK(B41:J41)&lt;&gt;COLUMNS(B41:J41),40,"")</f>
        <v>0</v>
      </c>
      <c r="D41" s="1">
        <f>IF(B41="", "", "m")</f>
        <v>0</v>
      </c>
      <c r="F41" s="1">
        <f>IF(B41="", "", "air")</f>
        <v>0</v>
      </c>
      <c r="G41" s="1">
        <f>IF(B41="", "", "air")</f>
        <v>0</v>
      </c>
      <c r="H41" s="1">
        <f>IF(B41="", "", "air")</f>
        <v>0</v>
      </c>
      <c r="I41" s="1">
        <f>IF(B41="", "", "air metagenome")</f>
        <v>0</v>
      </c>
      <c r="J41" s="1">
        <f>IF(B41="", "", "655179")</f>
        <v>0</v>
      </c>
    </row>
    <row r="42" spans="1:10">
      <c r="A42">
        <f>IF(COUNTBLANK(B42:J42)&lt;&gt;COLUMNS(B42:J42),41,"")</f>
        <v>0</v>
      </c>
      <c r="D42" s="1">
        <f>IF(B42="", "", "m")</f>
        <v>0</v>
      </c>
      <c r="F42" s="1">
        <f>IF(B42="", "", "air")</f>
        <v>0</v>
      </c>
      <c r="G42" s="1">
        <f>IF(B42="", "", "air")</f>
        <v>0</v>
      </c>
      <c r="H42" s="1">
        <f>IF(B42="", "", "air")</f>
        <v>0</v>
      </c>
      <c r="I42" s="1">
        <f>IF(B42="", "", "air metagenome")</f>
        <v>0</v>
      </c>
      <c r="J42" s="1">
        <f>IF(B42="", "", "655179")</f>
        <v>0</v>
      </c>
    </row>
    <row r="43" spans="1:10">
      <c r="A43">
        <f>IF(COUNTBLANK(B43:J43)&lt;&gt;COLUMNS(B43:J43),42,"")</f>
        <v>0</v>
      </c>
      <c r="D43" s="1">
        <f>IF(B43="", "", "m")</f>
        <v>0</v>
      </c>
      <c r="F43" s="1">
        <f>IF(B43="", "", "air")</f>
        <v>0</v>
      </c>
      <c r="G43" s="1">
        <f>IF(B43="", "", "air")</f>
        <v>0</v>
      </c>
      <c r="H43" s="1">
        <f>IF(B43="", "", "air")</f>
        <v>0</v>
      </c>
      <c r="I43" s="1">
        <f>IF(B43="", "", "air metagenome")</f>
        <v>0</v>
      </c>
      <c r="J43" s="1">
        <f>IF(B43="", "", "655179")</f>
        <v>0</v>
      </c>
    </row>
    <row r="44" spans="1:10">
      <c r="A44">
        <f>IF(COUNTBLANK(B44:J44)&lt;&gt;COLUMNS(B44:J44),43,"")</f>
        <v>0</v>
      </c>
      <c r="D44" s="1">
        <f>IF(B44="", "", "m")</f>
        <v>0</v>
      </c>
      <c r="F44" s="1">
        <f>IF(B44="", "", "air")</f>
        <v>0</v>
      </c>
      <c r="G44" s="1">
        <f>IF(B44="", "", "air")</f>
        <v>0</v>
      </c>
      <c r="H44" s="1">
        <f>IF(B44="", "", "air")</f>
        <v>0</v>
      </c>
      <c r="I44" s="1">
        <f>IF(B44="", "", "air metagenome")</f>
        <v>0</v>
      </c>
      <c r="J44" s="1">
        <f>IF(B44="", "", "655179")</f>
        <v>0</v>
      </c>
    </row>
    <row r="45" spans="1:10">
      <c r="A45">
        <f>IF(COUNTBLANK(B45:J45)&lt;&gt;COLUMNS(B45:J45),44,"")</f>
        <v>0</v>
      </c>
      <c r="D45" s="1">
        <f>IF(B45="", "", "m")</f>
        <v>0</v>
      </c>
      <c r="F45" s="1">
        <f>IF(B45="", "", "air")</f>
        <v>0</v>
      </c>
      <c r="G45" s="1">
        <f>IF(B45="", "", "air")</f>
        <v>0</v>
      </c>
      <c r="H45" s="1">
        <f>IF(B45="", "", "air")</f>
        <v>0</v>
      </c>
      <c r="I45" s="1">
        <f>IF(B45="", "", "air metagenome")</f>
        <v>0</v>
      </c>
      <c r="J45" s="1">
        <f>IF(B45="", "", "655179")</f>
        <v>0</v>
      </c>
    </row>
    <row r="46" spans="1:10">
      <c r="A46">
        <f>IF(COUNTBLANK(B46:J46)&lt;&gt;COLUMNS(B46:J46),45,"")</f>
        <v>0</v>
      </c>
      <c r="D46" s="1">
        <f>IF(B46="", "", "m")</f>
        <v>0</v>
      </c>
      <c r="F46" s="1">
        <f>IF(B46="", "", "air")</f>
        <v>0</v>
      </c>
      <c r="G46" s="1">
        <f>IF(B46="", "", "air")</f>
        <v>0</v>
      </c>
      <c r="H46" s="1">
        <f>IF(B46="", "", "air")</f>
        <v>0</v>
      </c>
      <c r="I46" s="1">
        <f>IF(B46="", "", "air metagenome")</f>
        <v>0</v>
      </c>
      <c r="J46" s="1">
        <f>IF(B46="", "", "655179")</f>
        <v>0</v>
      </c>
    </row>
    <row r="47" spans="1:10">
      <c r="A47">
        <f>IF(COUNTBLANK(B47:J47)&lt;&gt;COLUMNS(B47:J47),46,"")</f>
        <v>0</v>
      </c>
      <c r="D47" s="1">
        <f>IF(B47="", "", "m")</f>
        <v>0</v>
      </c>
      <c r="F47" s="1">
        <f>IF(B47="", "", "air")</f>
        <v>0</v>
      </c>
      <c r="G47" s="1">
        <f>IF(B47="", "", "air")</f>
        <v>0</v>
      </c>
      <c r="H47" s="1">
        <f>IF(B47="", "", "air")</f>
        <v>0</v>
      </c>
      <c r="I47" s="1">
        <f>IF(B47="", "", "air metagenome")</f>
        <v>0</v>
      </c>
      <c r="J47" s="1">
        <f>IF(B47="", "", "655179")</f>
        <v>0</v>
      </c>
    </row>
    <row r="48" spans="1:10">
      <c r="A48">
        <f>IF(COUNTBLANK(B48:J48)&lt;&gt;COLUMNS(B48:J48),47,"")</f>
        <v>0</v>
      </c>
      <c r="D48" s="1">
        <f>IF(B48="", "", "m")</f>
        <v>0</v>
      </c>
      <c r="F48" s="1">
        <f>IF(B48="", "", "air")</f>
        <v>0</v>
      </c>
      <c r="G48" s="1">
        <f>IF(B48="", "", "air")</f>
        <v>0</v>
      </c>
      <c r="H48" s="1">
        <f>IF(B48="", "", "air")</f>
        <v>0</v>
      </c>
      <c r="I48" s="1">
        <f>IF(B48="", "", "air metagenome")</f>
        <v>0</v>
      </c>
      <c r="J48" s="1">
        <f>IF(B48="", "", "655179")</f>
        <v>0</v>
      </c>
    </row>
    <row r="49" spans="1:10">
      <c r="A49">
        <f>IF(COUNTBLANK(B49:J49)&lt;&gt;COLUMNS(B49:J49),48,"")</f>
        <v>0</v>
      </c>
      <c r="D49" s="1">
        <f>IF(B49="", "", "m")</f>
        <v>0</v>
      </c>
      <c r="F49" s="1">
        <f>IF(B49="", "", "air")</f>
        <v>0</v>
      </c>
      <c r="G49" s="1">
        <f>IF(B49="", "", "air")</f>
        <v>0</v>
      </c>
      <c r="H49" s="1">
        <f>IF(B49="", "", "air")</f>
        <v>0</v>
      </c>
      <c r="I49" s="1">
        <f>IF(B49="", "", "air metagenome")</f>
        <v>0</v>
      </c>
      <c r="J49" s="1">
        <f>IF(B49="", "", "655179")</f>
        <v>0</v>
      </c>
    </row>
    <row r="50" spans="1:10">
      <c r="A50">
        <f>IF(COUNTBLANK(B50:J50)&lt;&gt;COLUMNS(B50:J50),49,"")</f>
        <v>0</v>
      </c>
      <c r="D50" s="1">
        <f>IF(B50="", "", "m")</f>
        <v>0</v>
      </c>
      <c r="F50" s="1">
        <f>IF(B50="", "", "air")</f>
        <v>0</v>
      </c>
      <c r="G50" s="1">
        <f>IF(B50="", "", "air")</f>
        <v>0</v>
      </c>
      <c r="H50" s="1">
        <f>IF(B50="", "", "air")</f>
        <v>0</v>
      </c>
      <c r="I50" s="1">
        <f>IF(B50="", "", "air metagenome")</f>
        <v>0</v>
      </c>
      <c r="J50" s="1">
        <f>IF(B50="", "", "655179")</f>
        <v>0</v>
      </c>
    </row>
    <row r="51" spans="1:10">
      <c r="A51">
        <f>IF(COUNTBLANK(B51:J51)&lt;&gt;COLUMNS(B51:J51),50,"")</f>
        <v>0</v>
      </c>
      <c r="D51" s="1">
        <f>IF(B51="", "", "m")</f>
        <v>0</v>
      </c>
      <c r="F51" s="1">
        <f>IF(B51="", "", "air")</f>
        <v>0</v>
      </c>
      <c r="G51" s="1">
        <f>IF(B51="", "", "air")</f>
        <v>0</v>
      </c>
      <c r="H51" s="1">
        <f>IF(B51="", "", "air")</f>
        <v>0</v>
      </c>
      <c r="I51" s="1">
        <f>IF(B51="", "", "air metagenome")</f>
        <v>0</v>
      </c>
      <c r="J51" s="1">
        <f>IF(B51="", "", "655179")</f>
        <v>0</v>
      </c>
    </row>
    <row r="52" spans="1:10">
      <c r="A52">
        <f>IF(COUNTBLANK(B52:J52)&lt;&gt;COLUMNS(B52:J52),51,"")</f>
        <v>0</v>
      </c>
      <c r="D52" s="1">
        <f>IF(B52="", "", "m")</f>
        <v>0</v>
      </c>
      <c r="F52" s="1">
        <f>IF(B52="", "", "air")</f>
        <v>0</v>
      </c>
      <c r="G52" s="1">
        <f>IF(B52="", "", "air")</f>
        <v>0</v>
      </c>
      <c r="H52" s="1">
        <f>IF(B52="", "", "air")</f>
        <v>0</v>
      </c>
      <c r="I52" s="1">
        <f>IF(B52="", "", "air metagenome")</f>
        <v>0</v>
      </c>
      <c r="J52" s="1">
        <f>IF(B52="", "", "655179")</f>
        <v>0</v>
      </c>
    </row>
    <row r="53" spans="1:10">
      <c r="A53">
        <f>IF(COUNTBLANK(B53:J53)&lt;&gt;COLUMNS(B53:J53),52,"")</f>
        <v>0</v>
      </c>
      <c r="D53" s="1">
        <f>IF(B53="", "", "m")</f>
        <v>0</v>
      </c>
      <c r="F53" s="1">
        <f>IF(B53="", "", "air")</f>
        <v>0</v>
      </c>
      <c r="G53" s="1">
        <f>IF(B53="", "", "air")</f>
        <v>0</v>
      </c>
      <c r="H53" s="1">
        <f>IF(B53="", "", "air")</f>
        <v>0</v>
      </c>
      <c r="I53" s="1">
        <f>IF(B53="", "", "air metagenome")</f>
        <v>0</v>
      </c>
      <c r="J53" s="1">
        <f>IF(B53="", "", "655179")</f>
        <v>0</v>
      </c>
    </row>
    <row r="54" spans="1:10">
      <c r="A54">
        <f>IF(COUNTBLANK(B54:J54)&lt;&gt;COLUMNS(B54:J54),53,"")</f>
        <v>0</v>
      </c>
      <c r="D54" s="1">
        <f>IF(B54="", "", "m")</f>
        <v>0</v>
      </c>
      <c r="F54" s="1">
        <f>IF(B54="", "", "air")</f>
        <v>0</v>
      </c>
      <c r="G54" s="1">
        <f>IF(B54="", "", "air")</f>
        <v>0</v>
      </c>
      <c r="H54" s="1">
        <f>IF(B54="", "", "air")</f>
        <v>0</v>
      </c>
      <c r="I54" s="1">
        <f>IF(B54="", "", "air metagenome")</f>
        <v>0</v>
      </c>
      <c r="J54" s="1">
        <f>IF(B54="", "", "655179")</f>
        <v>0</v>
      </c>
    </row>
    <row r="55" spans="1:10">
      <c r="A55">
        <f>IF(COUNTBLANK(B55:J55)&lt;&gt;COLUMNS(B55:J55),54,"")</f>
        <v>0</v>
      </c>
      <c r="D55" s="1">
        <f>IF(B55="", "", "m")</f>
        <v>0</v>
      </c>
      <c r="F55" s="1">
        <f>IF(B55="", "", "air")</f>
        <v>0</v>
      </c>
      <c r="G55" s="1">
        <f>IF(B55="", "", "air")</f>
        <v>0</v>
      </c>
      <c r="H55" s="1">
        <f>IF(B55="", "", "air")</f>
        <v>0</v>
      </c>
      <c r="I55" s="1">
        <f>IF(B55="", "", "air metagenome")</f>
        <v>0</v>
      </c>
      <c r="J55" s="1">
        <f>IF(B55="", "", "655179")</f>
        <v>0</v>
      </c>
    </row>
    <row r="56" spans="1:10">
      <c r="A56">
        <f>IF(COUNTBLANK(B56:J56)&lt;&gt;COLUMNS(B56:J56),55,"")</f>
        <v>0</v>
      </c>
      <c r="D56" s="1">
        <f>IF(B56="", "", "m")</f>
        <v>0</v>
      </c>
      <c r="F56" s="1">
        <f>IF(B56="", "", "air")</f>
        <v>0</v>
      </c>
      <c r="G56" s="1">
        <f>IF(B56="", "", "air")</f>
        <v>0</v>
      </c>
      <c r="H56" s="1">
        <f>IF(B56="", "", "air")</f>
        <v>0</v>
      </c>
      <c r="I56" s="1">
        <f>IF(B56="", "", "air metagenome")</f>
        <v>0</v>
      </c>
      <c r="J56" s="1">
        <f>IF(B56="", "", "655179")</f>
        <v>0</v>
      </c>
    </row>
    <row r="57" spans="1:10">
      <c r="A57">
        <f>IF(COUNTBLANK(B57:J57)&lt;&gt;COLUMNS(B57:J57),56,"")</f>
        <v>0</v>
      </c>
      <c r="D57" s="1">
        <f>IF(B57="", "", "m")</f>
        <v>0</v>
      </c>
      <c r="F57" s="1">
        <f>IF(B57="", "", "air")</f>
        <v>0</v>
      </c>
      <c r="G57" s="1">
        <f>IF(B57="", "", "air")</f>
        <v>0</v>
      </c>
      <c r="H57" s="1">
        <f>IF(B57="", "", "air")</f>
        <v>0</v>
      </c>
      <c r="I57" s="1">
        <f>IF(B57="", "", "air metagenome")</f>
        <v>0</v>
      </c>
      <c r="J57" s="1">
        <f>IF(B57="", "", "655179")</f>
        <v>0</v>
      </c>
    </row>
    <row r="58" spans="1:10">
      <c r="A58">
        <f>IF(COUNTBLANK(B58:J58)&lt;&gt;COLUMNS(B58:J58),57,"")</f>
        <v>0</v>
      </c>
      <c r="D58" s="1">
        <f>IF(B58="", "", "m")</f>
        <v>0</v>
      </c>
      <c r="F58" s="1">
        <f>IF(B58="", "", "air")</f>
        <v>0</v>
      </c>
      <c r="G58" s="1">
        <f>IF(B58="", "", "air")</f>
        <v>0</v>
      </c>
      <c r="H58" s="1">
        <f>IF(B58="", "", "air")</f>
        <v>0</v>
      </c>
      <c r="I58" s="1">
        <f>IF(B58="", "", "air metagenome")</f>
        <v>0</v>
      </c>
      <c r="J58" s="1">
        <f>IF(B58="", "", "655179")</f>
        <v>0</v>
      </c>
    </row>
    <row r="59" spans="1:10">
      <c r="A59">
        <f>IF(COUNTBLANK(B59:J59)&lt;&gt;COLUMNS(B59:J59),58,"")</f>
        <v>0</v>
      </c>
      <c r="D59" s="1">
        <f>IF(B59="", "", "m")</f>
        <v>0</v>
      </c>
      <c r="F59" s="1">
        <f>IF(B59="", "", "air")</f>
        <v>0</v>
      </c>
      <c r="G59" s="1">
        <f>IF(B59="", "", "air")</f>
        <v>0</v>
      </c>
      <c r="H59" s="1">
        <f>IF(B59="", "", "air")</f>
        <v>0</v>
      </c>
      <c r="I59" s="1">
        <f>IF(B59="", "", "air metagenome")</f>
        <v>0</v>
      </c>
      <c r="J59" s="1">
        <f>IF(B59="", "", "655179")</f>
        <v>0</v>
      </c>
    </row>
    <row r="60" spans="1:10">
      <c r="A60">
        <f>IF(COUNTBLANK(B60:J60)&lt;&gt;COLUMNS(B60:J60),59,"")</f>
        <v>0</v>
      </c>
      <c r="D60" s="1">
        <f>IF(B60="", "", "m")</f>
        <v>0</v>
      </c>
      <c r="F60" s="1">
        <f>IF(B60="", "", "air")</f>
        <v>0</v>
      </c>
      <c r="G60" s="1">
        <f>IF(B60="", "", "air")</f>
        <v>0</v>
      </c>
      <c r="H60" s="1">
        <f>IF(B60="", "", "air")</f>
        <v>0</v>
      </c>
      <c r="I60" s="1">
        <f>IF(B60="", "", "air metagenome")</f>
        <v>0</v>
      </c>
      <c r="J60" s="1">
        <f>IF(B60="", "", "655179")</f>
        <v>0</v>
      </c>
    </row>
    <row r="61" spans="1:10">
      <c r="A61">
        <f>IF(COUNTBLANK(B61:J61)&lt;&gt;COLUMNS(B61:J61),60,"")</f>
        <v>0</v>
      </c>
      <c r="D61" s="1">
        <f>IF(B61="", "", "m")</f>
        <v>0</v>
      </c>
      <c r="F61" s="1">
        <f>IF(B61="", "", "air")</f>
        <v>0</v>
      </c>
      <c r="G61" s="1">
        <f>IF(B61="", "", "air")</f>
        <v>0</v>
      </c>
      <c r="H61" s="1">
        <f>IF(B61="", "", "air")</f>
        <v>0</v>
      </c>
      <c r="I61" s="1">
        <f>IF(B61="", "", "air metagenome")</f>
        <v>0</v>
      </c>
      <c r="J61" s="1">
        <f>IF(B61="", "", "655179")</f>
        <v>0</v>
      </c>
    </row>
    <row r="62" spans="1:10">
      <c r="A62">
        <f>IF(COUNTBLANK(B62:J62)&lt;&gt;COLUMNS(B62:J62),61,"")</f>
        <v>0</v>
      </c>
      <c r="D62" s="1">
        <f>IF(B62="", "", "m")</f>
        <v>0</v>
      </c>
      <c r="F62" s="1">
        <f>IF(B62="", "", "air")</f>
        <v>0</v>
      </c>
      <c r="G62" s="1">
        <f>IF(B62="", "", "air")</f>
        <v>0</v>
      </c>
      <c r="H62" s="1">
        <f>IF(B62="", "", "air")</f>
        <v>0</v>
      </c>
      <c r="I62" s="1">
        <f>IF(B62="", "", "air metagenome")</f>
        <v>0</v>
      </c>
      <c r="J62" s="1">
        <f>IF(B62="", "", "655179")</f>
        <v>0</v>
      </c>
    </row>
    <row r="63" spans="1:10">
      <c r="A63">
        <f>IF(COUNTBLANK(B63:J63)&lt;&gt;COLUMNS(B63:J63),62,"")</f>
        <v>0</v>
      </c>
      <c r="D63" s="1">
        <f>IF(B63="", "", "m")</f>
        <v>0</v>
      </c>
      <c r="F63" s="1">
        <f>IF(B63="", "", "air")</f>
        <v>0</v>
      </c>
      <c r="G63" s="1">
        <f>IF(B63="", "", "air")</f>
        <v>0</v>
      </c>
      <c r="H63" s="1">
        <f>IF(B63="", "", "air")</f>
        <v>0</v>
      </c>
      <c r="I63" s="1">
        <f>IF(B63="", "", "air metagenome")</f>
        <v>0</v>
      </c>
      <c r="J63" s="1">
        <f>IF(B63="", "", "655179")</f>
        <v>0</v>
      </c>
    </row>
    <row r="64" spans="1:10">
      <c r="A64">
        <f>IF(COUNTBLANK(B64:J64)&lt;&gt;COLUMNS(B64:J64),63,"")</f>
        <v>0</v>
      </c>
      <c r="D64" s="1">
        <f>IF(B64="", "", "m")</f>
        <v>0</v>
      </c>
      <c r="F64" s="1">
        <f>IF(B64="", "", "air")</f>
        <v>0</v>
      </c>
      <c r="G64" s="1">
        <f>IF(B64="", "", "air")</f>
        <v>0</v>
      </c>
      <c r="H64" s="1">
        <f>IF(B64="", "", "air")</f>
        <v>0</v>
      </c>
      <c r="I64" s="1">
        <f>IF(B64="", "", "air metagenome")</f>
        <v>0</v>
      </c>
      <c r="J64" s="1">
        <f>IF(B64="", "", "655179")</f>
        <v>0</v>
      </c>
    </row>
    <row r="65" spans="1:10">
      <c r="A65">
        <f>IF(COUNTBLANK(B65:J65)&lt;&gt;COLUMNS(B65:J65),64,"")</f>
        <v>0</v>
      </c>
      <c r="D65" s="1">
        <f>IF(B65="", "", "m")</f>
        <v>0</v>
      </c>
      <c r="F65" s="1">
        <f>IF(B65="", "", "air")</f>
        <v>0</v>
      </c>
      <c r="G65" s="1">
        <f>IF(B65="", "", "air")</f>
        <v>0</v>
      </c>
      <c r="H65" s="1">
        <f>IF(B65="", "", "air")</f>
        <v>0</v>
      </c>
      <c r="I65" s="1">
        <f>IF(B65="", "", "air metagenome")</f>
        <v>0</v>
      </c>
      <c r="J65" s="1">
        <f>IF(B65="", "", "655179")</f>
        <v>0</v>
      </c>
    </row>
    <row r="66" spans="1:10">
      <c r="A66">
        <f>IF(COUNTBLANK(B66:J66)&lt;&gt;COLUMNS(B66:J66),65,"")</f>
        <v>0</v>
      </c>
      <c r="D66" s="1">
        <f>IF(B66="", "", "m")</f>
        <v>0</v>
      </c>
      <c r="F66" s="1">
        <f>IF(B66="", "", "air")</f>
        <v>0</v>
      </c>
      <c r="G66" s="1">
        <f>IF(B66="", "", "air")</f>
        <v>0</v>
      </c>
      <c r="H66" s="1">
        <f>IF(B66="", "", "air")</f>
        <v>0</v>
      </c>
      <c r="I66" s="1">
        <f>IF(B66="", "", "air metagenome")</f>
        <v>0</v>
      </c>
      <c r="J66" s="1">
        <f>IF(B66="", "", "655179")</f>
        <v>0</v>
      </c>
    </row>
    <row r="67" spans="1:10">
      <c r="A67">
        <f>IF(COUNTBLANK(B67:J67)&lt;&gt;COLUMNS(B67:J67),66,"")</f>
        <v>0</v>
      </c>
      <c r="D67" s="1">
        <f>IF(B67="", "", "m")</f>
        <v>0</v>
      </c>
      <c r="F67" s="1">
        <f>IF(B67="", "", "air")</f>
        <v>0</v>
      </c>
      <c r="G67" s="1">
        <f>IF(B67="", "", "air")</f>
        <v>0</v>
      </c>
      <c r="H67" s="1">
        <f>IF(B67="", "", "air")</f>
        <v>0</v>
      </c>
      <c r="I67" s="1">
        <f>IF(B67="", "", "air metagenome")</f>
        <v>0</v>
      </c>
      <c r="J67" s="1">
        <f>IF(B67="", "", "655179")</f>
        <v>0</v>
      </c>
    </row>
    <row r="68" spans="1:10">
      <c r="A68">
        <f>IF(COUNTBLANK(B68:J68)&lt;&gt;COLUMNS(B68:J68),67,"")</f>
        <v>0</v>
      </c>
      <c r="D68" s="1">
        <f>IF(B68="", "", "m")</f>
        <v>0</v>
      </c>
      <c r="F68" s="1">
        <f>IF(B68="", "", "air")</f>
        <v>0</v>
      </c>
      <c r="G68" s="1">
        <f>IF(B68="", "", "air")</f>
        <v>0</v>
      </c>
      <c r="H68" s="1">
        <f>IF(B68="", "", "air")</f>
        <v>0</v>
      </c>
      <c r="I68" s="1">
        <f>IF(B68="", "", "air metagenome")</f>
        <v>0</v>
      </c>
      <c r="J68" s="1">
        <f>IF(B68="", "", "655179")</f>
        <v>0</v>
      </c>
    </row>
    <row r="69" spans="1:10">
      <c r="A69">
        <f>IF(COUNTBLANK(B69:J69)&lt;&gt;COLUMNS(B69:J69),68,"")</f>
        <v>0</v>
      </c>
      <c r="D69" s="1">
        <f>IF(B69="", "", "m")</f>
        <v>0</v>
      </c>
      <c r="F69" s="1">
        <f>IF(B69="", "", "air")</f>
        <v>0</v>
      </c>
      <c r="G69" s="1">
        <f>IF(B69="", "", "air")</f>
        <v>0</v>
      </c>
      <c r="H69" s="1">
        <f>IF(B69="", "", "air")</f>
        <v>0</v>
      </c>
      <c r="I69" s="1">
        <f>IF(B69="", "", "air metagenome")</f>
        <v>0</v>
      </c>
      <c r="J69" s="1">
        <f>IF(B69="", "", "655179")</f>
        <v>0</v>
      </c>
    </row>
    <row r="70" spans="1:10">
      <c r="A70">
        <f>IF(COUNTBLANK(B70:J70)&lt;&gt;COLUMNS(B70:J70),69,"")</f>
        <v>0</v>
      </c>
      <c r="D70" s="1">
        <f>IF(B70="", "", "m")</f>
        <v>0</v>
      </c>
      <c r="F70" s="1">
        <f>IF(B70="", "", "air")</f>
        <v>0</v>
      </c>
      <c r="G70" s="1">
        <f>IF(B70="", "", "air")</f>
        <v>0</v>
      </c>
      <c r="H70" s="1">
        <f>IF(B70="", "", "air")</f>
        <v>0</v>
      </c>
      <c r="I70" s="1">
        <f>IF(B70="", "", "air metagenome")</f>
        <v>0</v>
      </c>
      <c r="J70" s="1">
        <f>IF(B70="", "", "655179")</f>
        <v>0</v>
      </c>
    </row>
    <row r="71" spans="1:10">
      <c r="A71">
        <f>IF(COUNTBLANK(B71:J71)&lt;&gt;COLUMNS(B71:J71),70,"")</f>
        <v>0</v>
      </c>
      <c r="D71" s="1">
        <f>IF(B71="", "", "m")</f>
        <v>0</v>
      </c>
      <c r="F71" s="1">
        <f>IF(B71="", "", "air")</f>
        <v>0</v>
      </c>
      <c r="G71" s="1">
        <f>IF(B71="", "", "air")</f>
        <v>0</v>
      </c>
      <c r="H71" s="1">
        <f>IF(B71="", "", "air")</f>
        <v>0</v>
      </c>
      <c r="I71" s="1">
        <f>IF(B71="", "", "air metagenome")</f>
        <v>0</v>
      </c>
      <c r="J71" s="1">
        <f>IF(B71="", "", "655179")</f>
        <v>0</v>
      </c>
    </row>
    <row r="72" spans="1:10">
      <c r="A72">
        <f>IF(COUNTBLANK(B72:J72)&lt;&gt;COLUMNS(B72:J72),71,"")</f>
        <v>0</v>
      </c>
      <c r="D72" s="1">
        <f>IF(B72="", "", "m")</f>
        <v>0</v>
      </c>
      <c r="F72" s="1">
        <f>IF(B72="", "", "air")</f>
        <v>0</v>
      </c>
      <c r="G72" s="1">
        <f>IF(B72="", "", "air")</f>
        <v>0</v>
      </c>
      <c r="H72" s="1">
        <f>IF(B72="", "", "air")</f>
        <v>0</v>
      </c>
      <c r="I72" s="1">
        <f>IF(B72="", "", "air metagenome")</f>
        <v>0</v>
      </c>
      <c r="J72" s="1">
        <f>IF(B72="", "", "655179")</f>
        <v>0</v>
      </c>
    </row>
    <row r="73" spans="1:10">
      <c r="A73">
        <f>IF(COUNTBLANK(B73:J73)&lt;&gt;COLUMNS(B73:J73),72,"")</f>
        <v>0</v>
      </c>
      <c r="D73" s="1">
        <f>IF(B73="", "", "m")</f>
        <v>0</v>
      </c>
      <c r="F73" s="1">
        <f>IF(B73="", "", "air")</f>
        <v>0</v>
      </c>
      <c r="G73" s="1">
        <f>IF(B73="", "", "air")</f>
        <v>0</v>
      </c>
      <c r="H73" s="1">
        <f>IF(B73="", "", "air")</f>
        <v>0</v>
      </c>
      <c r="I73" s="1">
        <f>IF(B73="", "", "air metagenome")</f>
        <v>0</v>
      </c>
      <c r="J73" s="1">
        <f>IF(B73="", "", "655179")</f>
        <v>0</v>
      </c>
    </row>
    <row r="74" spans="1:10">
      <c r="A74">
        <f>IF(COUNTBLANK(B74:J74)&lt;&gt;COLUMNS(B74:J74),73,"")</f>
        <v>0</v>
      </c>
      <c r="D74" s="1">
        <f>IF(B74="", "", "m")</f>
        <v>0</v>
      </c>
      <c r="F74" s="1">
        <f>IF(B74="", "", "air")</f>
        <v>0</v>
      </c>
      <c r="G74" s="1">
        <f>IF(B74="", "", "air")</f>
        <v>0</v>
      </c>
      <c r="H74" s="1">
        <f>IF(B74="", "", "air")</f>
        <v>0</v>
      </c>
      <c r="I74" s="1">
        <f>IF(B74="", "", "air metagenome")</f>
        <v>0</v>
      </c>
      <c r="J74" s="1">
        <f>IF(B74="", "", "655179")</f>
        <v>0</v>
      </c>
    </row>
    <row r="75" spans="1:10">
      <c r="A75">
        <f>IF(COUNTBLANK(B75:J75)&lt;&gt;COLUMNS(B75:J75),74,"")</f>
        <v>0</v>
      </c>
      <c r="D75" s="1">
        <f>IF(B75="", "", "m")</f>
        <v>0</v>
      </c>
      <c r="F75" s="1">
        <f>IF(B75="", "", "air")</f>
        <v>0</v>
      </c>
      <c r="G75" s="1">
        <f>IF(B75="", "", "air")</f>
        <v>0</v>
      </c>
      <c r="H75" s="1">
        <f>IF(B75="", "", "air")</f>
        <v>0</v>
      </c>
      <c r="I75" s="1">
        <f>IF(B75="", "", "air metagenome")</f>
        <v>0</v>
      </c>
      <c r="J75" s="1">
        <f>IF(B75="", "", "655179")</f>
        <v>0</v>
      </c>
    </row>
    <row r="76" spans="1:10">
      <c r="A76">
        <f>IF(COUNTBLANK(B76:J76)&lt;&gt;COLUMNS(B76:J76),75,"")</f>
        <v>0</v>
      </c>
      <c r="D76" s="1">
        <f>IF(B76="", "", "m")</f>
        <v>0</v>
      </c>
      <c r="F76" s="1">
        <f>IF(B76="", "", "air")</f>
        <v>0</v>
      </c>
      <c r="G76" s="1">
        <f>IF(B76="", "", "air")</f>
        <v>0</v>
      </c>
      <c r="H76" s="1">
        <f>IF(B76="", "", "air")</f>
        <v>0</v>
      </c>
      <c r="I76" s="1">
        <f>IF(B76="", "", "air metagenome")</f>
        <v>0</v>
      </c>
      <c r="J76" s="1">
        <f>IF(B76="", "", "655179")</f>
        <v>0</v>
      </c>
    </row>
    <row r="77" spans="1:10">
      <c r="A77">
        <f>IF(COUNTBLANK(B77:J77)&lt;&gt;COLUMNS(B77:J77),76,"")</f>
        <v>0</v>
      </c>
      <c r="D77" s="1">
        <f>IF(B77="", "", "m")</f>
        <v>0</v>
      </c>
      <c r="F77" s="1">
        <f>IF(B77="", "", "air")</f>
        <v>0</v>
      </c>
      <c r="G77" s="1">
        <f>IF(B77="", "", "air")</f>
        <v>0</v>
      </c>
      <c r="H77" s="1">
        <f>IF(B77="", "", "air")</f>
        <v>0</v>
      </c>
      <c r="I77" s="1">
        <f>IF(B77="", "", "air metagenome")</f>
        <v>0</v>
      </c>
      <c r="J77" s="1">
        <f>IF(B77="", "", "655179")</f>
        <v>0</v>
      </c>
    </row>
    <row r="78" spans="1:10">
      <c r="A78">
        <f>IF(COUNTBLANK(B78:J78)&lt;&gt;COLUMNS(B78:J78),77,"")</f>
        <v>0</v>
      </c>
      <c r="D78" s="1">
        <f>IF(B78="", "", "m")</f>
        <v>0</v>
      </c>
      <c r="F78" s="1">
        <f>IF(B78="", "", "air")</f>
        <v>0</v>
      </c>
      <c r="G78" s="1">
        <f>IF(B78="", "", "air")</f>
        <v>0</v>
      </c>
      <c r="H78" s="1">
        <f>IF(B78="", "", "air")</f>
        <v>0</v>
      </c>
      <c r="I78" s="1">
        <f>IF(B78="", "", "air metagenome")</f>
        <v>0</v>
      </c>
      <c r="J78" s="1">
        <f>IF(B78="", "", "655179")</f>
        <v>0</v>
      </c>
    </row>
    <row r="79" spans="1:10">
      <c r="A79">
        <f>IF(COUNTBLANK(B79:J79)&lt;&gt;COLUMNS(B79:J79),78,"")</f>
        <v>0</v>
      </c>
      <c r="D79" s="1">
        <f>IF(B79="", "", "m")</f>
        <v>0</v>
      </c>
      <c r="F79" s="1">
        <f>IF(B79="", "", "air")</f>
        <v>0</v>
      </c>
      <c r="G79" s="1">
        <f>IF(B79="", "", "air")</f>
        <v>0</v>
      </c>
      <c r="H79" s="1">
        <f>IF(B79="", "", "air")</f>
        <v>0</v>
      </c>
      <c r="I79" s="1">
        <f>IF(B79="", "", "air metagenome")</f>
        <v>0</v>
      </c>
      <c r="J79" s="1">
        <f>IF(B79="", "", "655179")</f>
        <v>0</v>
      </c>
    </row>
    <row r="80" spans="1:10">
      <c r="A80">
        <f>IF(COUNTBLANK(B80:J80)&lt;&gt;COLUMNS(B80:J80),79,"")</f>
        <v>0</v>
      </c>
      <c r="D80" s="1">
        <f>IF(B80="", "", "m")</f>
        <v>0</v>
      </c>
      <c r="F80" s="1">
        <f>IF(B80="", "", "air")</f>
        <v>0</v>
      </c>
      <c r="G80" s="1">
        <f>IF(B80="", "", "air")</f>
        <v>0</v>
      </c>
      <c r="H80" s="1">
        <f>IF(B80="", "", "air")</f>
        <v>0</v>
      </c>
      <c r="I80" s="1">
        <f>IF(B80="", "", "air metagenome")</f>
        <v>0</v>
      </c>
      <c r="J80" s="1">
        <f>IF(B80="", "", "655179")</f>
        <v>0</v>
      </c>
    </row>
    <row r="81" spans="1:10">
      <c r="A81">
        <f>IF(COUNTBLANK(B81:J81)&lt;&gt;COLUMNS(B81:J81),80,"")</f>
        <v>0</v>
      </c>
      <c r="D81" s="1">
        <f>IF(B81="", "", "m")</f>
        <v>0</v>
      </c>
      <c r="F81" s="1">
        <f>IF(B81="", "", "air")</f>
        <v>0</v>
      </c>
      <c r="G81" s="1">
        <f>IF(B81="", "", "air")</f>
        <v>0</v>
      </c>
      <c r="H81" s="1">
        <f>IF(B81="", "", "air")</f>
        <v>0</v>
      </c>
      <c r="I81" s="1">
        <f>IF(B81="", "", "air metagenome")</f>
        <v>0</v>
      </c>
      <c r="J81" s="1">
        <f>IF(B81="", "", "655179")</f>
        <v>0</v>
      </c>
    </row>
    <row r="82" spans="1:10">
      <c r="A82">
        <f>IF(COUNTBLANK(B82:J82)&lt;&gt;COLUMNS(B82:J82),81,"")</f>
        <v>0</v>
      </c>
      <c r="D82" s="1">
        <f>IF(B82="", "", "m")</f>
        <v>0</v>
      </c>
      <c r="F82" s="1">
        <f>IF(B82="", "", "air")</f>
        <v>0</v>
      </c>
      <c r="G82" s="1">
        <f>IF(B82="", "", "air")</f>
        <v>0</v>
      </c>
      <c r="H82" s="1">
        <f>IF(B82="", "", "air")</f>
        <v>0</v>
      </c>
      <c r="I82" s="1">
        <f>IF(B82="", "", "air metagenome")</f>
        <v>0</v>
      </c>
      <c r="J82" s="1">
        <f>IF(B82="", "", "655179")</f>
        <v>0</v>
      </c>
    </row>
    <row r="83" spans="1:10">
      <c r="A83">
        <f>IF(COUNTBLANK(B83:J83)&lt;&gt;COLUMNS(B83:J83),82,"")</f>
        <v>0</v>
      </c>
      <c r="D83" s="1">
        <f>IF(B83="", "", "m")</f>
        <v>0</v>
      </c>
      <c r="F83" s="1">
        <f>IF(B83="", "", "air")</f>
        <v>0</v>
      </c>
      <c r="G83" s="1">
        <f>IF(B83="", "", "air")</f>
        <v>0</v>
      </c>
      <c r="H83" s="1">
        <f>IF(B83="", "", "air")</f>
        <v>0</v>
      </c>
      <c r="I83" s="1">
        <f>IF(B83="", "", "air metagenome")</f>
        <v>0</v>
      </c>
      <c r="J83" s="1">
        <f>IF(B83="", "", "655179")</f>
        <v>0</v>
      </c>
    </row>
    <row r="84" spans="1:10">
      <c r="A84">
        <f>IF(COUNTBLANK(B84:J84)&lt;&gt;COLUMNS(B84:J84),83,"")</f>
        <v>0</v>
      </c>
      <c r="D84" s="1">
        <f>IF(B84="", "", "m")</f>
        <v>0</v>
      </c>
      <c r="F84" s="1">
        <f>IF(B84="", "", "air")</f>
        <v>0</v>
      </c>
      <c r="G84" s="1">
        <f>IF(B84="", "", "air")</f>
        <v>0</v>
      </c>
      <c r="H84" s="1">
        <f>IF(B84="", "", "air")</f>
        <v>0</v>
      </c>
      <c r="I84" s="1">
        <f>IF(B84="", "", "air metagenome")</f>
        <v>0</v>
      </c>
      <c r="J84" s="1">
        <f>IF(B84="", "", "655179")</f>
        <v>0</v>
      </c>
    </row>
    <row r="85" spans="1:10">
      <c r="A85">
        <f>IF(COUNTBLANK(B85:J85)&lt;&gt;COLUMNS(B85:J85),84,"")</f>
        <v>0</v>
      </c>
      <c r="D85" s="1">
        <f>IF(B85="", "", "m")</f>
        <v>0</v>
      </c>
      <c r="F85" s="1">
        <f>IF(B85="", "", "air")</f>
        <v>0</v>
      </c>
      <c r="G85" s="1">
        <f>IF(B85="", "", "air")</f>
        <v>0</v>
      </c>
      <c r="H85" s="1">
        <f>IF(B85="", "", "air")</f>
        <v>0</v>
      </c>
      <c r="I85" s="1">
        <f>IF(B85="", "", "air metagenome")</f>
        <v>0</v>
      </c>
      <c r="J85" s="1">
        <f>IF(B85="", "", "655179")</f>
        <v>0</v>
      </c>
    </row>
    <row r="86" spans="1:10">
      <c r="A86">
        <f>IF(COUNTBLANK(B86:J86)&lt;&gt;COLUMNS(B86:J86),85,"")</f>
        <v>0</v>
      </c>
      <c r="D86" s="1">
        <f>IF(B86="", "", "m")</f>
        <v>0</v>
      </c>
      <c r="F86" s="1">
        <f>IF(B86="", "", "air")</f>
        <v>0</v>
      </c>
      <c r="G86" s="1">
        <f>IF(B86="", "", "air")</f>
        <v>0</v>
      </c>
      <c r="H86" s="1">
        <f>IF(B86="", "", "air")</f>
        <v>0</v>
      </c>
      <c r="I86" s="1">
        <f>IF(B86="", "", "air metagenome")</f>
        <v>0</v>
      </c>
      <c r="J86" s="1">
        <f>IF(B86="", "", "655179")</f>
        <v>0</v>
      </c>
    </row>
    <row r="87" spans="1:10">
      <c r="A87">
        <f>IF(COUNTBLANK(B87:J87)&lt;&gt;COLUMNS(B87:J87),86,"")</f>
        <v>0</v>
      </c>
      <c r="D87" s="1">
        <f>IF(B87="", "", "m")</f>
        <v>0</v>
      </c>
      <c r="F87" s="1">
        <f>IF(B87="", "", "air")</f>
        <v>0</v>
      </c>
      <c r="G87" s="1">
        <f>IF(B87="", "", "air")</f>
        <v>0</v>
      </c>
      <c r="H87" s="1">
        <f>IF(B87="", "", "air")</f>
        <v>0</v>
      </c>
      <c r="I87" s="1">
        <f>IF(B87="", "", "air metagenome")</f>
        <v>0</v>
      </c>
      <c r="J87" s="1">
        <f>IF(B87="", "", "655179")</f>
        <v>0</v>
      </c>
    </row>
    <row r="88" spans="1:10">
      <c r="A88">
        <f>IF(COUNTBLANK(B88:J88)&lt;&gt;COLUMNS(B88:J88),87,"")</f>
        <v>0</v>
      </c>
      <c r="D88" s="1">
        <f>IF(B88="", "", "m")</f>
        <v>0</v>
      </c>
      <c r="F88" s="1">
        <f>IF(B88="", "", "air")</f>
        <v>0</v>
      </c>
      <c r="G88" s="1">
        <f>IF(B88="", "", "air")</f>
        <v>0</v>
      </c>
      <c r="H88" s="1">
        <f>IF(B88="", "", "air")</f>
        <v>0</v>
      </c>
      <c r="I88" s="1">
        <f>IF(B88="", "", "air metagenome")</f>
        <v>0</v>
      </c>
      <c r="J88" s="1">
        <f>IF(B88="", "", "655179")</f>
        <v>0</v>
      </c>
    </row>
    <row r="89" spans="1:10">
      <c r="A89">
        <f>IF(COUNTBLANK(B89:J89)&lt;&gt;COLUMNS(B89:J89),88,"")</f>
        <v>0</v>
      </c>
      <c r="D89" s="1">
        <f>IF(B89="", "", "m")</f>
        <v>0</v>
      </c>
      <c r="F89" s="1">
        <f>IF(B89="", "", "air")</f>
        <v>0</v>
      </c>
      <c r="G89" s="1">
        <f>IF(B89="", "", "air")</f>
        <v>0</v>
      </c>
      <c r="H89" s="1">
        <f>IF(B89="", "", "air")</f>
        <v>0</v>
      </c>
      <c r="I89" s="1">
        <f>IF(B89="", "", "air metagenome")</f>
        <v>0</v>
      </c>
      <c r="J89" s="1">
        <f>IF(B89="", "", "655179")</f>
        <v>0</v>
      </c>
    </row>
    <row r="90" spans="1:10">
      <c r="A90">
        <f>IF(COUNTBLANK(B90:J90)&lt;&gt;COLUMNS(B90:J90),89,"")</f>
        <v>0</v>
      </c>
      <c r="D90" s="1">
        <f>IF(B90="", "", "m")</f>
        <v>0</v>
      </c>
      <c r="F90" s="1">
        <f>IF(B90="", "", "air")</f>
        <v>0</v>
      </c>
      <c r="G90" s="1">
        <f>IF(B90="", "", "air")</f>
        <v>0</v>
      </c>
      <c r="H90" s="1">
        <f>IF(B90="", "", "air")</f>
        <v>0</v>
      </c>
      <c r="I90" s="1">
        <f>IF(B90="", "", "air metagenome")</f>
        <v>0</v>
      </c>
      <c r="J90" s="1">
        <f>IF(B90="", "", "655179")</f>
        <v>0</v>
      </c>
    </row>
    <row r="91" spans="1:10">
      <c r="A91">
        <f>IF(COUNTBLANK(B91:J91)&lt;&gt;COLUMNS(B91:J91),90,"")</f>
        <v>0</v>
      </c>
      <c r="D91" s="1">
        <f>IF(B91="", "", "m")</f>
        <v>0</v>
      </c>
      <c r="F91" s="1">
        <f>IF(B91="", "", "air")</f>
        <v>0</v>
      </c>
      <c r="G91" s="1">
        <f>IF(B91="", "", "air")</f>
        <v>0</v>
      </c>
      <c r="H91" s="1">
        <f>IF(B91="", "", "air")</f>
        <v>0</v>
      </c>
      <c r="I91" s="1">
        <f>IF(B91="", "", "air metagenome")</f>
        <v>0</v>
      </c>
      <c r="J91" s="1">
        <f>IF(B91="", "", "655179")</f>
        <v>0</v>
      </c>
    </row>
    <row r="92" spans="1:10">
      <c r="A92">
        <f>IF(COUNTBLANK(B92:J92)&lt;&gt;COLUMNS(B92:J92),91,"")</f>
        <v>0</v>
      </c>
      <c r="D92" s="1">
        <f>IF(B92="", "", "m")</f>
        <v>0</v>
      </c>
      <c r="F92" s="1">
        <f>IF(B92="", "", "air")</f>
        <v>0</v>
      </c>
      <c r="G92" s="1">
        <f>IF(B92="", "", "air")</f>
        <v>0</v>
      </c>
      <c r="H92" s="1">
        <f>IF(B92="", "", "air")</f>
        <v>0</v>
      </c>
      <c r="I92" s="1">
        <f>IF(B92="", "", "air metagenome")</f>
        <v>0</v>
      </c>
      <c r="J92" s="1">
        <f>IF(B92="", "", "655179")</f>
        <v>0</v>
      </c>
    </row>
    <row r="93" spans="1:10">
      <c r="A93">
        <f>IF(COUNTBLANK(B93:J93)&lt;&gt;COLUMNS(B93:J93),92,"")</f>
        <v>0</v>
      </c>
      <c r="D93" s="1">
        <f>IF(B93="", "", "m")</f>
        <v>0</v>
      </c>
      <c r="F93" s="1">
        <f>IF(B93="", "", "air")</f>
        <v>0</v>
      </c>
      <c r="G93" s="1">
        <f>IF(B93="", "", "air")</f>
        <v>0</v>
      </c>
      <c r="H93" s="1">
        <f>IF(B93="", "", "air")</f>
        <v>0</v>
      </c>
      <c r="I93" s="1">
        <f>IF(B93="", "", "air metagenome")</f>
        <v>0</v>
      </c>
      <c r="J93" s="1">
        <f>IF(B93="", "", "655179")</f>
        <v>0</v>
      </c>
    </row>
    <row r="94" spans="1:10">
      <c r="A94">
        <f>IF(COUNTBLANK(B94:J94)&lt;&gt;COLUMNS(B94:J94),93,"")</f>
        <v>0</v>
      </c>
      <c r="D94" s="1">
        <f>IF(B94="", "", "m")</f>
        <v>0</v>
      </c>
      <c r="F94" s="1">
        <f>IF(B94="", "", "air")</f>
        <v>0</v>
      </c>
      <c r="G94" s="1">
        <f>IF(B94="", "", "air")</f>
        <v>0</v>
      </c>
      <c r="H94" s="1">
        <f>IF(B94="", "", "air")</f>
        <v>0</v>
      </c>
      <c r="I94" s="1">
        <f>IF(B94="", "", "air metagenome")</f>
        <v>0</v>
      </c>
      <c r="J94" s="1">
        <f>IF(B94="", "", "655179")</f>
        <v>0</v>
      </c>
    </row>
    <row r="95" spans="1:10">
      <c r="A95">
        <f>IF(COUNTBLANK(B95:J95)&lt;&gt;COLUMNS(B95:J95),94,"")</f>
        <v>0</v>
      </c>
      <c r="D95" s="1">
        <f>IF(B95="", "", "m")</f>
        <v>0</v>
      </c>
      <c r="F95" s="1">
        <f>IF(B95="", "", "air")</f>
        <v>0</v>
      </c>
      <c r="G95" s="1">
        <f>IF(B95="", "", "air")</f>
        <v>0</v>
      </c>
      <c r="H95" s="1">
        <f>IF(B95="", "", "air")</f>
        <v>0</v>
      </c>
      <c r="I95" s="1">
        <f>IF(B95="", "", "air metagenome")</f>
        <v>0</v>
      </c>
      <c r="J95" s="1">
        <f>IF(B95="", "", "655179")</f>
        <v>0</v>
      </c>
    </row>
    <row r="96" spans="1:10">
      <c r="A96">
        <f>IF(COUNTBLANK(B96:J96)&lt;&gt;COLUMNS(B96:J96),95,"")</f>
        <v>0</v>
      </c>
      <c r="D96" s="1">
        <f>IF(B96="", "", "m")</f>
        <v>0</v>
      </c>
      <c r="F96" s="1">
        <f>IF(B96="", "", "air")</f>
        <v>0</v>
      </c>
      <c r="G96" s="1">
        <f>IF(B96="", "", "air")</f>
        <v>0</v>
      </c>
      <c r="H96" s="1">
        <f>IF(B96="", "", "air")</f>
        <v>0</v>
      </c>
      <c r="I96" s="1">
        <f>IF(B96="", "", "air metagenome")</f>
        <v>0</v>
      </c>
      <c r="J96" s="1">
        <f>IF(B96="", "", "655179")</f>
        <v>0</v>
      </c>
    </row>
    <row r="97" spans="1:10">
      <c r="A97">
        <f>IF(COUNTBLANK(B97:J97)&lt;&gt;COLUMNS(B97:J97),96,"")</f>
        <v>0</v>
      </c>
      <c r="D97" s="1">
        <f>IF(B97="", "", "m")</f>
        <v>0</v>
      </c>
      <c r="F97" s="1">
        <f>IF(B97="", "", "air")</f>
        <v>0</v>
      </c>
      <c r="G97" s="1">
        <f>IF(B97="", "", "air")</f>
        <v>0</v>
      </c>
      <c r="H97" s="1">
        <f>IF(B97="", "", "air")</f>
        <v>0</v>
      </c>
      <c r="I97" s="1">
        <f>IF(B97="", "", "air metagenome")</f>
        <v>0</v>
      </c>
      <c r="J97" s="1">
        <f>IF(B97="", "", "655179")</f>
        <v>0</v>
      </c>
    </row>
    <row r="98" spans="1:10">
      <c r="A98">
        <f>IF(COUNTBLANK(B98:J98)&lt;&gt;COLUMNS(B98:J98),97,"")</f>
        <v>0</v>
      </c>
      <c r="D98" s="1">
        <f>IF(B98="", "", "m")</f>
        <v>0</v>
      </c>
      <c r="F98" s="1">
        <f>IF(B98="", "", "air")</f>
        <v>0</v>
      </c>
      <c r="G98" s="1">
        <f>IF(B98="", "", "air")</f>
        <v>0</v>
      </c>
      <c r="H98" s="1">
        <f>IF(B98="", "", "air")</f>
        <v>0</v>
      </c>
      <c r="I98" s="1">
        <f>IF(B98="", "", "air metagenome")</f>
        <v>0</v>
      </c>
      <c r="J98" s="1">
        <f>IF(B98="", "", "655179")</f>
        <v>0</v>
      </c>
    </row>
    <row r="99" spans="1:10">
      <c r="A99">
        <f>IF(COUNTBLANK(B99:J99)&lt;&gt;COLUMNS(B99:J99),98,"")</f>
        <v>0</v>
      </c>
      <c r="D99" s="1">
        <f>IF(B99="", "", "m")</f>
        <v>0</v>
      </c>
      <c r="F99" s="1">
        <f>IF(B99="", "", "air")</f>
        <v>0</v>
      </c>
      <c r="G99" s="1">
        <f>IF(B99="", "", "air")</f>
        <v>0</v>
      </c>
      <c r="H99" s="1">
        <f>IF(B99="", "", "air")</f>
        <v>0</v>
      </c>
      <c r="I99" s="1">
        <f>IF(B99="", "", "air metagenome")</f>
        <v>0</v>
      </c>
      <c r="J99" s="1">
        <f>IF(B99="", "", "655179")</f>
        <v>0</v>
      </c>
    </row>
    <row r="100" spans="1:10">
      <c r="A100">
        <f>IF(COUNTBLANK(B100:J100)&lt;&gt;COLUMNS(B100:J100),99,"")</f>
        <v>0</v>
      </c>
      <c r="D100" s="1">
        <f>IF(B100="", "", "m")</f>
        <v>0</v>
      </c>
      <c r="F100" s="1">
        <f>IF(B100="", "", "air")</f>
        <v>0</v>
      </c>
      <c r="G100" s="1">
        <f>IF(B100="", "", "air")</f>
        <v>0</v>
      </c>
      <c r="H100" s="1">
        <f>IF(B100="", "", "air")</f>
        <v>0</v>
      </c>
      <c r="I100" s="1">
        <f>IF(B100="", "", "air metagenome")</f>
        <v>0</v>
      </c>
      <c r="J100" s="1">
        <f>IF(B100="", "", "655179")</f>
        <v>0</v>
      </c>
    </row>
    <row r="101" spans="1:10">
      <c r="A101">
        <f>IF(COUNTBLANK(B101:J101)&lt;&gt;COLUMNS(B101:J101),100,"")</f>
        <v>0</v>
      </c>
      <c r="D101" s="1">
        <f>IF(B101="", "", "m")</f>
        <v>0</v>
      </c>
      <c r="F101" s="1">
        <f>IF(B101="", "", "air")</f>
        <v>0</v>
      </c>
      <c r="G101" s="1">
        <f>IF(B101="", "", "air")</f>
        <v>0</v>
      </c>
      <c r="H101" s="1">
        <f>IF(B101="", "", "air")</f>
        <v>0</v>
      </c>
      <c r="I101" s="1">
        <f>IF(B101="", "", "air metagenome")</f>
        <v>0</v>
      </c>
      <c r="J101" s="1">
        <f>IF(B101="", "", "655179")</f>
        <v>0</v>
      </c>
    </row>
    <row r="102" spans="1:10">
      <c r="A102">
        <f>IF(COUNTBLANK(B102:J102)&lt;&gt;COLUMNS(B102:J102),101,"")</f>
        <v>0</v>
      </c>
      <c r="D102" s="1">
        <f>IF(B102="", "", "m")</f>
        <v>0</v>
      </c>
      <c r="F102" s="1">
        <f>IF(B102="", "", "air")</f>
        <v>0</v>
      </c>
      <c r="G102" s="1">
        <f>IF(B102="", "", "air")</f>
        <v>0</v>
      </c>
      <c r="H102" s="1">
        <f>IF(B102="", "", "air")</f>
        <v>0</v>
      </c>
      <c r="I102" s="1">
        <f>IF(B102="", "", "air metagenome")</f>
        <v>0</v>
      </c>
      <c r="J102" s="1">
        <f>IF(B102="", "", "655179")</f>
        <v>0</v>
      </c>
    </row>
    <row r="103" spans="1:10">
      <c r="A103">
        <f>IF(COUNTBLANK(B103:J103)&lt;&gt;COLUMNS(B103:J103),102,"")</f>
        <v>0</v>
      </c>
      <c r="D103" s="1">
        <f>IF(B103="", "", "m")</f>
        <v>0</v>
      </c>
      <c r="F103" s="1">
        <f>IF(B103="", "", "air")</f>
        <v>0</v>
      </c>
      <c r="G103" s="1">
        <f>IF(B103="", "", "air")</f>
        <v>0</v>
      </c>
      <c r="H103" s="1">
        <f>IF(B103="", "", "air")</f>
        <v>0</v>
      </c>
      <c r="I103" s="1">
        <f>IF(B103="", "", "air metagenome")</f>
        <v>0</v>
      </c>
      <c r="J103" s="1">
        <f>IF(B103="", "", "655179")</f>
        <v>0</v>
      </c>
    </row>
    <row r="104" spans="1:10">
      <c r="A104">
        <f>IF(COUNTBLANK(B104:J104)&lt;&gt;COLUMNS(B104:J104),103,"")</f>
        <v>0</v>
      </c>
      <c r="D104" s="1">
        <f>IF(B104="", "", "m")</f>
        <v>0</v>
      </c>
      <c r="F104" s="1">
        <f>IF(B104="", "", "air")</f>
        <v>0</v>
      </c>
      <c r="G104" s="1">
        <f>IF(B104="", "", "air")</f>
        <v>0</v>
      </c>
      <c r="H104" s="1">
        <f>IF(B104="", "", "air")</f>
        <v>0</v>
      </c>
      <c r="I104" s="1">
        <f>IF(B104="", "", "air metagenome")</f>
        <v>0</v>
      </c>
      <c r="J104" s="1">
        <f>IF(B104="", "", "655179")</f>
        <v>0</v>
      </c>
    </row>
    <row r="105" spans="1:10">
      <c r="A105">
        <f>IF(COUNTBLANK(B105:J105)&lt;&gt;COLUMNS(B105:J105),104,"")</f>
        <v>0</v>
      </c>
      <c r="D105" s="1">
        <f>IF(B105="", "", "m")</f>
        <v>0</v>
      </c>
      <c r="F105" s="1">
        <f>IF(B105="", "", "air")</f>
        <v>0</v>
      </c>
      <c r="G105" s="1">
        <f>IF(B105="", "", "air")</f>
        <v>0</v>
      </c>
      <c r="H105" s="1">
        <f>IF(B105="", "", "air")</f>
        <v>0</v>
      </c>
      <c r="I105" s="1">
        <f>IF(B105="", "", "air metagenome")</f>
        <v>0</v>
      </c>
      <c r="J105" s="1">
        <f>IF(B105="", "", "655179")</f>
        <v>0</v>
      </c>
    </row>
    <row r="106" spans="1:10">
      <c r="A106">
        <f>IF(COUNTBLANK(B106:J106)&lt;&gt;COLUMNS(B106:J106),105,"")</f>
        <v>0</v>
      </c>
      <c r="D106" s="1">
        <f>IF(B106="", "", "m")</f>
        <v>0</v>
      </c>
      <c r="F106" s="1">
        <f>IF(B106="", "", "air")</f>
        <v>0</v>
      </c>
      <c r="G106" s="1">
        <f>IF(B106="", "", "air")</f>
        <v>0</v>
      </c>
      <c r="H106" s="1">
        <f>IF(B106="", "", "air")</f>
        <v>0</v>
      </c>
      <c r="I106" s="1">
        <f>IF(B106="", "", "air metagenome")</f>
        <v>0</v>
      </c>
      <c r="J106" s="1">
        <f>IF(B106="", "", "655179")</f>
        <v>0</v>
      </c>
    </row>
    <row r="107" spans="1:10">
      <c r="A107">
        <f>IF(COUNTBLANK(B107:J107)&lt;&gt;COLUMNS(B107:J107),106,"")</f>
        <v>0</v>
      </c>
      <c r="D107" s="1">
        <f>IF(B107="", "", "m")</f>
        <v>0</v>
      </c>
      <c r="F107" s="1">
        <f>IF(B107="", "", "air")</f>
        <v>0</v>
      </c>
      <c r="G107" s="1">
        <f>IF(B107="", "", "air")</f>
        <v>0</v>
      </c>
      <c r="H107" s="1">
        <f>IF(B107="", "", "air")</f>
        <v>0</v>
      </c>
      <c r="I107" s="1">
        <f>IF(B107="", "", "air metagenome")</f>
        <v>0</v>
      </c>
      <c r="J107" s="1">
        <f>IF(B107="", "", "655179")</f>
        <v>0</v>
      </c>
    </row>
    <row r="108" spans="1:10">
      <c r="A108">
        <f>IF(COUNTBLANK(B108:J108)&lt;&gt;COLUMNS(B108:J108),107,"")</f>
        <v>0</v>
      </c>
      <c r="D108" s="1">
        <f>IF(B108="", "", "m")</f>
        <v>0</v>
      </c>
      <c r="F108" s="1">
        <f>IF(B108="", "", "air")</f>
        <v>0</v>
      </c>
      <c r="G108" s="1">
        <f>IF(B108="", "", "air")</f>
        <v>0</v>
      </c>
      <c r="H108" s="1">
        <f>IF(B108="", "", "air")</f>
        <v>0</v>
      </c>
      <c r="I108" s="1">
        <f>IF(B108="", "", "air metagenome")</f>
        <v>0</v>
      </c>
      <c r="J108" s="1">
        <f>IF(B108="", "", "655179")</f>
        <v>0</v>
      </c>
    </row>
    <row r="109" spans="1:10">
      <c r="A109">
        <f>IF(COUNTBLANK(B109:J109)&lt;&gt;COLUMNS(B109:J109),108,"")</f>
        <v>0</v>
      </c>
      <c r="D109" s="1">
        <f>IF(B109="", "", "m")</f>
        <v>0</v>
      </c>
      <c r="F109" s="1">
        <f>IF(B109="", "", "air")</f>
        <v>0</v>
      </c>
      <c r="G109" s="1">
        <f>IF(B109="", "", "air")</f>
        <v>0</v>
      </c>
      <c r="H109" s="1">
        <f>IF(B109="", "", "air")</f>
        <v>0</v>
      </c>
      <c r="I109" s="1">
        <f>IF(B109="", "", "air metagenome")</f>
        <v>0</v>
      </c>
      <c r="J109" s="1">
        <f>IF(B109="", "", "655179")</f>
        <v>0</v>
      </c>
    </row>
    <row r="110" spans="1:10">
      <c r="A110">
        <f>IF(COUNTBLANK(B110:J110)&lt;&gt;COLUMNS(B110:J110),109,"")</f>
        <v>0</v>
      </c>
      <c r="D110" s="1">
        <f>IF(B110="", "", "m")</f>
        <v>0</v>
      </c>
      <c r="F110" s="1">
        <f>IF(B110="", "", "air")</f>
        <v>0</v>
      </c>
      <c r="G110" s="1">
        <f>IF(B110="", "", "air")</f>
        <v>0</v>
      </c>
      <c r="H110" s="1">
        <f>IF(B110="", "", "air")</f>
        <v>0</v>
      </c>
      <c r="I110" s="1">
        <f>IF(B110="", "", "air metagenome")</f>
        <v>0</v>
      </c>
      <c r="J110" s="1">
        <f>IF(B110="", "", "655179")</f>
        <v>0</v>
      </c>
    </row>
    <row r="111" spans="1:10">
      <c r="A111">
        <f>IF(COUNTBLANK(B111:J111)&lt;&gt;COLUMNS(B111:J111),110,"")</f>
        <v>0</v>
      </c>
      <c r="D111" s="1">
        <f>IF(B111="", "", "m")</f>
        <v>0</v>
      </c>
      <c r="F111" s="1">
        <f>IF(B111="", "", "air")</f>
        <v>0</v>
      </c>
      <c r="G111" s="1">
        <f>IF(B111="", "", "air")</f>
        <v>0</v>
      </c>
      <c r="H111" s="1">
        <f>IF(B111="", "", "air")</f>
        <v>0</v>
      </c>
      <c r="I111" s="1">
        <f>IF(B111="", "", "air metagenome")</f>
        <v>0</v>
      </c>
      <c r="J111" s="1">
        <f>IF(B111="", "", "655179")</f>
        <v>0</v>
      </c>
    </row>
    <row r="112" spans="1:10">
      <c r="A112">
        <f>IF(COUNTBLANK(B112:J112)&lt;&gt;COLUMNS(B112:J112),111,"")</f>
        <v>0</v>
      </c>
      <c r="D112" s="1">
        <f>IF(B112="", "", "m")</f>
        <v>0</v>
      </c>
      <c r="F112" s="1">
        <f>IF(B112="", "", "air")</f>
        <v>0</v>
      </c>
      <c r="G112" s="1">
        <f>IF(B112="", "", "air")</f>
        <v>0</v>
      </c>
      <c r="H112" s="1">
        <f>IF(B112="", "", "air")</f>
        <v>0</v>
      </c>
      <c r="I112" s="1">
        <f>IF(B112="", "", "air metagenome")</f>
        <v>0</v>
      </c>
      <c r="J112" s="1">
        <f>IF(B112="", "", "655179")</f>
        <v>0</v>
      </c>
    </row>
    <row r="113" spans="1:10">
      <c r="A113">
        <f>IF(COUNTBLANK(B113:J113)&lt;&gt;COLUMNS(B113:J113),112,"")</f>
        <v>0</v>
      </c>
      <c r="D113" s="1">
        <f>IF(B113="", "", "m")</f>
        <v>0</v>
      </c>
      <c r="F113" s="1">
        <f>IF(B113="", "", "air")</f>
        <v>0</v>
      </c>
      <c r="G113" s="1">
        <f>IF(B113="", "", "air")</f>
        <v>0</v>
      </c>
      <c r="H113" s="1">
        <f>IF(B113="", "", "air")</f>
        <v>0</v>
      </c>
      <c r="I113" s="1">
        <f>IF(B113="", "", "air metagenome")</f>
        <v>0</v>
      </c>
      <c r="J113" s="1">
        <f>IF(B113="", "", "655179")</f>
        <v>0</v>
      </c>
    </row>
    <row r="114" spans="1:10">
      <c r="A114">
        <f>IF(COUNTBLANK(B114:J114)&lt;&gt;COLUMNS(B114:J114),113,"")</f>
        <v>0</v>
      </c>
      <c r="D114" s="1">
        <f>IF(B114="", "", "m")</f>
        <v>0</v>
      </c>
      <c r="F114" s="1">
        <f>IF(B114="", "", "air")</f>
        <v>0</v>
      </c>
      <c r="G114" s="1">
        <f>IF(B114="", "", "air")</f>
        <v>0</v>
      </c>
      <c r="H114" s="1">
        <f>IF(B114="", "", "air")</f>
        <v>0</v>
      </c>
      <c r="I114" s="1">
        <f>IF(B114="", "", "air metagenome")</f>
        <v>0</v>
      </c>
      <c r="J114" s="1">
        <f>IF(B114="", "", "655179")</f>
        <v>0</v>
      </c>
    </row>
    <row r="115" spans="1:10">
      <c r="A115">
        <f>IF(COUNTBLANK(B115:J115)&lt;&gt;COLUMNS(B115:J115),114,"")</f>
        <v>0</v>
      </c>
      <c r="D115" s="1">
        <f>IF(B115="", "", "m")</f>
        <v>0</v>
      </c>
      <c r="F115" s="1">
        <f>IF(B115="", "", "air")</f>
        <v>0</v>
      </c>
      <c r="G115" s="1">
        <f>IF(B115="", "", "air")</f>
        <v>0</v>
      </c>
      <c r="H115" s="1">
        <f>IF(B115="", "", "air")</f>
        <v>0</v>
      </c>
      <c r="I115" s="1">
        <f>IF(B115="", "", "air metagenome")</f>
        <v>0</v>
      </c>
      <c r="J115" s="1">
        <f>IF(B115="", "", "655179")</f>
        <v>0</v>
      </c>
    </row>
    <row r="116" spans="1:10">
      <c r="A116">
        <f>IF(COUNTBLANK(B116:J116)&lt;&gt;COLUMNS(B116:J116),115,"")</f>
        <v>0</v>
      </c>
      <c r="D116" s="1">
        <f>IF(B116="", "", "m")</f>
        <v>0</v>
      </c>
      <c r="F116" s="1">
        <f>IF(B116="", "", "air")</f>
        <v>0</v>
      </c>
      <c r="G116" s="1">
        <f>IF(B116="", "", "air")</f>
        <v>0</v>
      </c>
      <c r="H116" s="1">
        <f>IF(B116="", "", "air")</f>
        <v>0</v>
      </c>
      <c r="I116" s="1">
        <f>IF(B116="", "", "air metagenome")</f>
        <v>0</v>
      </c>
      <c r="J116" s="1">
        <f>IF(B116="", "", "655179")</f>
        <v>0</v>
      </c>
    </row>
    <row r="117" spans="1:10">
      <c r="A117">
        <f>IF(COUNTBLANK(B117:J117)&lt;&gt;COLUMNS(B117:J117),116,"")</f>
        <v>0</v>
      </c>
      <c r="D117" s="1">
        <f>IF(B117="", "", "m")</f>
        <v>0</v>
      </c>
      <c r="F117" s="1">
        <f>IF(B117="", "", "air")</f>
        <v>0</v>
      </c>
      <c r="G117" s="1">
        <f>IF(B117="", "", "air")</f>
        <v>0</v>
      </c>
      <c r="H117" s="1">
        <f>IF(B117="", "", "air")</f>
        <v>0</v>
      </c>
      <c r="I117" s="1">
        <f>IF(B117="", "", "air metagenome")</f>
        <v>0</v>
      </c>
      <c r="J117" s="1">
        <f>IF(B117="", "", "655179")</f>
        <v>0</v>
      </c>
    </row>
    <row r="118" spans="1:10">
      <c r="A118">
        <f>IF(COUNTBLANK(B118:J118)&lt;&gt;COLUMNS(B118:J118),117,"")</f>
        <v>0</v>
      </c>
      <c r="D118" s="1">
        <f>IF(B118="", "", "m")</f>
        <v>0</v>
      </c>
      <c r="F118" s="1">
        <f>IF(B118="", "", "air")</f>
        <v>0</v>
      </c>
      <c r="G118" s="1">
        <f>IF(B118="", "", "air")</f>
        <v>0</v>
      </c>
      <c r="H118" s="1">
        <f>IF(B118="", "", "air")</f>
        <v>0</v>
      </c>
      <c r="I118" s="1">
        <f>IF(B118="", "", "air metagenome")</f>
        <v>0</v>
      </c>
      <c r="J118" s="1">
        <f>IF(B118="", "", "655179")</f>
        <v>0</v>
      </c>
    </row>
    <row r="119" spans="1:10">
      <c r="A119">
        <f>IF(COUNTBLANK(B119:J119)&lt;&gt;COLUMNS(B119:J119),118,"")</f>
        <v>0</v>
      </c>
      <c r="D119" s="1">
        <f>IF(B119="", "", "m")</f>
        <v>0</v>
      </c>
      <c r="F119" s="1">
        <f>IF(B119="", "", "air")</f>
        <v>0</v>
      </c>
      <c r="G119" s="1">
        <f>IF(B119="", "", "air")</f>
        <v>0</v>
      </c>
      <c r="H119" s="1">
        <f>IF(B119="", "", "air")</f>
        <v>0</v>
      </c>
      <c r="I119" s="1">
        <f>IF(B119="", "", "air metagenome")</f>
        <v>0</v>
      </c>
      <c r="J119" s="1">
        <f>IF(B119="", "", "655179")</f>
        <v>0</v>
      </c>
    </row>
    <row r="120" spans="1:10">
      <c r="A120">
        <f>IF(COUNTBLANK(B120:J120)&lt;&gt;COLUMNS(B120:J120),119,"")</f>
        <v>0</v>
      </c>
      <c r="D120" s="1">
        <f>IF(B120="", "", "m")</f>
        <v>0</v>
      </c>
      <c r="F120" s="1">
        <f>IF(B120="", "", "air")</f>
        <v>0</v>
      </c>
      <c r="G120" s="1">
        <f>IF(B120="", "", "air")</f>
        <v>0</v>
      </c>
      <c r="H120" s="1">
        <f>IF(B120="", "", "air")</f>
        <v>0</v>
      </c>
      <c r="I120" s="1">
        <f>IF(B120="", "", "air metagenome")</f>
        <v>0</v>
      </c>
      <c r="J120" s="1">
        <f>IF(B120="", "", "655179")</f>
        <v>0</v>
      </c>
    </row>
    <row r="121" spans="1:10">
      <c r="A121">
        <f>IF(COUNTBLANK(B121:J121)&lt;&gt;COLUMNS(B121:J121),120,"")</f>
        <v>0</v>
      </c>
      <c r="D121" s="1">
        <f>IF(B121="", "", "m")</f>
        <v>0</v>
      </c>
      <c r="F121" s="1">
        <f>IF(B121="", "", "air")</f>
        <v>0</v>
      </c>
      <c r="G121" s="1">
        <f>IF(B121="", "", "air")</f>
        <v>0</v>
      </c>
      <c r="H121" s="1">
        <f>IF(B121="", "", "air")</f>
        <v>0</v>
      </c>
      <c r="I121" s="1">
        <f>IF(B121="", "", "air metagenome")</f>
        <v>0</v>
      </c>
      <c r="J121" s="1">
        <f>IF(B121="", "", "655179")</f>
        <v>0</v>
      </c>
    </row>
    <row r="122" spans="1:10">
      <c r="A122">
        <f>IF(COUNTBLANK(B122:J122)&lt;&gt;COLUMNS(B122:J122),121,"")</f>
        <v>0</v>
      </c>
      <c r="D122" s="1">
        <f>IF(B122="", "", "m")</f>
        <v>0</v>
      </c>
      <c r="F122" s="1">
        <f>IF(B122="", "", "air")</f>
        <v>0</v>
      </c>
      <c r="G122" s="1">
        <f>IF(B122="", "", "air")</f>
        <v>0</v>
      </c>
      <c r="H122" s="1">
        <f>IF(B122="", "", "air")</f>
        <v>0</v>
      </c>
      <c r="I122" s="1">
        <f>IF(B122="", "", "air metagenome")</f>
        <v>0</v>
      </c>
      <c r="J122" s="1">
        <f>IF(B122="", "", "655179")</f>
        <v>0</v>
      </c>
    </row>
    <row r="123" spans="1:10">
      <c r="A123">
        <f>IF(COUNTBLANK(B123:J123)&lt;&gt;COLUMNS(B123:J123),122,"")</f>
        <v>0</v>
      </c>
      <c r="D123" s="1">
        <f>IF(B123="", "", "m")</f>
        <v>0</v>
      </c>
      <c r="F123" s="1">
        <f>IF(B123="", "", "air")</f>
        <v>0</v>
      </c>
      <c r="G123" s="1">
        <f>IF(B123="", "", "air")</f>
        <v>0</v>
      </c>
      <c r="H123" s="1">
        <f>IF(B123="", "", "air")</f>
        <v>0</v>
      </c>
      <c r="I123" s="1">
        <f>IF(B123="", "", "air metagenome")</f>
        <v>0</v>
      </c>
      <c r="J123" s="1">
        <f>IF(B123="", "", "655179")</f>
        <v>0</v>
      </c>
    </row>
    <row r="124" spans="1:10">
      <c r="A124">
        <f>IF(COUNTBLANK(B124:J124)&lt;&gt;COLUMNS(B124:J124),123,"")</f>
        <v>0</v>
      </c>
      <c r="D124" s="1">
        <f>IF(B124="", "", "m")</f>
        <v>0</v>
      </c>
      <c r="F124" s="1">
        <f>IF(B124="", "", "air")</f>
        <v>0</v>
      </c>
      <c r="G124" s="1">
        <f>IF(B124="", "", "air")</f>
        <v>0</v>
      </c>
      <c r="H124" s="1">
        <f>IF(B124="", "", "air")</f>
        <v>0</v>
      </c>
      <c r="I124" s="1">
        <f>IF(B124="", "", "air metagenome")</f>
        <v>0</v>
      </c>
      <c r="J124" s="1">
        <f>IF(B124="", "", "655179")</f>
        <v>0</v>
      </c>
    </row>
    <row r="125" spans="1:10">
      <c r="A125">
        <f>IF(COUNTBLANK(B125:J125)&lt;&gt;COLUMNS(B125:J125),124,"")</f>
        <v>0</v>
      </c>
      <c r="D125" s="1">
        <f>IF(B125="", "", "m")</f>
        <v>0</v>
      </c>
      <c r="F125" s="1">
        <f>IF(B125="", "", "air")</f>
        <v>0</v>
      </c>
      <c r="G125" s="1">
        <f>IF(B125="", "", "air")</f>
        <v>0</v>
      </c>
      <c r="H125" s="1">
        <f>IF(B125="", "", "air")</f>
        <v>0</v>
      </c>
      <c r="I125" s="1">
        <f>IF(B125="", "", "air metagenome")</f>
        <v>0</v>
      </c>
      <c r="J125" s="1">
        <f>IF(B125="", "", "655179")</f>
        <v>0</v>
      </c>
    </row>
    <row r="126" spans="1:10">
      <c r="A126">
        <f>IF(COUNTBLANK(B126:J126)&lt;&gt;COLUMNS(B126:J126),125,"")</f>
        <v>0</v>
      </c>
      <c r="D126" s="1">
        <f>IF(B126="", "", "m")</f>
        <v>0</v>
      </c>
      <c r="F126" s="1">
        <f>IF(B126="", "", "air")</f>
        <v>0</v>
      </c>
      <c r="G126" s="1">
        <f>IF(B126="", "", "air")</f>
        <v>0</v>
      </c>
      <c r="H126" s="1">
        <f>IF(B126="", "", "air")</f>
        <v>0</v>
      </c>
      <c r="I126" s="1">
        <f>IF(B126="", "", "air metagenome")</f>
        <v>0</v>
      </c>
      <c r="J126" s="1">
        <f>IF(B126="", "", "655179")</f>
        <v>0</v>
      </c>
    </row>
    <row r="127" spans="1:10">
      <c r="A127">
        <f>IF(COUNTBLANK(B127:J127)&lt;&gt;COLUMNS(B127:J127),126,"")</f>
        <v>0</v>
      </c>
      <c r="D127" s="1">
        <f>IF(B127="", "", "m")</f>
        <v>0</v>
      </c>
      <c r="F127" s="1">
        <f>IF(B127="", "", "air")</f>
        <v>0</v>
      </c>
      <c r="G127" s="1">
        <f>IF(B127="", "", "air")</f>
        <v>0</v>
      </c>
      <c r="H127" s="1">
        <f>IF(B127="", "", "air")</f>
        <v>0</v>
      </c>
      <c r="I127" s="1">
        <f>IF(B127="", "", "air metagenome")</f>
        <v>0</v>
      </c>
      <c r="J127" s="1">
        <f>IF(B127="", "", "655179")</f>
        <v>0</v>
      </c>
    </row>
    <row r="128" spans="1:10">
      <c r="A128">
        <f>IF(COUNTBLANK(B128:J128)&lt;&gt;COLUMNS(B128:J128),127,"")</f>
        <v>0</v>
      </c>
      <c r="D128" s="1">
        <f>IF(B128="", "", "m")</f>
        <v>0</v>
      </c>
      <c r="F128" s="1">
        <f>IF(B128="", "", "air")</f>
        <v>0</v>
      </c>
      <c r="G128" s="1">
        <f>IF(B128="", "", "air")</f>
        <v>0</v>
      </c>
      <c r="H128" s="1">
        <f>IF(B128="", "", "air")</f>
        <v>0</v>
      </c>
      <c r="I128" s="1">
        <f>IF(B128="", "", "air metagenome")</f>
        <v>0</v>
      </c>
      <c r="J128" s="1">
        <f>IF(B128="", "", "655179")</f>
        <v>0</v>
      </c>
    </row>
    <row r="129" spans="1:10">
      <c r="A129">
        <f>IF(COUNTBLANK(B129:J129)&lt;&gt;COLUMNS(B129:J129),128,"")</f>
        <v>0</v>
      </c>
      <c r="D129" s="1">
        <f>IF(B129="", "", "m")</f>
        <v>0</v>
      </c>
      <c r="F129" s="1">
        <f>IF(B129="", "", "air")</f>
        <v>0</v>
      </c>
      <c r="G129" s="1">
        <f>IF(B129="", "", "air")</f>
        <v>0</v>
      </c>
      <c r="H129" s="1">
        <f>IF(B129="", "", "air")</f>
        <v>0</v>
      </c>
      <c r="I129" s="1">
        <f>IF(B129="", "", "air metagenome")</f>
        <v>0</v>
      </c>
      <c r="J129" s="1">
        <f>IF(B129="", "", "655179")</f>
        <v>0</v>
      </c>
    </row>
    <row r="130" spans="1:10">
      <c r="A130">
        <f>IF(COUNTBLANK(B130:J130)&lt;&gt;COLUMNS(B130:J130),129,"")</f>
        <v>0</v>
      </c>
      <c r="D130" s="1">
        <f>IF(B130="", "", "m")</f>
        <v>0</v>
      </c>
      <c r="F130" s="1">
        <f>IF(B130="", "", "air")</f>
        <v>0</v>
      </c>
      <c r="G130" s="1">
        <f>IF(B130="", "", "air")</f>
        <v>0</v>
      </c>
      <c r="H130" s="1">
        <f>IF(B130="", "", "air")</f>
        <v>0</v>
      </c>
      <c r="I130" s="1">
        <f>IF(B130="", "", "air metagenome")</f>
        <v>0</v>
      </c>
      <c r="J130" s="1">
        <f>IF(B130="", "", "655179")</f>
        <v>0</v>
      </c>
    </row>
    <row r="131" spans="1:10">
      <c r="A131">
        <f>IF(COUNTBLANK(B131:J131)&lt;&gt;COLUMNS(B131:J131),130,"")</f>
        <v>0</v>
      </c>
      <c r="D131" s="1">
        <f>IF(B131="", "", "m")</f>
        <v>0</v>
      </c>
      <c r="F131" s="1">
        <f>IF(B131="", "", "air")</f>
        <v>0</v>
      </c>
      <c r="G131" s="1">
        <f>IF(B131="", "", "air")</f>
        <v>0</v>
      </c>
      <c r="H131" s="1">
        <f>IF(B131="", "", "air")</f>
        <v>0</v>
      </c>
      <c r="I131" s="1">
        <f>IF(B131="", "", "air metagenome")</f>
        <v>0</v>
      </c>
      <c r="J131" s="1">
        <f>IF(B131="", "", "655179")</f>
        <v>0</v>
      </c>
    </row>
    <row r="132" spans="1:10">
      <c r="A132">
        <f>IF(COUNTBLANK(B132:J132)&lt;&gt;COLUMNS(B132:J132),131,"")</f>
        <v>0</v>
      </c>
      <c r="D132" s="1">
        <f>IF(B132="", "", "m")</f>
        <v>0</v>
      </c>
      <c r="F132" s="1">
        <f>IF(B132="", "", "air")</f>
        <v>0</v>
      </c>
      <c r="G132" s="1">
        <f>IF(B132="", "", "air")</f>
        <v>0</v>
      </c>
      <c r="H132" s="1">
        <f>IF(B132="", "", "air")</f>
        <v>0</v>
      </c>
      <c r="I132" s="1">
        <f>IF(B132="", "", "air metagenome")</f>
        <v>0</v>
      </c>
      <c r="J132" s="1">
        <f>IF(B132="", "", "655179")</f>
        <v>0</v>
      </c>
    </row>
    <row r="133" spans="1:10">
      <c r="A133">
        <f>IF(COUNTBLANK(B133:J133)&lt;&gt;COLUMNS(B133:J133),132,"")</f>
        <v>0</v>
      </c>
      <c r="D133" s="1">
        <f>IF(B133="", "", "m")</f>
        <v>0</v>
      </c>
      <c r="F133" s="1">
        <f>IF(B133="", "", "air")</f>
        <v>0</v>
      </c>
      <c r="G133" s="1">
        <f>IF(B133="", "", "air")</f>
        <v>0</v>
      </c>
      <c r="H133" s="1">
        <f>IF(B133="", "", "air")</f>
        <v>0</v>
      </c>
      <c r="I133" s="1">
        <f>IF(B133="", "", "air metagenome")</f>
        <v>0</v>
      </c>
      <c r="J133" s="1">
        <f>IF(B133="", "", "655179")</f>
        <v>0</v>
      </c>
    </row>
    <row r="134" spans="1:10">
      <c r="A134">
        <f>IF(COUNTBLANK(B134:J134)&lt;&gt;COLUMNS(B134:J134),133,"")</f>
        <v>0</v>
      </c>
      <c r="D134" s="1">
        <f>IF(B134="", "", "m")</f>
        <v>0</v>
      </c>
      <c r="F134" s="1">
        <f>IF(B134="", "", "air")</f>
        <v>0</v>
      </c>
      <c r="G134" s="1">
        <f>IF(B134="", "", "air")</f>
        <v>0</v>
      </c>
      <c r="H134" s="1">
        <f>IF(B134="", "", "air")</f>
        <v>0</v>
      </c>
      <c r="I134" s="1">
        <f>IF(B134="", "", "air metagenome")</f>
        <v>0</v>
      </c>
      <c r="J134" s="1">
        <f>IF(B134="", "", "655179")</f>
        <v>0</v>
      </c>
    </row>
    <row r="135" spans="1:10">
      <c r="A135">
        <f>IF(COUNTBLANK(B135:J135)&lt;&gt;COLUMNS(B135:J135),134,"")</f>
        <v>0</v>
      </c>
      <c r="D135" s="1">
        <f>IF(B135="", "", "m")</f>
        <v>0</v>
      </c>
      <c r="F135" s="1">
        <f>IF(B135="", "", "air")</f>
        <v>0</v>
      </c>
      <c r="G135" s="1">
        <f>IF(B135="", "", "air")</f>
        <v>0</v>
      </c>
      <c r="H135" s="1">
        <f>IF(B135="", "", "air")</f>
        <v>0</v>
      </c>
      <c r="I135" s="1">
        <f>IF(B135="", "", "air metagenome")</f>
        <v>0</v>
      </c>
      <c r="J135" s="1">
        <f>IF(B135="", "", "655179")</f>
        <v>0</v>
      </c>
    </row>
    <row r="136" spans="1:10">
      <c r="A136">
        <f>IF(COUNTBLANK(B136:J136)&lt;&gt;COLUMNS(B136:J136),135,"")</f>
        <v>0</v>
      </c>
      <c r="D136" s="1">
        <f>IF(B136="", "", "m")</f>
        <v>0</v>
      </c>
      <c r="F136" s="1">
        <f>IF(B136="", "", "air")</f>
        <v>0</v>
      </c>
      <c r="G136" s="1">
        <f>IF(B136="", "", "air")</f>
        <v>0</v>
      </c>
      <c r="H136" s="1">
        <f>IF(B136="", "", "air")</f>
        <v>0</v>
      </c>
      <c r="I136" s="1">
        <f>IF(B136="", "", "air metagenome")</f>
        <v>0</v>
      </c>
      <c r="J136" s="1">
        <f>IF(B136="", "", "655179")</f>
        <v>0</v>
      </c>
    </row>
    <row r="137" spans="1:10">
      <c r="A137">
        <f>IF(COUNTBLANK(B137:J137)&lt;&gt;COLUMNS(B137:J137),136,"")</f>
        <v>0</v>
      </c>
      <c r="D137" s="1">
        <f>IF(B137="", "", "m")</f>
        <v>0</v>
      </c>
      <c r="F137" s="1">
        <f>IF(B137="", "", "air")</f>
        <v>0</v>
      </c>
      <c r="G137" s="1">
        <f>IF(B137="", "", "air")</f>
        <v>0</v>
      </c>
      <c r="H137" s="1">
        <f>IF(B137="", "", "air")</f>
        <v>0</v>
      </c>
      <c r="I137" s="1">
        <f>IF(B137="", "", "air metagenome")</f>
        <v>0</v>
      </c>
      <c r="J137" s="1">
        <f>IF(B137="", "", "655179")</f>
        <v>0</v>
      </c>
    </row>
    <row r="138" spans="1:10">
      <c r="A138">
        <f>IF(COUNTBLANK(B138:J138)&lt;&gt;COLUMNS(B138:J138),137,"")</f>
        <v>0</v>
      </c>
      <c r="D138" s="1">
        <f>IF(B138="", "", "m")</f>
        <v>0</v>
      </c>
      <c r="F138" s="1">
        <f>IF(B138="", "", "air")</f>
        <v>0</v>
      </c>
      <c r="G138" s="1">
        <f>IF(B138="", "", "air")</f>
        <v>0</v>
      </c>
      <c r="H138" s="1">
        <f>IF(B138="", "", "air")</f>
        <v>0</v>
      </c>
      <c r="I138" s="1">
        <f>IF(B138="", "", "air metagenome")</f>
        <v>0</v>
      </c>
      <c r="J138" s="1">
        <f>IF(B138="", "", "655179")</f>
        <v>0</v>
      </c>
    </row>
    <row r="139" spans="1:10">
      <c r="A139">
        <f>IF(COUNTBLANK(B139:J139)&lt;&gt;COLUMNS(B139:J139),138,"")</f>
        <v>0</v>
      </c>
      <c r="D139" s="1">
        <f>IF(B139="", "", "m")</f>
        <v>0</v>
      </c>
      <c r="F139" s="1">
        <f>IF(B139="", "", "air")</f>
        <v>0</v>
      </c>
      <c r="G139" s="1">
        <f>IF(B139="", "", "air")</f>
        <v>0</v>
      </c>
      <c r="H139" s="1">
        <f>IF(B139="", "", "air")</f>
        <v>0</v>
      </c>
      <c r="I139" s="1">
        <f>IF(B139="", "", "air metagenome")</f>
        <v>0</v>
      </c>
      <c r="J139" s="1">
        <f>IF(B139="", "", "655179")</f>
        <v>0</v>
      </c>
    </row>
    <row r="140" spans="1:10">
      <c r="A140">
        <f>IF(COUNTBLANK(B140:J140)&lt;&gt;COLUMNS(B140:J140),139,"")</f>
        <v>0</v>
      </c>
      <c r="D140" s="1">
        <f>IF(B140="", "", "m")</f>
        <v>0</v>
      </c>
      <c r="F140" s="1">
        <f>IF(B140="", "", "air")</f>
        <v>0</v>
      </c>
      <c r="G140" s="1">
        <f>IF(B140="", "", "air")</f>
        <v>0</v>
      </c>
      <c r="H140" s="1">
        <f>IF(B140="", "", "air")</f>
        <v>0</v>
      </c>
      <c r="I140" s="1">
        <f>IF(B140="", "", "air metagenome")</f>
        <v>0</v>
      </c>
      <c r="J140" s="1">
        <f>IF(B140="", "", "655179")</f>
        <v>0</v>
      </c>
    </row>
    <row r="141" spans="1:10">
      <c r="A141">
        <f>IF(COUNTBLANK(B141:J141)&lt;&gt;COLUMNS(B141:J141),140,"")</f>
        <v>0</v>
      </c>
      <c r="D141" s="1">
        <f>IF(B141="", "", "m")</f>
        <v>0</v>
      </c>
      <c r="F141" s="1">
        <f>IF(B141="", "", "air")</f>
        <v>0</v>
      </c>
      <c r="G141" s="1">
        <f>IF(B141="", "", "air")</f>
        <v>0</v>
      </c>
      <c r="H141" s="1">
        <f>IF(B141="", "", "air")</f>
        <v>0</v>
      </c>
      <c r="I141" s="1">
        <f>IF(B141="", "", "air metagenome")</f>
        <v>0</v>
      </c>
      <c r="J141" s="1">
        <f>IF(B141="", "", "655179")</f>
        <v>0</v>
      </c>
    </row>
    <row r="142" spans="1:10">
      <c r="A142">
        <f>IF(COUNTBLANK(B142:J142)&lt;&gt;COLUMNS(B142:J142),141,"")</f>
        <v>0</v>
      </c>
      <c r="D142" s="1">
        <f>IF(B142="", "", "m")</f>
        <v>0</v>
      </c>
      <c r="F142" s="1">
        <f>IF(B142="", "", "air")</f>
        <v>0</v>
      </c>
      <c r="G142" s="1">
        <f>IF(B142="", "", "air")</f>
        <v>0</v>
      </c>
      <c r="H142" s="1">
        <f>IF(B142="", "", "air")</f>
        <v>0</v>
      </c>
      <c r="I142" s="1">
        <f>IF(B142="", "", "air metagenome")</f>
        <v>0</v>
      </c>
      <c r="J142" s="1">
        <f>IF(B142="", "", "655179")</f>
        <v>0</v>
      </c>
    </row>
    <row r="143" spans="1:10">
      <c r="A143">
        <f>IF(COUNTBLANK(B143:J143)&lt;&gt;COLUMNS(B143:J143),142,"")</f>
        <v>0</v>
      </c>
      <c r="D143" s="1">
        <f>IF(B143="", "", "m")</f>
        <v>0</v>
      </c>
      <c r="F143" s="1">
        <f>IF(B143="", "", "air")</f>
        <v>0</v>
      </c>
      <c r="G143" s="1">
        <f>IF(B143="", "", "air")</f>
        <v>0</v>
      </c>
      <c r="H143" s="1">
        <f>IF(B143="", "", "air")</f>
        <v>0</v>
      </c>
      <c r="I143" s="1">
        <f>IF(B143="", "", "air metagenome")</f>
        <v>0</v>
      </c>
      <c r="J143" s="1">
        <f>IF(B143="", "", "655179")</f>
        <v>0</v>
      </c>
    </row>
    <row r="144" spans="1:10">
      <c r="A144">
        <f>IF(COUNTBLANK(B144:J144)&lt;&gt;COLUMNS(B144:J144),143,"")</f>
        <v>0</v>
      </c>
      <c r="D144" s="1">
        <f>IF(B144="", "", "m")</f>
        <v>0</v>
      </c>
      <c r="F144" s="1">
        <f>IF(B144="", "", "air")</f>
        <v>0</v>
      </c>
      <c r="G144" s="1">
        <f>IF(B144="", "", "air")</f>
        <v>0</v>
      </c>
      <c r="H144" s="1">
        <f>IF(B144="", "", "air")</f>
        <v>0</v>
      </c>
      <c r="I144" s="1">
        <f>IF(B144="", "", "air metagenome")</f>
        <v>0</v>
      </c>
      <c r="J144" s="1">
        <f>IF(B144="", "", "655179")</f>
        <v>0</v>
      </c>
    </row>
    <row r="145" spans="1:10">
      <c r="A145">
        <f>IF(COUNTBLANK(B145:J145)&lt;&gt;COLUMNS(B145:J145),144,"")</f>
        <v>0</v>
      </c>
      <c r="D145" s="1">
        <f>IF(B145="", "", "m")</f>
        <v>0</v>
      </c>
      <c r="F145" s="1">
        <f>IF(B145="", "", "air")</f>
        <v>0</v>
      </c>
      <c r="G145" s="1">
        <f>IF(B145="", "", "air")</f>
        <v>0</v>
      </c>
      <c r="H145" s="1">
        <f>IF(B145="", "", "air")</f>
        <v>0</v>
      </c>
      <c r="I145" s="1">
        <f>IF(B145="", "", "air metagenome")</f>
        <v>0</v>
      </c>
      <c r="J145" s="1">
        <f>IF(B145="", "", "655179")</f>
        <v>0</v>
      </c>
    </row>
    <row r="146" spans="1:10">
      <c r="A146">
        <f>IF(COUNTBLANK(B146:J146)&lt;&gt;COLUMNS(B146:J146),145,"")</f>
        <v>0</v>
      </c>
      <c r="D146" s="1">
        <f>IF(B146="", "", "m")</f>
        <v>0</v>
      </c>
      <c r="F146" s="1">
        <f>IF(B146="", "", "air")</f>
        <v>0</v>
      </c>
      <c r="G146" s="1">
        <f>IF(B146="", "", "air")</f>
        <v>0</v>
      </c>
      <c r="H146" s="1">
        <f>IF(B146="", "", "air")</f>
        <v>0</v>
      </c>
      <c r="I146" s="1">
        <f>IF(B146="", "", "air metagenome")</f>
        <v>0</v>
      </c>
      <c r="J146" s="1">
        <f>IF(B146="", "", "655179")</f>
        <v>0</v>
      </c>
    </row>
    <row r="147" spans="1:10">
      <c r="A147">
        <f>IF(COUNTBLANK(B147:J147)&lt;&gt;COLUMNS(B147:J147),146,"")</f>
        <v>0</v>
      </c>
      <c r="D147" s="1">
        <f>IF(B147="", "", "m")</f>
        <v>0</v>
      </c>
      <c r="F147" s="1">
        <f>IF(B147="", "", "air")</f>
        <v>0</v>
      </c>
      <c r="G147" s="1">
        <f>IF(B147="", "", "air")</f>
        <v>0</v>
      </c>
      <c r="H147" s="1">
        <f>IF(B147="", "", "air")</f>
        <v>0</v>
      </c>
      <c r="I147" s="1">
        <f>IF(B147="", "", "air metagenome")</f>
        <v>0</v>
      </c>
      <c r="J147" s="1">
        <f>IF(B147="", "", "655179")</f>
        <v>0</v>
      </c>
    </row>
    <row r="148" spans="1:10">
      <c r="A148">
        <f>IF(COUNTBLANK(B148:J148)&lt;&gt;COLUMNS(B148:J148),147,"")</f>
        <v>0</v>
      </c>
      <c r="D148" s="1">
        <f>IF(B148="", "", "m")</f>
        <v>0</v>
      </c>
      <c r="F148" s="1">
        <f>IF(B148="", "", "air")</f>
        <v>0</v>
      </c>
      <c r="G148" s="1">
        <f>IF(B148="", "", "air")</f>
        <v>0</v>
      </c>
      <c r="H148" s="1">
        <f>IF(B148="", "", "air")</f>
        <v>0</v>
      </c>
      <c r="I148" s="1">
        <f>IF(B148="", "", "air metagenome")</f>
        <v>0</v>
      </c>
      <c r="J148" s="1">
        <f>IF(B148="", "", "655179")</f>
        <v>0</v>
      </c>
    </row>
    <row r="149" spans="1:10">
      <c r="A149">
        <f>IF(COUNTBLANK(B149:J149)&lt;&gt;COLUMNS(B149:J149),148,"")</f>
        <v>0</v>
      </c>
      <c r="D149" s="1">
        <f>IF(B149="", "", "m")</f>
        <v>0</v>
      </c>
      <c r="F149" s="1">
        <f>IF(B149="", "", "air")</f>
        <v>0</v>
      </c>
      <c r="G149" s="1">
        <f>IF(B149="", "", "air")</f>
        <v>0</v>
      </c>
      <c r="H149" s="1">
        <f>IF(B149="", "", "air")</f>
        <v>0</v>
      </c>
      <c r="I149" s="1">
        <f>IF(B149="", "", "air metagenome")</f>
        <v>0</v>
      </c>
      <c r="J149" s="1">
        <f>IF(B149="", "", "655179")</f>
        <v>0</v>
      </c>
    </row>
    <row r="150" spans="1:10">
      <c r="A150">
        <f>IF(COUNTBLANK(B150:J150)&lt;&gt;COLUMNS(B150:J150),149,"")</f>
        <v>0</v>
      </c>
      <c r="D150" s="1">
        <f>IF(B150="", "", "m")</f>
        <v>0</v>
      </c>
      <c r="F150" s="1">
        <f>IF(B150="", "", "air")</f>
        <v>0</v>
      </c>
      <c r="G150" s="1">
        <f>IF(B150="", "", "air")</f>
        <v>0</v>
      </c>
      <c r="H150" s="1">
        <f>IF(B150="", "", "air")</f>
        <v>0</v>
      </c>
      <c r="I150" s="1">
        <f>IF(B150="", "", "air metagenome")</f>
        <v>0</v>
      </c>
      <c r="J150" s="1">
        <f>IF(B150="", "", "655179")</f>
        <v>0</v>
      </c>
    </row>
    <row r="151" spans="1:10">
      <c r="A151">
        <f>IF(COUNTBLANK(B151:J151)&lt;&gt;COLUMNS(B151:J151),150,"")</f>
        <v>0</v>
      </c>
      <c r="D151" s="1">
        <f>IF(B151="", "", "m")</f>
        <v>0</v>
      </c>
      <c r="F151" s="1">
        <f>IF(B151="", "", "air")</f>
        <v>0</v>
      </c>
      <c r="G151" s="1">
        <f>IF(B151="", "", "air")</f>
        <v>0</v>
      </c>
      <c r="H151" s="1">
        <f>IF(B151="", "", "air")</f>
        <v>0</v>
      </c>
      <c r="I151" s="1">
        <f>IF(B151="", "", "air metagenome")</f>
        <v>0</v>
      </c>
      <c r="J151" s="1">
        <f>IF(B151="", "", "655179")</f>
        <v>0</v>
      </c>
    </row>
    <row r="152" spans="1:10">
      <c r="A152">
        <f>IF(COUNTBLANK(B152:J152)&lt;&gt;COLUMNS(B152:J152),151,"")</f>
        <v>0</v>
      </c>
      <c r="D152" s="1">
        <f>IF(B152="", "", "m")</f>
        <v>0</v>
      </c>
      <c r="F152" s="1">
        <f>IF(B152="", "", "air")</f>
        <v>0</v>
      </c>
      <c r="G152" s="1">
        <f>IF(B152="", "", "air")</f>
        <v>0</v>
      </c>
      <c r="H152" s="1">
        <f>IF(B152="", "", "air")</f>
        <v>0</v>
      </c>
      <c r="I152" s="1">
        <f>IF(B152="", "", "air metagenome")</f>
        <v>0</v>
      </c>
      <c r="J152" s="1">
        <f>IF(B152="", "", "655179")</f>
        <v>0</v>
      </c>
    </row>
    <row r="153" spans="1:10">
      <c r="A153">
        <f>IF(COUNTBLANK(B153:J153)&lt;&gt;COLUMNS(B153:J153),152,"")</f>
        <v>0</v>
      </c>
      <c r="D153" s="1">
        <f>IF(B153="", "", "m")</f>
        <v>0</v>
      </c>
      <c r="F153" s="1">
        <f>IF(B153="", "", "air")</f>
        <v>0</v>
      </c>
      <c r="G153" s="1">
        <f>IF(B153="", "", "air")</f>
        <v>0</v>
      </c>
      <c r="H153" s="1">
        <f>IF(B153="", "", "air")</f>
        <v>0</v>
      </c>
      <c r="I153" s="1">
        <f>IF(B153="", "", "air metagenome")</f>
        <v>0</v>
      </c>
      <c r="J153" s="1">
        <f>IF(B153="", "", "655179")</f>
        <v>0</v>
      </c>
    </row>
    <row r="154" spans="1:10">
      <c r="A154">
        <f>IF(COUNTBLANK(B154:J154)&lt;&gt;COLUMNS(B154:J154),153,"")</f>
        <v>0</v>
      </c>
      <c r="D154" s="1">
        <f>IF(B154="", "", "m")</f>
        <v>0</v>
      </c>
      <c r="F154" s="1">
        <f>IF(B154="", "", "air")</f>
        <v>0</v>
      </c>
      <c r="G154" s="1">
        <f>IF(B154="", "", "air")</f>
        <v>0</v>
      </c>
      <c r="H154" s="1">
        <f>IF(B154="", "", "air")</f>
        <v>0</v>
      </c>
      <c r="I154" s="1">
        <f>IF(B154="", "", "air metagenome")</f>
        <v>0</v>
      </c>
      <c r="J154" s="1">
        <f>IF(B154="", "", "655179")</f>
        <v>0</v>
      </c>
    </row>
    <row r="155" spans="1:10">
      <c r="A155">
        <f>IF(COUNTBLANK(B155:J155)&lt;&gt;COLUMNS(B155:J155),154,"")</f>
        <v>0</v>
      </c>
      <c r="D155" s="1">
        <f>IF(B155="", "", "m")</f>
        <v>0</v>
      </c>
      <c r="F155" s="1">
        <f>IF(B155="", "", "air")</f>
        <v>0</v>
      </c>
      <c r="G155" s="1">
        <f>IF(B155="", "", "air")</f>
        <v>0</v>
      </c>
      <c r="H155" s="1">
        <f>IF(B155="", "", "air")</f>
        <v>0</v>
      </c>
      <c r="I155" s="1">
        <f>IF(B155="", "", "air metagenome")</f>
        <v>0</v>
      </c>
      <c r="J155" s="1">
        <f>IF(B155="", "", "655179")</f>
        <v>0</v>
      </c>
    </row>
    <row r="156" spans="1:10">
      <c r="A156">
        <f>IF(COUNTBLANK(B156:J156)&lt;&gt;COLUMNS(B156:J156),155,"")</f>
        <v>0</v>
      </c>
      <c r="D156" s="1">
        <f>IF(B156="", "", "m")</f>
        <v>0</v>
      </c>
      <c r="F156" s="1">
        <f>IF(B156="", "", "air")</f>
        <v>0</v>
      </c>
      <c r="G156" s="1">
        <f>IF(B156="", "", "air")</f>
        <v>0</v>
      </c>
      <c r="H156" s="1">
        <f>IF(B156="", "", "air")</f>
        <v>0</v>
      </c>
      <c r="I156" s="1">
        <f>IF(B156="", "", "air metagenome")</f>
        <v>0</v>
      </c>
      <c r="J156" s="1">
        <f>IF(B156="", "", "655179")</f>
        <v>0</v>
      </c>
    </row>
    <row r="157" spans="1:10">
      <c r="A157">
        <f>IF(COUNTBLANK(B157:J157)&lt;&gt;COLUMNS(B157:J157),156,"")</f>
        <v>0</v>
      </c>
      <c r="D157" s="1">
        <f>IF(B157="", "", "m")</f>
        <v>0</v>
      </c>
      <c r="F157" s="1">
        <f>IF(B157="", "", "air")</f>
        <v>0</v>
      </c>
      <c r="G157" s="1">
        <f>IF(B157="", "", "air")</f>
        <v>0</v>
      </c>
      <c r="H157" s="1">
        <f>IF(B157="", "", "air")</f>
        <v>0</v>
      </c>
      <c r="I157" s="1">
        <f>IF(B157="", "", "air metagenome")</f>
        <v>0</v>
      </c>
      <c r="J157" s="1">
        <f>IF(B157="", "", "655179")</f>
        <v>0</v>
      </c>
    </row>
    <row r="158" spans="1:10">
      <c r="A158">
        <f>IF(COUNTBLANK(B158:J158)&lt;&gt;COLUMNS(B158:J158),157,"")</f>
        <v>0</v>
      </c>
      <c r="D158" s="1">
        <f>IF(B158="", "", "m")</f>
        <v>0</v>
      </c>
      <c r="F158" s="1">
        <f>IF(B158="", "", "air")</f>
        <v>0</v>
      </c>
      <c r="G158" s="1">
        <f>IF(B158="", "", "air")</f>
        <v>0</v>
      </c>
      <c r="H158" s="1">
        <f>IF(B158="", "", "air")</f>
        <v>0</v>
      </c>
      <c r="I158" s="1">
        <f>IF(B158="", "", "air metagenome")</f>
        <v>0</v>
      </c>
      <c r="J158" s="1">
        <f>IF(B158="", "", "655179")</f>
        <v>0</v>
      </c>
    </row>
    <row r="159" spans="1:10">
      <c r="A159">
        <f>IF(COUNTBLANK(B159:J159)&lt;&gt;COLUMNS(B159:J159),158,"")</f>
        <v>0</v>
      </c>
      <c r="D159" s="1">
        <f>IF(B159="", "", "m")</f>
        <v>0</v>
      </c>
      <c r="F159" s="1">
        <f>IF(B159="", "", "air")</f>
        <v>0</v>
      </c>
      <c r="G159" s="1">
        <f>IF(B159="", "", "air")</f>
        <v>0</v>
      </c>
      <c r="H159" s="1">
        <f>IF(B159="", "", "air")</f>
        <v>0</v>
      </c>
      <c r="I159" s="1">
        <f>IF(B159="", "", "air metagenome")</f>
        <v>0</v>
      </c>
      <c r="J159" s="1">
        <f>IF(B159="", "", "655179")</f>
        <v>0</v>
      </c>
    </row>
    <row r="160" spans="1:10">
      <c r="A160">
        <f>IF(COUNTBLANK(B160:J160)&lt;&gt;COLUMNS(B160:J160),159,"")</f>
        <v>0</v>
      </c>
      <c r="D160" s="1">
        <f>IF(B160="", "", "m")</f>
        <v>0</v>
      </c>
      <c r="F160" s="1">
        <f>IF(B160="", "", "air")</f>
        <v>0</v>
      </c>
      <c r="G160" s="1">
        <f>IF(B160="", "", "air")</f>
        <v>0</v>
      </c>
      <c r="H160" s="1">
        <f>IF(B160="", "", "air")</f>
        <v>0</v>
      </c>
      <c r="I160" s="1">
        <f>IF(B160="", "", "air metagenome")</f>
        <v>0</v>
      </c>
      <c r="J160" s="1">
        <f>IF(B160="", "", "655179")</f>
        <v>0</v>
      </c>
    </row>
    <row r="161" spans="1:10">
      <c r="A161">
        <f>IF(COUNTBLANK(B161:J161)&lt;&gt;COLUMNS(B161:J161),160,"")</f>
        <v>0</v>
      </c>
      <c r="D161" s="1">
        <f>IF(B161="", "", "m")</f>
        <v>0</v>
      </c>
      <c r="F161" s="1">
        <f>IF(B161="", "", "air")</f>
        <v>0</v>
      </c>
      <c r="G161" s="1">
        <f>IF(B161="", "", "air")</f>
        <v>0</v>
      </c>
      <c r="H161" s="1">
        <f>IF(B161="", "", "air")</f>
        <v>0</v>
      </c>
      <c r="I161" s="1">
        <f>IF(B161="", "", "air metagenome")</f>
        <v>0</v>
      </c>
      <c r="J161" s="1">
        <f>IF(B161="", "", "655179")</f>
        <v>0</v>
      </c>
    </row>
    <row r="162" spans="1:10">
      <c r="A162">
        <f>IF(COUNTBLANK(B162:J162)&lt;&gt;COLUMNS(B162:J162),161,"")</f>
        <v>0</v>
      </c>
      <c r="D162" s="1">
        <f>IF(B162="", "", "m")</f>
        <v>0</v>
      </c>
      <c r="F162" s="1">
        <f>IF(B162="", "", "air")</f>
        <v>0</v>
      </c>
      <c r="G162" s="1">
        <f>IF(B162="", "", "air")</f>
        <v>0</v>
      </c>
      <c r="H162" s="1">
        <f>IF(B162="", "", "air")</f>
        <v>0</v>
      </c>
      <c r="I162" s="1">
        <f>IF(B162="", "", "air metagenome")</f>
        <v>0</v>
      </c>
      <c r="J162" s="1">
        <f>IF(B162="", "", "655179")</f>
        <v>0</v>
      </c>
    </row>
    <row r="163" spans="1:10">
      <c r="A163">
        <f>IF(COUNTBLANK(B163:J163)&lt;&gt;COLUMNS(B163:J163),162,"")</f>
        <v>0</v>
      </c>
      <c r="D163" s="1">
        <f>IF(B163="", "", "m")</f>
        <v>0</v>
      </c>
      <c r="F163" s="1">
        <f>IF(B163="", "", "air")</f>
        <v>0</v>
      </c>
      <c r="G163" s="1">
        <f>IF(B163="", "", "air")</f>
        <v>0</v>
      </c>
      <c r="H163" s="1">
        <f>IF(B163="", "", "air")</f>
        <v>0</v>
      </c>
      <c r="I163" s="1">
        <f>IF(B163="", "", "air metagenome")</f>
        <v>0</v>
      </c>
      <c r="J163" s="1">
        <f>IF(B163="", "", "655179")</f>
        <v>0</v>
      </c>
    </row>
    <row r="164" spans="1:10">
      <c r="A164">
        <f>IF(COUNTBLANK(B164:J164)&lt;&gt;COLUMNS(B164:J164),163,"")</f>
        <v>0</v>
      </c>
      <c r="D164" s="1">
        <f>IF(B164="", "", "m")</f>
        <v>0</v>
      </c>
      <c r="F164" s="1">
        <f>IF(B164="", "", "air")</f>
        <v>0</v>
      </c>
      <c r="G164" s="1">
        <f>IF(B164="", "", "air")</f>
        <v>0</v>
      </c>
      <c r="H164" s="1">
        <f>IF(B164="", "", "air")</f>
        <v>0</v>
      </c>
      <c r="I164" s="1">
        <f>IF(B164="", "", "air metagenome")</f>
        <v>0</v>
      </c>
      <c r="J164" s="1">
        <f>IF(B164="", "", "655179")</f>
        <v>0</v>
      </c>
    </row>
    <row r="165" spans="1:10">
      <c r="A165">
        <f>IF(COUNTBLANK(B165:J165)&lt;&gt;COLUMNS(B165:J165),164,"")</f>
        <v>0</v>
      </c>
      <c r="D165" s="1">
        <f>IF(B165="", "", "m")</f>
        <v>0</v>
      </c>
      <c r="F165" s="1">
        <f>IF(B165="", "", "air")</f>
        <v>0</v>
      </c>
      <c r="G165" s="1">
        <f>IF(B165="", "", "air")</f>
        <v>0</v>
      </c>
      <c r="H165" s="1">
        <f>IF(B165="", "", "air")</f>
        <v>0</v>
      </c>
      <c r="I165" s="1">
        <f>IF(B165="", "", "air metagenome")</f>
        <v>0</v>
      </c>
      <c r="J165" s="1">
        <f>IF(B165="", "", "655179")</f>
        <v>0</v>
      </c>
    </row>
    <row r="166" spans="1:10">
      <c r="A166">
        <f>IF(COUNTBLANK(B166:J166)&lt;&gt;COLUMNS(B166:J166),165,"")</f>
        <v>0</v>
      </c>
      <c r="D166" s="1">
        <f>IF(B166="", "", "m")</f>
        <v>0</v>
      </c>
      <c r="F166" s="1">
        <f>IF(B166="", "", "air")</f>
        <v>0</v>
      </c>
      <c r="G166" s="1">
        <f>IF(B166="", "", "air")</f>
        <v>0</v>
      </c>
      <c r="H166" s="1">
        <f>IF(B166="", "", "air")</f>
        <v>0</v>
      </c>
      <c r="I166" s="1">
        <f>IF(B166="", "", "air metagenome")</f>
        <v>0</v>
      </c>
      <c r="J166" s="1">
        <f>IF(B166="", "", "655179")</f>
        <v>0</v>
      </c>
    </row>
    <row r="167" spans="1:10">
      <c r="A167">
        <f>IF(COUNTBLANK(B167:J167)&lt;&gt;COLUMNS(B167:J167),166,"")</f>
        <v>0</v>
      </c>
      <c r="D167" s="1">
        <f>IF(B167="", "", "m")</f>
        <v>0</v>
      </c>
      <c r="F167" s="1">
        <f>IF(B167="", "", "air")</f>
        <v>0</v>
      </c>
      <c r="G167" s="1">
        <f>IF(B167="", "", "air")</f>
        <v>0</v>
      </c>
      <c r="H167" s="1">
        <f>IF(B167="", "", "air")</f>
        <v>0</v>
      </c>
      <c r="I167" s="1">
        <f>IF(B167="", "", "air metagenome")</f>
        <v>0</v>
      </c>
      <c r="J167" s="1">
        <f>IF(B167="", "", "655179")</f>
        <v>0</v>
      </c>
    </row>
    <row r="168" spans="1:10">
      <c r="A168">
        <f>IF(COUNTBLANK(B168:J168)&lt;&gt;COLUMNS(B168:J168),167,"")</f>
        <v>0</v>
      </c>
      <c r="D168" s="1">
        <f>IF(B168="", "", "m")</f>
        <v>0</v>
      </c>
      <c r="F168" s="1">
        <f>IF(B168="", "", "air")</f>
        <v>0</v>
      </c>
      <c r="G168" s="1">
        <f>IF(B168="", "", "air")</f>
        <v>0</v>
      </c>
      <c r="H168" s="1">
        <f>IF(B168="", "", "air")</f>
        <v>0</v>
      </c>
      <c r="I168" s="1">
        <f>IF(B168="", "", "air metagenome")</f>
        <v>0</v>
      </c>
      <c r="J168" s="1">
        <f>IF(B168="", "", "655179")</f>
        <v>0</v>
      </c>
    </row>
    <row r="169" spans="1:10">
      <c r="A169">
        <f>IF(COUNTBLANK(B169:J169)&lt;&gt;COLUMNS(B169:J169),168,"")</f>
        <v>0</v>
      </c>
      <c r="D169" s="1">
        <f>IF(B169="", "", "m")</f>
        <v>0</v>
      </c>
      <c r="F169" s="1">
        <f>IF(B169="", "", "air")</f>
        <v>0</v>
      </c>
      <c r="G169" s="1">
        <f>IF(B169="", "", "air")</f>
        <v>0</v>
      </c>
      <c r="H169" s="1">
        <f>IF(B169="", "", "air")</f>
        <v>0</v>
      </c>
      <c r="I169" s="1">
        <f>IF(B169="", "", "air metagenome")</f>
        <v>0</v>
      </c>
      <c r="J169" s="1">
        <f>IF(B169="", "", "655179")</f>
        <v>0</v>
      </c>
    </row>
    <row r="170" spans="1:10">
      <c r="A170">
        <f>IF(COUNTBLANK(B170:J170)&lt;&gt;COLUMNS(B170:J170),169,"")</f>
        <v>0</v>
      </c>
      <c r="D170" s="1">
        <f>IF(B170="", "", "m")</f>
        <v>0</v>
      </c>
      <c r="F170" s="1">
        <f>IF(B170="", "", "air")</f>
        <v>0</v>
      </c>
      <c r="G170" s="1">
        <f>IF(B170="", "", "air")</f>
        <v>0</v>
      </c>
      <c r="H170" s="1">
        <f>IF(B170="", "", "air")</f>
        <v>0</v>
      </c>
      <c r="I170" s="1">
        <f>IF(B170="", "", "air metagenome")</f>
        <v>0</v>
      </c>
      <c r="J170" s="1">
        <f>IF(B170="", "", "655179")</f>
        <v>0</v>
      </c>
    </row>
    <row r="171" spans="1:10">
      <c r="A171">
        <f>IF(COUNTBLANK(B171:J171)&lt;&gt;COLUMNS(B171:J171),170,"")</f>
        <v>0</v>
      </c>
      <c r="D171" s="1">
        <f>IF(B171="", "", "m")</f>
        <v>0</v>
      </c>
      <c r="F171" s="1">
        <f>IF(B171="", "", "air")</f>
        <v>0</v>
      </c>
      <c r="G171" s="1">
        <f>IF(B171="", "", "air")</f>
        <v>0</v>
      </c>
      <c r="H171" s="1">
        <f>IF(B171="", "", "air")</f>
        <v>0</v>
      </c>
      <c r="I171" s="1">
        <f>IF(B171="", "", "air metagenome")</f>
        <v>0</v>
      </c>
      <c r="J171" s="1">
        <f>IF(B171="", "", "655179")</f>
        <v>0</v>
      </c>
    </row>
    <row r="172" spans="1:10">
      <c r="A172">
        <f>IF(COUNTBLANK(B172:J172)&lt;&gt;COLUMNS(B172:J172),171,"")</f>
        <v>0</v>
      </c>
      <c r="D172" s="1">
        <f>IF(B172="", "", "m")</f>
        <v>0</v>
      </c>
      <c r="F172" s="1">
        <f>IF(B172="", "", "air")</f>
        <v>0</v>
      </c>
      <c r="G172" s="1">
        <f>IF(B172="", "", "air")</f>
        <v>0</v>
      </c>
      <c r="H172" s="1">
        <f>IF(B172="", "", "air")</f>
        <v>0</v>
      </c>
      <c r="I172" s="1">
        <f>IF(B172="", "", "air metagenome")</f>
        <v>0</v>
      </c>
      <c r="J172" s="1">
        <f>IF(B172="", "", "655179")</f>
        <v>0</v>
      </c>
    </row>
    <row r="173" spans="1:10">
      <c r="A173">
        <f>IF(COUNTBLANK(B173:J173)&lt;&gt;COLUMNS(B173:J173),172,"")</f>
        <v>0</v>
      </c>
      <c r="D173" s="1">
        <f>IF(B173="", "", "m")</f>
        <v>0</v>
      </c>
      <c r="F173" s="1">
        <f>IF(B173="", "", "air")</f>
        <v>0</v>
      </c>
      <c r="G173" s="1">
        <f>IF(B173="", "", "air")</f>
        <v>0</v>
      </c>
      <c r="H173" s="1">
        <f>IF(B173="", "", "air")</f>
        <v>0</v>
      </c>
      <c r="I173" s="1">
        <f>IF(B173="", "", "air metagenome")</f>
        <v>0</v>
      </c>
      <c r="J173" s="1">
        <f>IF(B173="", "", "655179")</f>
        <v>0</v>
      </c>
    </row>
    <row r="174" spans="1:10">
      <c r="A174">
        <f>IF(COUNTBLANK(B174:J174)&lt;&gt;COLUMNS(B174:J174),173,"")</f>
        <v>0</v>
      </c>
      <c r="D174" s="1">
        <f>IF(B174="", "", "m")</f>
        <v>0</v>
      </c>
      <c r="F174" s="1">
        <f>IF(B174="", "", "air")</f>
        <v>0</v>
      </c>
      <c r="G174" s="1">
        <f>IF(B174="", "", "air")</f>
        <v>0</v>
      </c>
      <c r="H174" s="1">
        <f>IF(B174="", "", "air")</f>
        <v>0</v>
      </c>
      <c r="I174" s="1">
        <f>IF(B174="", "", "air metagenome")</f>
        <v>0</v>
      </c>
      <c r="J174" s="1">
        <f>IF(B174="", "", "655179")</f>
        <v>0</v>
      </c>
    </row>
    <row r="175" spans="1:10">
      <c r="A175">
        <f>IF(COUNTBLANK(B175:J175)&lt;&gt;COLUMNS(B175:J175),174,"")</f>
        <v>0</v>
      </c>
      <c r="D175" s="1">
        <f>IF(B175="", "", "m")</f>
        <v>0</v>
      </c>
      <c r="F175" s="1">
        <f>IF(B175="", "", "air")</f>
        <v>0</v>
      </c>
      <c r="G175" s="1">
        <f>IF(B175="", "", "air")</f>
        <v>0</v>
      </c>
      <c r="H175" s="1">
        <f>IF(B175="", "", "air")</f>
        <v>0</v>
      </c>
      <c r="I175" s="1">
        <f>IF(B175="", "", "air metagenome")</f>
        <v>0</v>
      </c>
      <c r="J175" s="1">
        <f>IF(B175="", "", "655179")</f>
        <v>0</v>
      </c>
    </row>
    <row r="176" spans="1:10">
      <c r="A176">
        <f>IF(COUNTBLANK(B176:J176)&lt;&gt;COLUMNS(B176:J176),175,"")</f>
        <v>0</v>
      </c>
      <c r="D176" s="1">
        <f>IF(B176="", "", "m")</f>
        <v>0</v>
      </c>
      <c r="F176" s="1">
        <f>IF(B176="", "", "air")</f>
        <v>0</v>
      </c>
      <c r="G176" s="1">
        <f>IF(B176="", "", "air")</f>
        <v>0</v>
      </c>
      <c r="H176" s="1">
        <f>IF(B176="", "", "air")</f>
        <v>0</v>
      </c>
      <c r="I176" s="1">
        <f>IF(B176="", "", "air metagenome")</f>
        <v>0</v>
      </c>
      <c r="J176" s="1">
        <f>IF(B176="", "", "655179")</f>
        <v>0</v>
      </c>
    </row>
    <row r="177" spans="1:10">
      <c r="A177">
        <f>IF(COUNTBLANK(B177:J177)&lt;&gt;COLUMNS(B177:J177),176,"")</f>
        <v>0</v>
      </c>
      <c r="D177" s="1">
        <f>IF(B177="", "", "m")</f>
        <v>0</v>
      </c>
      <c r="F177" s="1">
        <f>IF(B177="", "", "air")</f>
        <v>0</v>
      </c>
      <c r="G177" s="1">
        <f>IF(B177="", "", "air")</f>
        <v>0</v>
      </c>
      <c r="H177" s="1">
        <f>IF(B177="", "", "air")</f>
        <v>0</v>
      </c>
      <c r="I177" s="1">
        <f>IF(B177="", "", "air metagenome")</f>
        <v>0</v>
      </c>
      <c r="J177" s="1">
        <f>IF(B177="", "", "655179")</f>
        <v>0</v>
      </c>
    </row>
    <row r="178" spans="1:10">
      <c r="A178">
        <f>IF(COUNTBLANK(B178:J178)&lt;&gt;COLUMNS(B178:J178),177,"")</f>
        <v>0</v>
      </c>
      <c r="D178" s="1">
        <f>IF(B178="", "", "m")</f>
        <v>0</v>
      </c>
      <c r="F178" s="1">
        <f>IF(B178="", "", "air")</f>
        <v>0</v>
      </c>
      <c r="G178" s="1">
        <f>IF(B178="", "", "air")</f>
        <v>0</v>
      </c>
      <c r="H178" s="1">
        <f>IF(B178="", "", "air")</f>
        <v>0</v>
      </c>
      <c r="I178" s="1">
        <f>IF(B178="", "", "air metagenome")</f>
        <v>0</v>
      </c>
      <c r="J178" s="1">
        <f>IF(B178="", "", "655179")</f>
        <v>0</v>
      </c>
    </row>
    <row r="179" spans="1:10">
      <c r="A179">
        <f>IF(COUNTBLANK(B179:J179)&lt;&gt;COLUMNS(B179:J179),178,"")</f>
        <v>0</v>
      </c>
      <c r="D179" s="1">
        <f>IF(B179="", "", "m")</f>
        <v>0</v>
      </c>
      <c r="F179" s="1">
        <f>IF(B179="", "", "air")</f>
        <v>0</v>
      </c>
      <c r="G179" s="1">
        <f>IF(B179="", "", "air")</f>
        <v>0</v>
      </c>
      <c r="H179" s="1">
        <f>IF(B179="", "", "air")</f>
        <v>0</v>
      </c>
      <c r="I179" s="1">
        <f>IF(B179="", "", "air metagenome")</f>
        <v>0</v>
      </c>
      <c r="J179" s="1">
        <f>IF(B179="", "", "655179")</f>
        <v>0</v>
      </c>
    </row>
    <row r="180" spans="1:10">
      <c r="A180">
        <f>IF(COUNTBLANK(B180:J180)&lt;&gt;COLUMNS(B180:J180),179,"")</f>
        <v>0</v>
      </c>
      <c r="D180" s="1">
        <f>IF(B180="", "", "m")</f>
        <v>0</v>
      </c>
      <c r="F180" s="1">
        <f>IF(B180="", "", "air")</f>
        <v>0</v>
      </c>
      <c r="G180" s="1">
        <f>IF(B180="", "", "air")</f>
        <v>0</v>
      </c>
      <c r="H180" s="1">
        <f>IF(B180="", "", "air")</f>
        <v>0</v>
      </c>
      <c r="I180" s="1">
        <f>IF(B180="", "", "air metagenome")</f>
        <v>0</v>
      </c>
      <c r="J180" s="1">
        <f>IF(B180="", "", "655179")</f>
        <v>0</v>
      </c>
    </row>
    <row r="181" spans="1:10">
      <c r="A181">
        <f>IF(COUNTBLANK(B181:J181)&lt;&gt;COLUMNS(B181:J181),180,"")</f>
        <v>0</v>
      </c>
      <c r="D181" s="1">
        <f>IF(B181="", "", "m")</f>
        <v>0</v>
      </c>
      <c r="F181" s="1">
        <f>IF(B181="", "", "air")</f>
        <v>0</v>
      </c>
      <c r="G181" s="1">
        <f>IF(B181="", "", "air")</f>
        <v>0</v>
      </c>
      <c r="H181" s="1">
        <f>IF(B181="", "", "air")</f>
        <v>0</v>
      </c>
      <c r="I181" s="1">
        <f>IF(B181="", "", "air metagenome")</f>
        <v>0</v>
      </c>
      <c r="J181" s="1">
        <f>IF(B181="", "", "655179")</f>
        <v>0</v>
      </c>
    </row>
    <row r="182" spans="1:10">
      <c r="A182">
        <f>IF(COUNTBLANK(B182:J182)&lt;&gt;COLUMNS(B182:J182),181,"")</f>
        <v>0</v>
      </c>
      <c r="D182" s="1">
        <f>IF(B182="", "", "m")</f>
        <v>0</v>
      </c>
      <c r="F182" s="1">
        <f>IF(B182="", "", "air")</f>
        <v>0</v>
      </c>
      <c r="G182" s="1">
        <f>IF(B182="", "", "air")</f>
        <v>0</v>
      </c>
      <c r="H182" s="1">
        <f>IF(B182="", "", "air")</f>
        <v>0</v>
      </c>
      <c r="I182" s="1">
        <f>IF(B182="", "", "air metagenome")</f>
        <v>0</v>
      </c>
      <c r="J182" s="1">
        <f>IF(B182="", "", "655179")</f>
        <v>0</v>
      </c>
    </row>
    <row r="183" spans="1:10">
      <c r="A183">
        <f>IF(COUNTBLANK(B183:J183)&lt;&gt;COLUMNS(B183:J183),182,"")</f>
        <v>0</v>
      </c>
      <c r="D183" s="1">
        <f>IF(B183="", "", "m")</f>
        <v>0</v>
      </c>
      <c r="F183" s="1">
        <f>IF(B183="", "", "air")</f>
        <v>0</v>
      </c>
      <c r="G183" s="1">
        <f>IF(B183="", "", "air")</f>
        <v>0</v>
      </c>
      <c r="H183" s="1">
        <f>IF(B183="", "", "air")</f>
        <v>0</v>
      </c>
      <c r="I183" s="1">
        <f>IF(B183="", "", "air metagenome")</f>
        <v>0</v>
      </c>
      <c r="J183" s="1">
        <f>IF(B183="", "", "655179")</f>
        <v>0</v>
      </c>
    </row>
    <row r="184" spans="1:10">
      <c r="A184">
        <f>IF(COUNTBLANK(B184:J184)&lt;&gt;COLUMNS(B184:J184),183,"")</f>
        <v>0</v>
      </c>
      <c r="D184" s="1">
        <f>IF(B184="", "", "m")</f>
        <v>0</v>
      </c>
      <c r="F184" s="1">
        <f>IF(B184="", "", "air")</f>
        <v>0</v>
      </c>
      <c r="G184" s="1">
        <f>IF(B184="", "", "air")</f>
        <v>0</v>
      </c>
      <c r="H184" s="1">
        <f>IF(B184="", "", "air")</f>
        <v>0</v>
      </c>
      <c r="I184" s="1">
        <f>IF(B184="", "", "air metagenome")</f>
        <v>0</v>
      </c>
      <c r="J184" s="1">
        <f>IF(B184="", "", "655179")</f>
        <v>0</v>
      </c>
    </row>
    <row r="185" spans="1:10">
      <c r="A185">
        <f>IF(COUNTBLANK(B185:J185)&lt;&gt;COLUMNS(B185:J185),184,"")</f>
        <v>0</v>
      </c>
      <c r="D185" s="1">
        <f>IF(B185="", "", "m")</f>
        <v>0</v>
      </c>
      <c r="F185" s="1">
        <f>IF(B185="", "", "air")</f>
        <v>0</v>
      </c>
      <c r="G185" s="1">
        <f>IF(B185="", "", "air")</f>
        <v>0</v>
      </c>
      <c r="H185" s="1">
        <f>IF(B185="", "", "air")</f>
        <v>0</v>
      </c>
      <c r="I185" s="1">
        <f>IF(B185="", "", "air metagenome")</f>
        <v>0</v>
      </c>
      <c r="J185" s="1">
        <f>IF(B185="", "", "655179")</f>
        <v>0</v>
      </c>
    </row>
    <row r="186" spans="1:10">
      <c r="A186">
        <f>IF(COUNTBLANK(B186:J186)&lt;&gt;COLUMNS(B186:J186),185,"")</f>
        <v>0</v>
      </c>
      <c r="D186" s="1">
        <f>IF(B186="", "", "m")</f>
        <v>0</v>
      </c>
      <c r="F186" s="1">
        <f>IF(B186="", "", "air")</f>
        <v>0</v>
      </c>
      <c r="G186" s="1">
        <f>IF(B186="", "", "air")</f>
        <v>0</v>
      </c>
      <c r="H186" s="1">
        <f>IF(B186="", "", "air")</f>
        <v>0</v>
      </c>
      <c r="I186" s="1">
        <f>IF(B186="", "", "air metagenome")</f>
        <v>0</v>
      </c>
      <c r="J186" s="1">
        <f>IF(B186="", "", "655179")</f>
        <v>0</v>
      </c>
    </row>
    <row r="187" spans="1:10">
      <c r="A187">
        <f>IF(COUNTBLANK(B187:J187)&lt;&gt;COLUMNS(B187:J187),186,"")</f>
        <v>0</v>
      </c>
      <c r="D187" s="1">
        <f>IF(B187="", "", "m")</f>
        <v>0</v>
      </c>
      <c r="F187" s="1">
        <f>IF(B187="", "", "air")</f>
        <v>0</v>
      </c>
      <c r="G187" s="1">
        <f>IF(B187="", "", "air")</f>
        <v>0</v>
      </c>
      <c r="H187" s="1">
        <f>IF(B187="", "", "air")</f>
        <v>0</v>
      </c>
      <c r="I187" s="1">
        <f>IF(B187="", "", "air metagenome")</f>
        <v>0</v>
      </c>
      <c r="J187" s="1">
        <f>IF(B187="", "", "655179")</f>
        <v>0</v>
      </c>
    </row>
    <row r="188" spans="1:10">
      <c r="A188">
        <f>IF(COUNTBLANK(B188:J188)&lt;&gt;COLUMNS(B188:J188),187,"")</f>
        <v>0</v>
      </c>
      <c r="D188" s="1">
        <f>IF(B188="", "", "m")</f>
        <v>0</v>
      </c>
      <c r="F188" s="1">
        <f>IF(B188="", "", "air")</f>
        <v>0</v>
      </c>
      <c r="G188" s="1">
        <f>IF(B188="", "", "air")</f>
        <v>0</v>
      </c>
      <c r="H188" s="1">
        <f>IF(B188="", "", "air")</f>
        <v>0</v>
      </c>
      <c r="I188" s="1">
        <f>IF(B188="", "", "air metagenome")</f>
        <v>0</v>
      </c>
      <c r="J188" s="1">
        <f>IF(B188="", "", "655179")</f>
        <v>0</v>
      </c>
    </row>
    <row r="189" spans="1:10">
      <c r="A189">
        <f>IF(COUNTBLANK(B189:J189)&lt;&gt;COLUMNS(B189:J189),188,"")</f>
        <v>0</v>
      </c>
      <c r="D189" s="1">
        <f>IF(B189="", "", "m")</f>
        <v>0</v>
      </c>
      <c r="F189" s="1">
        <f>IF(B189="", "", "air")</f>
        <v>0</v>
      </c>
      <c r="G189" s="1">
        <f>IF(B189="", "", "air")</f>
        <v>0</v>
      </c>
      <c r="H189" s="1">
        <f>IF(B189="", "", "air")</f>
        <v>0</v>
      </c>
      <c r="I189" s="1">
        <f>IF(B189="", "", "air metagenome")</f>
        <v>0</v>
      </c>
      <c r="J189" s="1">
        <f>IF(B189="", "", "655179")</f>
        <v>0</v>
      </c>
    </row>
    <row r="190" spans="1:10">
      <c r="A190">
        <f>IF(COUNTBLANK(B190:J190)&lt;&gt;COLUMNS(B190:J190),189,"")</f>
        <v>0</v>
      </c>
      <c r="D190" s="1">
        <f>IF(B190="", "", "m")</f>
        <v>0</v>
      </c>
      <c r="F190" s="1">
        <f>IF(B190="", "", "air")</f>
        <v>0</v>
      </c>
      <c r="G190" s="1">
        <f>IF(B190="", "", "air")</f>
        <v>0</v>
      </c>
      <c r="H190" s="1">
        <f>IF(B190="", "", "air")</f>
        <v>0</v>
      </c>
      <c r="I190" s="1">
        <f>IF(B190="", "", "air metagenome")</f>
        <v>0</v>
      </c>
      <c r="J190" s="1">
        <f>IF(B190="", "", "655179")</f>
        <v>0</v>
      </c>
    </row>
    <row r="191" spans="1:10">
      <c r="A191">
        <f>IF(COUNTBLANK(B191:J191)&lt;&gt;COLUMNS(B191:J191),190,"")</f>
        <v>0</v>
      </c>
      <c r="D191" s="1">
        <f>IF(B191="", "", "m")</f>
        <v>0</v>
      </c>
      <c r="F191" s="1">
        <f>IF(B191="", "", "air")</f>
        <v>0</v>
      </c>
      <c r="G191" s="1">
        <f>IF(B191="", "", "air")</f>
        <v>0</v>
      </c>
      <c r="H191" s="1">
        <f>IF(B191="", "", "air")</f>
        <v>0</v>
      </c>
      <c r="I191" s="1">
        <f>IF(B191="", "", "air metagenome")</f>
        <v>0</v>
      </c>
      <c r="J191" s="1">
        <f>IF(B191="", "", "655179")</f>
        <v>0</v>
      </c>
    </row>
    <row r="192" spans="1:10">
      <c r="A192">
        <f>IF(COUNTBLANK(B192:J192)&lt;&gt;COLUMNS(B192:J192),191,"")</f>
        <v>0</v>
      </c>
      <c r="D192" s="1">
        <f>IF(B192="", "", "m")</f>
        <v>0</v>
      </c>
      <c r="F192" s="1">
        <f>IF(B192="", "", "air")</f>
        <v>0</v>
      </c>
      <c r="G192" s="1">
        <f>IF(B192="", "", "air")</f>
        <v>0</v>
      </c>
      <c r="H192" s="1">
        <f>IF(B192="", "", "air")</f>
        <v>0</v>
      </c>
      <c r="I192" s="1">
        <f>IF(B192="", "", "air metagenome")</f>
        <v>0</v>
      </c>
      <c r="J192" s="1">
        <f>IF(B192="", "", "655179")</f>
        <v>0</v>
      </c>
    </row>
    <row r="193" spans="1:10">
      <c r="A193">
        <f>IF(COUNTBLANK(B193:J193)&lt;&gt;COLUMNS(B193:J193),192,"")</f>
        <v>0</v>
      </c>
      <c r="D193" s="1">
        <f>IF(B193="", "", "m")</f>
        <v>0</v>
      </c>
      <c r="F193" s="1">
        <f>IF(B193="", "", "air")</f>
        <v>0</v>
      </c>
      <c r="G193" s="1">
        <f>IF(B193="", "", "air")</f>
        <v>0</v>
      </c>
      <c r="H193" s="1">
        <f>IF(B193="", "", "air")</f>
        <v>0</v>
      </c>
      <c r="I193" s="1">
        <f>IF(B193="", "", "air metagenome")</f>
        <v>0</v>
      </c>
      <c r="J193" s="1">
        <f>IF(B193="", "", "655179")</f>
        <v>0</v>
      </c>
    </row>
    <row r="194" spans="1:10">
      <c r="A194">
        <f>IF(COUNTBLANK(B194:J194)&lt;&gt;COLUMNS(B194:J194),193,"")</f>
        <v>0</v>
      </c>
      <c r="D194" s="1">
        <f>IF(B194="", "", "m")</f>
        <v>0</v>
      </c>
      <c r="F194" s="1">
        <f>IF(B194="", "", "air")</f>
        <v>0</v>
      </c>
      <c r="G194" s="1">
        <f>IF(B194="", "", "air")</f>
        <v>0</v>
      </c>
      <c r="H194" s="1">
        <f>IF(B194="", "", "air")</f>
        <v>0</v>
      </c>
      <c r="I194" s="1">
        <f>IF(B194="", "", "air metagenome")</f>
        <v>0</v>
      </c>
      <c r="J194" s="1">
        <f>IF(B194="", "", "655179")</f>
        <v>0</v>
      </c>
    </row>
    <row r="195" spans="1:10">
      <c r="A195">
        <f>IF(COUNTBLANK(B195:J195)&lt;&gt;COLUMNS(B195:J195),194,"")</f>
        <v>0</v>
      </c>
      <c r="D195" s="1">
        <f>IF(B195="", "", "m")</f>
        <v>0</v>
      </c>
      <c r="F195" s="1">
        <f>IF(B195="", "", "air")</f>
        <v>0</v>
      </c>
      <c r="G195" s="1">
        <f>IF(B195="", "", "air")</f>
        <v>0</v>
      </c>
      <c r="H195" s="1">
        <f>IF(B195="", "", "air")</f>
        <v>0</v>
      </c>
      <c r="I195" s="1">
        <f>IF(B195="", "", "air metagenome")</f>
        <v>0</v>
      </c>
      <c r="J195" s="1">
        <f>IF(B195="", "", "655179")</f>
        <v>0</v>
      </c>
    </row>
    <row r="196" spans="1:10">
      <c r="A196">
        <f>IF(COUNTBLANK(B196:J196)&lt;&gt;COLUMNS(B196:J196),195,"")</f>
        <v>0</v>
      </c>
      <c r="D196" s="1">
        <f>IF(B196="", "", "m")</f>
        <v>0</v>
      </c>
      <c r="F196" s="1">
        <f>IF(B196="", "", "air")</f>
        <v>0</v>
      </c>
      <c r="G196" s="1">
        <f>IF(B196="", "", "air")</f>
        <v>0</v>
      </c>
      <c r="H196" s="1">
        <f>IF(B196="", "", "air")</f>
        <v>0</v>
      </c>
      <c r="I196" s="1">
        <f>IF(B196="", "", "air metagenome")</f>
        <v>0</v>
      </c>
      <c r="J196" s="1">
        <f>IF(B196="", "", "655179")</f>
        <v>0</v>
      </c>
    </row>
    <row r="197" spans="1:10">
      <c r="A197">
        <f>IF(COUNTBLANK(B197:J197)&lt;&gt;COLUMNS(B197:J197),196,"")</f>
        <v>0</v>
      </c>
      <c r="D197" s="1">
        <f>IF(B197="", "", "m")</f>
        <v>0</v>
      </c>
      <c r="F197" s="1">
        <f>IF(B197="", "", "air")</f>
        <v>0</v>
      </c>
      <c r="G197" s="1">
        <f>IF(B197="", "", "air")</f>
        <v>0</v>
      </c>
      <c r="H197" s="1">
        <f>IF(B197="", "", "air")</f>
        <v>0</v>
      </c>
      <c r="I197" s="1">
        <f>IF(B197="", "", "air metagenome")</f>
        <v>0</v>
      </c>
      <c r="J197" s="1">
        <f>IF(B197="", "", "655179")</f>
        <v>0</v>
      </c>
    </row>
    <row r="198" spans="1:10">
      <c r="A198">
        <f>IF(COUNTBLANK(B198:J198)&lt;&gt;COLUMNS(B198:J198),197,"")</f>
        <v>0</v>
      </c>
      <c r="D198" s="1">
        <f>IF(B198="", "", "m")</f>
        <v>0</v>
      </c>
      <c r="F198" s="1">
        <f>IF(B198="", "", "air")</f>
        <v>0</v>
      </c>
      <c r="G198" s="1">
        <f>IF(B198="", "", "air")</f>
        <v>0</v>
      </c>
      <c r="H198" s="1">
        <f>IF(B198="", "", "air")</f>
        <v>0</v>
      </c>
      <c r="I198" s="1">
        <f>IF(B198="", "", "air metagenome")</f>
        <v>0</v>
      </c>
      <c r="J198" s="1">
        <f>IF(B198="", "", "655179")</f>
        <v>0</v>
      </c>
    </row>
    <row r="199" spans="1:10">
      <c r="A199">
        <f>IF(COUNTBLANK(B199:J199)&lt;&gt;COLUMNS(B199:J199),198,"")</f>
        <v>0</v>
      </c>
      <c r="D199" s="1">
        <f>IF(B199="", "", "m")</f>
        <v>0</v>
      </c>
      <c r="F199" s="1">
        <f>IF(B199="", "", "air")</f>
        <v>0</v>
      </c>
      <c r="G199" s="1">
        <f>IF(B199="", "", "air")</f>
        <v>0</v>
      </c>
      <c r="H199" s="1">
        <f>IF(B199="", "", "air")</f>
        <v>0</v>
      </c>
      <c r="I199" s="1">
        <f>IF(B199="", "", "air metagenome")</f>
        <v>0</v>
      </c>
      <c r="J199" s="1">
        <f>IF(B199="", "", "655179")</f>
        <v>0</v>
      </c>
    </row>
    <row r="200" spans="1:10">
      <c r="A200">
        <f>IF(COUNTBLANK(B200:J200)&lt;&gt;COLUMNS(B200:J200),199,"")</f>
        <v>0</v>
      </c>
      <c r="D200" s="1">
        <f>IF(B200="", "", "m")</f>
        <v>0</v>
      </c>
      <c r="F200" s="1">
        <f>IF(B200="", "", "air")</f>
        <v>0</v>
      </c>
      <c r="G200" s="1">
        <f>IF(B200="", "", "air")</f>
        <v>0</v>
      </c>
      <c r="H200" s="1">
        <f>IF(B200="", "", "air")</f>
        <v>0</v>
      </c>
      <c r="I200" s="1">
        <f>IF(B200="", "", "air metagenome")</f>
        <v>0</v>
      </c>
      <c r="J200" s="1">
        <f>IF(B200="", "", "655179")</f>
        <v>0</v>
      </c>
    </row>
    <row r="201" spans="1:10">
      <c r="A201">
        <f>IF(COUNTBLANK(B201:J201)&lt;&gt;COLUMNS(B201:J201),200,"")</f>
        <v>0</v>
      </c>
      <c r="D201" s="1">
        <f>IF(B201="", "", "m")</f>
        <v>0</v>
      </c>
      <c r="F201" s="1">
        <f>IF(B201="", "", "air")</f>
        <v>0</v>
      </c>
      <c r="G201" s="1">
        <f>IF(B201="", "", "air")</f>
        <v>0</v>
      </c>
      <c r="H201" s="1">
        <f>IF(B201="", "", "air")</f>
        <v>0</v>
      </c>
      <c r="I201" s="1">
        <f>IF(B201="", "", "air metagenome")</f>
        <v>0</v>
      </c>
      <c r="J201" s="1">
        <f>IF(B201="", "", "655179")</f>
        <v>0</v>
      </c>
    </row>
    <row r="202" spans="1:10">
      <c r="A202">
        <f>IF(COUNTBLANK(B202:J202)&lt;&gt;COLUMNS(B202:J202),201,"")</f>
        <v>0</v>
      </c>
      <c r="D202" s="1">
        <f>IF(B202="", "", "m")</f>
        <v>0</v>
      </c>
      <c r="F202" s="1">
        <f>IF(B202="", "", "air")</f>
        <v>0</v>
      </c>
      <c r="G202" s="1">
        <f>IF(B202="", "", "air")</f>
        <v>0</v>
      </c>
      <c r="H202" s="1">
        <f>IF(B202="", "", "air")</f>
        <v>0</v>
      </c>
      <c r="I202" s="1">
        <f>IF(B202="", "", "air metagenome")</f>
        <v>0</v>
      </c>
      <c r="J202" s="1">
        <f>IF(B202="", "", "655179")</f>
        <v>0</v>
      </c>
    </row>
    <row r="203" spans="1:10">
      <c r="A203">
        <f>IF(COUNTBLANK(B203:J203)&lt;&gt;COLUMNS(B203:J203),202,"")</f>
        <v>0</v>
      </c>
      <c r="D203" s="1">
        <f>IF(B203="", "", "m")</f>
        <v>0</v>
      </c>
      <c r="F203" s="1">
        <f>IF(B203="", "", "air")</f>
        <v>0</v>
      </c>
      <c r="G203" s="1">
        <f>IF(B203="", "", "air")</f>
        <v>0</v>
      </c>
      <c r="H203" s="1">
        <f>IF(B203="", "", "air")</f>
        <v>0</v>
      </c>
      <c r="I203" s="1">
        <f>IF(B203="", "", "air metagenome")</f>
        <v>0</v>
      </c>
      <c r="J203" s="1">
        <f>IF(B203="", "", "655179")</f>
        <v>0</v>
      </c>
    </row>
    <row r="204" spans="1:10">
      <c r="A204">
        <f>IF(COUNTBLANK(B204:J204)&lt;&gt;COLUMNS(B204:J204),203,"")</f>
        <v>0</v>
      </c>
      <c r="D204" s="1">
        <f>IF(B204="", "", "m")</f>
        <v>0</v>
      </c>
      <c r="F204" s="1">
        <f>IF(B204="", "", "air")</f>
        <v>0</v>
      </c>
      <c r="G204" s="1">
        <f>IF(B204="", "", "air")</f>
        <v>0</v>
      </c>
      <c r="H204" s="1">
        <f>IF(B204="", "", "air")</f>
        <v>0</v>
      </c>
      <c r="I204" s="1">
        <f>IF(B204="", "", "air metagenome")</f>
        <v>0</v>
      </c>
      <c r="J204" s="1">
        <f>IF(B204="", "", "655179")</f>
        <v>0</v>
      </c>
    </row>
    <row r="205" spans="1:10">
      <c r="A205">
        <f>IF(COUNTBLANK(B205:J205)&lt;&gt;COLUMNS(B205:J205),204,"")</f>
        <v>0</v>
      </c>
      <c r="D205" s="1">
        <f>IF(B205="", "", "m")</f>
        <v>0</v>
      </c>
      <c r="F205" s="1">
        <f>IF(B205="", "", "air")</f>
        <v>0</v>
      </c>
      <c r="G205" s="1">
        <f>IF(B205="", "", "air")</f>
        <v>0</v>
      </c>
      <c r="H205" s="1">
        <f>IF(B205="", "", "air")</f>
        <v>0</v>
      </c>
      <c r="I205" s="1">
        <f>IF(B205="", "", "air metagenome")</f>
        <v>0</v>
      </c>
      <c r="J205" s="1">
        <f>IF(B205="", "", "655179")</f>
        <v>0</v>
      </c>
    </row>
    <row r="206" spans="1:10">
      <c r="A206">
        <f>IF(COUNTBLANK(B206:J206)&lt;&gt;COLUMNS(B206:J206),205,"")</f>
        <v>0</v>
      </c>
      <c r="D206" s="1">
        <f>IF(B206="", "", "m")</f>
        <v>0</v>
      </c>
      <c r="F206" s="1">
        <f>IF(B206="", "", "air")</f>
        <v>0</v>
      </c>
      <c r="G206" s="1">
        <f>IF(B206="", "", "air")</f>
        <v>0</v>
      </c>
      <c r="H206" s="1">
        <f>IF(B206="", "", "air")</f>
        <v>0</v>
      </c>
      <c r="I206" s="1">
        <f>IF(B206="", "", "air metagenome")</f>
        <v>0</v>
      </c>
      <c r="J206" s="1">
        <f>IF(B206="", "", "655179")</f>
        <v>0</v>
      </c>
    </row>
    <row r="207" spans="1:10">
      <c r="A207">
        <f>IF(COUNTBLANK(B207:J207)&lt;&gt;COLUMNS(B207:J207),206,"")</f>
        <v>0</v>
      </c>
      <c r="D207" s="1">
        <f>IF(B207="", "", "m")</f>
        <v>0</v>
      </c>
      <c r="F207" s="1">
        <f>IF(B207="", "", "air")</f>
        <v>0</v>
      </c>
      <c r="G207" s="1">
        <f>IF(B207="", "", "air")</f>
        <v>0</v>
      </c>
      <c r="H207" s="1">
        <f>IF(B207="", "", "air")</f>
        <v>0</v>
      </c>
      <c r="I207" s="1">
        <f>IF(B207="", "", "air metagenome")</f>
        <v>0</v>
      </c>
      <c r="J207" s="1">
        <f>IF(B207="", "", "655179")</f>
        <v>0</v>
      </c>
    </row>
    <row r="208" spans="1:10">
      <c r="A208">
        <f>IF(COUNTBLANK(B208:J208)&lt;&gt;COLUMNS(B208:J208),207,"")</f>
        <v>0</v>
      </c>
      <c r="D208" s="1">
        <f>IF(B208="", "", "m")</f>
        <v>0</v>
      </c>
      <c r="F208" s="1">
        <f>IF(B208="", "", "air")</f>
        <v>0</v>
      </c>
      <c r="G208" s="1">
        <f>IF(B208="", "", "air")</f>
        <v>0</v>
      </c>
      <c r="H208" s="1">
        <f>IF(B208="", "", "air")</f>
        <v>0</v>
      </c>
      <c r="I208" s="1">
        <f>IF(B208="", "", "air metagenome")</f>
        <v>0</v>
      </c>
      <c r="J208" s="1">
        <f>IF(B208="", "", "655179")</f>
        <v>0</v>
      </c>
    </row>
    <row r="209" spans="1:10">
      <c r="A209">
        <f>IF(COUNTBLANK(B209:J209)&lt;&gt;COLUMNS(B209:J209),208,"")</f>
        <v>0</v>
      </c>
      <c r="D209" s="1">
        <f>IF(B209="", "", "m")</f>
        <v>0</v>
      </c>
      <c r="F209" s="1">
        <f>IF(B209="", "", "air")</f>
        <v>0</v>
      </c>
      <c r="G209" s="1">
        <f>IF(B209="", "", "air")</f>
        <v>0</v>
      </c>
      <c r="H209" s="1">
        <f>IF(B209="", "", "air")</f>
        <v>0</v>
      </c>
      <c r="I209" s="1">
        <f>IF(B209="", "", "air metagenome")</f>
        <v>0</v>
      </c>
      <c r="J209" s="1">
        <f>IF(B209="", "", "655179")</f>
        <v>0</v>
      </c>
    </row>
    <row r="210" spans="1:10">
      <c r="A210">
        <f>IF(COUNTBLANK(B210:J210)&lt;&gt;COLUMNS(B210:J210),209,"")</f>
        <v>0</v>
      </c>
      <c r="D210" s="1">
        <f>IF(B210="", "", "m")</f>
        <v>0</v>
      </c>
      <c r="F210" s="1">
        <f>IF(B210="", "", "air")</f>
        <v>0</v>
      </c>
      <c r="G210" s="1">
        <f>IF(B210="", "", "air")</f>
        <v>0</v>
      </c>
      <c r="H210" s="1">
        <f>IF(B210="", "", "air")</f>
        <v>0</v>
      </c>
      <c r="I210" s="1">
        <f>IF(B210="", "", "air metagenome")</f>
        <v>0</v>
      </c>
      <c r="J210" s="1">
        <f>IF(B210="", "", "655179")</f>
        <v>0</v>
      </c>
    </row>
    <row r="211" spans="1:10">
      <c r="A211">
        <f>IF(COUNTBLANK(B211:J211)&lt;&gt;COLUMNS(B211:J211),210,"")</f>
        <v>0</v>
      </c>
      <c r="D211" s="1">
        <f>IF(B211="", "", "m")</f>
        <v>0</v>
      </c>
      <c r="F211" s="1">
        <f>IF(B211="", "", "air")</f>
        <v>0</v>
      </c>
      <c r="G211" s="1">
        <f>IF(B211="", "", "air")</f>
        <v>0</v>
      </c>
      <c r="H211" s="1">
        <f>IF(B211="", "", "air")</f>
        <v>0</v>
      </c>
      <c r="I211" s="1">
        <f>IF(B211="", "", "air metagenome")</f>
        <v>0</v>
      </c>
      <c r="J211" s="1">
        <f>IF(B211="", "", "655179")</f>
        <v>0</v>
      </c>
    </row>
    <row r="212" spans="1:10">
      <c r="A212">
        <f>IF(COUNTBLANK(B212:J212)&lt;&gt;COLUMNS(B212:J212),211,"")</f>
        <v>0</v>
      </c>
      <c r="D212" s="1">
        <f>IF(B212="", "", "m")</f>
        <v>0</v>
      </c>
      <c r="F212" s="1">
        <f>IF(B212="", "", "air")</f>
        <v>0</v>
      </c>
      <c r="G212" s="1">
        <f>IF(B212="", "", "air")</f>
        <v>0</v>
      </c>
      <c r="H212" s="1">
        <f>IF(B212="", "", "air")</f>
        <v>0</v>
      </c>
      <c r="I212" s="1">
        <f>IF(B212="", "", "air metagenome")</f>
        <v>0</v>
      </c>
      <c r="J212" s="1">
        <f>IF(B212="", "", "655179")</f>
        <v>0</v>
      </c>
    </row>
    <row r="213" spans="1:10">
      <c r="A213">
        <f>IF(COUNTBLANK(B213:J213)&lt;&gt;COLUMNS(B213:J213),212,"")</f>
        <v>0</v>
      </c>
      <c r="D213" s="1">
        <f>IF(B213="", "", "m")</f>
        <v>0</v>
      </c>
      <c r="F213" s="1">
        <f>IF(B213="", "", "air")</f>
        <v>0</v>
      </c>
      <c r="G213" s="1">
        <f>IF(B213="", "", "air")</f>
        <v>0</v>
      </c>
      <c r="H213" s="1">
        <f>IF(B213="", "", "air")</f>
        <v>0</v>
      </c>
      <c r="I213" s="1">
        <f>IF(B213="", "", "air metagenome")</f>
        <v>0</v>
      </c>
      <c r="J213" s="1">
        <f>IF(B213="", "", "655179")</f>
        <v>0</v>
      </c>
    </row>
    <row r="214" spans="1:10">
      <c r="A214">
        <f>IF(COUNTBLANK(B214:J214)&lt;&gt;COLUMNS(B214:J214),213,"")</f>
        <v>0</v>
      </c>
      <c r="D214" s="1">
        <f>IF(B214="", "", "m")</f>
        <v>0</v>
      </c>
      <c r="F214" s="1">
        <f>IF(B214="", "", "air")</f>
        <v>0</v>
      </c>
      <c r="G214" s="1">
        <f>IF(B214="", "", "air")</f>
        <v>0</v>
      </c>
      <c r="H214" s="1">
        <f>IF(B214="", "", "air")</f>
        <v>0</v>
      </c>
      <c r="I214" s="1">
        <f>IF(B214="", "", "air metagenome")</f>
        <v>0</v>
      </c>
      <c r="J214" s="1">
        <f>IF(B214="", "", "655179")</f>
        <v>0</v>
      </c>
    </row>
    <row r="215" spans="1:10">
      <c r="A215">
        <f>IF(COUNTBLANK(B215:J215)&lt;&gt;COLUMNS(B215:J215),214,"")</f>
        <v>0</v>
      </c>
      <c r="D215" s="1">
        <f>IF(B215="", "", "m")</f>
        <v>0</v>
      </c>
      <c r="F215" s="1">
        <f>IF(B215="", "", "air")</f>
        <v>0</v>
      </c>
      <c r="G215" s="1">
        <f>IF(B215="", "", "air")</f>
        <v>0</v>
      </c>
      <c r="H215" s="1">
        <f>IF(B215="", "", "air")</f>
        <v>0</v>
      </c>
      <c r="I215" s="1">
        <f>IF(B215="", "", "air metagenome")</f>
        <v>0</v>
      </c>
      <c r="J215" s="1">
        <f>IF(B215="", "", "655179")</f>
        <v>0</v>
      </c>
    </row>
    <row r="216" spans="1:10">
      <c r="A216">
        <f>IF(COUNTBLANK(B216:J216)&lt;&gt;COLUMNS(B216:J216),215,"")</f>
        <v>0</v>
      </c>
      <c r="D216" s="1">
        <f>IF(B216="", "", "m")</f>
        <v>0</v>
      </c>
      <c r="F216" s="1">
        <f>IF(B216="", "", "air")</f>
        <v>0</v>
      </c>
      <c r="G216" s="1">
        <f>IF(B216="", "", "air")</f>
        <v>0</v>
      </c>
      <c r="H216" s="1">
        <f>IF(B216="", "", "air")</f>
        <v>0</v>
      </c>
      <c r="I216" s="1">
        <f>IF(B216="", "", "air metagenome")</f>
        <v>0</v>
      </c>
      <c r="J216" s="1">
        <f>IF(B216="", "", "655179")</f>
        <v>0</v>
      </c>
    </row>
    <row r="217" spans="1:10">
      <c r="A217">
        <f>IF(COUNTBLANK(B217:J217)&lt;&gt;COLUMNS(B217:J217),216,"")</f>
        <v>0</v>
      </c>
      <c r="D217" s="1">
        <f>IF(B217="", "", "m")</f>
        <v>0</v>
      </c>
      <c r="F217" s="1">
        <f>IF(B217="", "", "air")</f>
        <v>0</v>
      </c>
      <c r="G217" s="1">
        <f>IF(B217="", "", "air")</f>
        <v>0</v>
      </c>
      <c r="H217" s="1">
        <f>IF(B217="", "", "air")</f>
        <v>0</v>
      </c>
      <c r="I217" s="1">
        <f>IF(B217="", "", "air metagenome")</f>
        <v>0</v>
      </c>
      <c r="J217" s="1">
        <f>IF(B217="", "", "655179")</f>
        <v>0</v>
      </c>
    </row>
    <row r="218" spans="1:10">
      <c r="A218">
        <f>IF(COUNTBLANK(B218:J218)&lt;&gt;COLUMNS(B218:J218),217,"")</f>
        <v>0</v>
      </c>
      <c r="D218" s="1">
        <f>IF(B218="", "", "m")</f>
        <v>0</v>
      </c>
      <c r="F218" s="1">
        <f>IF(B218="", "", "air")</f>
        <v>0</v>
      </c>
      <c r="G218" s="1">
        <f>IF(B218="", "", "air")</f>
        <v>0</v>
      </c>
      <c r="H218" s="1">
        <f>IF(B218="", "", "air")</f>
        <v>0</v>
      </c>
      <c r="I218" s="1">
        <f>IF(B218="", "", "air metagenome")</f>
        <v>0</v>
      </c>
      <c r="J218" s="1">
        <f>IF(B218="", "", "655179")</f>
        <v>0</v>
      </c>
    </row>
    <row r="219" spans="1:10">
      <c r="A219">
        <f>IF(COUNTBLANK(B219:J219)&lt;&gt;COLUMNS(B219:J219),218,"")</f>
        <v>0</v>
      </c>
      <c r="D219" s="1">
        <f>IF(B219="", "", "m")</f>
        <v>0</v>
      </c>
      <c r="F219" s="1">
        <f>IF(B219="", "", "air")</f>
        <v>0</v>
      </c>
      <c r="G219" s="1">
        <f>IF(B219="", "", "air")</f>
        <v>0</v>
      </c>
      <c r="H219" s="1">
        <f>IF(B219="", "", "air")</f>
        <v>0</v>
      </c>
      <c r="I219" s="1">
        <f>IF(B219="", "", "air metagenome")</f>
        <v>0</v>
      </c>
      <c r="J219" s="1">
        <f>IF(B219="", "", "655179")</f>
        <v>0</v>
      </c>
    </row>
    <row r="220" spans="1:10">
      <c r="A220">
        <f>IF(COUNTBLANK(B220:J220)&lt;&gt;COLUMNS(B220:J220),219,"")</f>
        <v>0</v>
      </c>
      <c r="D220" s="1">
        <f>IF(B220="", "", "m")</f>
        <v>0</v>
      </c>
      <c r="F220" s="1">
        <f>IF(B220="", "", "air")</f>
        <v>0</v>
      </c>
      <c r="G220" s="1">
        <f>IF(B220="", "", "air")</f>
        <v>0</v>
      </c>
      <c r="H220" s="1">
        <f>IF(B220="", "", "air")</f>
        <v>0</v>
      </c>
      <c r="I220" s="1">
        <f>IF(B220="", "", "air metagenome")</f>
        <v>0</v>
      </c>
      <c r="J220" s="1">
        <f>IF(B220="", "", "655179")</f>
        <v>0</v>
      </c>
    </row>
    <row r="221" spans="1:10">
      <c r="A221">
        <f>IF(COUNTBLANK(B221:J221)&lt;&gt;COLUMNS(B221:J221),220,"")</f>
        <v>0</v>
      </c>
      <c r="D221" s="1">
        <f>IF(B221="", "", "m")</f>
        <v>0</v>
      </c>
      <c r="F221" s="1">
        <f>IF(B221="", "", "air")</f>
        <v>0</v>
      </c>
      <c r="G221" s="1">
        <f>IF(B221="", "", "air")</f>
        <v>0</v>
      </c>
      <c r="H221" s="1">
        <f>IF(B221="", "", "air")</f>
        <v>0</v>
      </c>
      <c r="I221" s="1">
        <f>IF(B221="", "", "air metagenome")</f>
        <v>0</v>
      </c>
      <c r="J221" s="1">
        <f>IF(B221="", "", "655179")</f>
        <v>0</v>
      </c>
    </row>
    <row r="222" spans="1:10">
      <c r="A222">
        <f>IF(COUNTBLANK(B222:J222)&lt;&gt;COLUMNS(B222:J222),221,"")</f>
        <v>0</v>
      </c>
      <c r="D222" s="1">
        <f>IF(B222="", "", "m")</f>
        <v>0</v>
      </c>
      <c r="F222" s="1">
        <f>IF(B222="", "", "air")</f>
        <v>0</v>
      </c>
      <c r="G222" s="1">
        <f>IF(B222="", "", "air")</f>
        <v>0</v>
      </c>
      <c r="H222" s="1">
        <f>IF(B222="", "", "air")</f>
        <v>0</v>
      </c>
      <c r="I222" s="1">
        <f>IF(B222="", "", "air metagenome")</f>
        <v>0</v>
      </c>
      <c r="J222" s="1">
        <f>IF(B222="", "", "655179")</f>
        <v>0</v>
      </c>
    </row>
    <row r="223" spans="1:10">
      <c r="A223">
        <f>IF(COUNTBLANK(B223:J223)&lt;&gt;COLUMNS(B223:J223),222,"")</f>
        <v>0</v>
      </c>
      <c r="D223" s="1">
        <f>IF(B223="", "", "m")</f>
        <v>0</v>
      </c>
      <c r="F223" s="1">
        <f>IF(B223="", "", "air")</f>
        <v>0</v>
      </c>
      <c r="G223" s="1">
        <f>IF(B223="", "", "air")</f>
        <v>0</v>
      </c>
      <c r="H223" s="1">
        <f>IF(B223="", "", "air")</f>
        <v>0</v>
      </c>
      <c r="I223" s="1">
        <f>IF(B223="", "", "air metagenome")</f>
        <v>0</v>
      </c>
      <c r="J223" s="1">
        <f>IF(B223="", "", "655179")</f>
        <v>0</v>
      </c>
    </row>
    <row r="224" spans="1:10">
      <c r="A224">
        <f>IF(COUNTBLANK(B224:J224)&lt;&gt;COLUMNS(B224:J224),223,"")</f>
        <v>0</v>
      </c>
      <c r="D224" s="1">
        <f>IF(B224="", "", "m")</f>
        <v>0</v>
      </c>
      <c r="F224" s="1">
        <f>IF(B224="", "", "air")</f>
        <v>0</v>
      </c>
      <c r="G224" s="1">
        <f>IF(B224="", "", "air")</f>
        <v>0</v>
      </c>
      <c r="H224" s="1">
        <f>IF(B224="", "", "air")</f>
        <v>0</v>
      </c>
      <c r="I224" s="1">
        <f>IF(B224="", "", "air metagenome")</f>
        <v>0</v>
      </c>
      <c r="J224" s="1">
        <f>IF(B224="", "", "655179")</f>
        <v>0</v>
      </c>
    </row>
    <row r="225" spans="1:10">
      <c r="A225">
        <f>IF(COUNTBLANK(B225:J225)&lt;&gt;COLUMNS(B225:J225),224,"")</f>
        <v>0</v>
      </c>
      <c r="D225" s="1">
        <f>IF(B225="", "", "m")</f>
        <v>0</v>
      </c>
      <c r="F225" s="1">
        <f>IF(B225="", "", "air")</f>
        <v>0</v>
      </c>
      <c r="G225" s="1">
        <f>IF(B225="", "", "air")</f>
        <v>0</v>
      </c>
      <c r="H225" s="1">
        <f>IF(B225="", "", "air")</f>
        <v>0</v>
      </c>
      <c r="I225" s="1">
        <f>IF(B225="", "", "air metagenome")</f>
        <v>0</v>
      </c>
      <c r="J225" s="1">
        <f>IF(B225="", "", "655179")</f>
        <v>0</v>
      </c>
    </row>
    <row r="226" spans="1:10">
      <c r="A226">
        <f>IF(COUNTBLANK(B226:J226)&lt;&gt;COLUMNS(B226:J226),225,"")</f>
        <v>0</v>
      </c>
      <c r="D226" s="1">
        <f>IF(B226="", "", "m")</f>
        <v>0</v>
      </c>
      <c r="F226" s="1">
        <f>IF(B226="", "", "air")</f>
        <v>0</v>
      </c>
      <c r="G226" s="1">
        <f>IF(B226="", "", "air")</f>
        <v>0</v>
      </c>
      <c r="H226" s="1">
        <f>IF(B226="", "", "air")</f>
        <v>0</v>
      </c>
      <c r="I226" s="1">
        <f>IF(B226="", "", "air metagenome")</f>
        <v>0</v>
      </c>
      <c r="J226" s="1">
        <f>IF(B226="", "", "655179")</f>
        <v>0</v>
      </c>
    </row>
    <row r="227" spans="1:10">
      <c r="A227">
        <f>IF(COUNTBLANK(B227:J227)&lt;&gt;COLUMNS(B227:J227),226,"")</f>
        <v>0</v>
      </c>
      <c r="D227" s="1">
        <f>IF(B227="", "", "m")</f>
        <v>0</v>
      </c>
      <c r="F227" s="1">
        <f>IF(B227="", "", "air")</f>
        <v>0</v>
      </c>
      <c r="G227" s="1">
        <f>IF(B227="", "", "air")</f>
        <v>0</v>
      </c>
      <c r="H227" s="1">
        <f>IF(B227="", "", "air")</f>
        <v>0</v>
      </c>
      <c r="I227" s="1">
        <f>IF(B227="", "", "air metagenome")</f>
        <v>0</v>
      </c>
      <c r="J227" s="1">
        <f>IF(B227="", "", "655179")</f>
        <v>0</v>
      </c>
    </row>
    <row r="228" spans="1:10">
      <c r="A228">
        <f>IF(COUNTBLANK(B228:J228)&lt;&gt;COLUMNS(B228:J228),227,"")</f>
        <v>0</v>
      </c>
      <c r="D228" s="1">
        <f>IF(B228="", "", "m")</f>
        <v>0</v>
      </c>
      <c r="F228" s="1">
        <f>IF(B228="", "", "air")</f>
        <v>0</v>
      </c>
      <c r="G228" s="1">
        <f>IF(B228="", "", "air")</f>
        <v>0</v>
      </c>
      <c r="H228" s="1">
        <f>IF(B228="", "", "air")</f>
        <v>0</v>
      </c>
      <c r="I228" s="1">
        <f>IF(B228="", "", "air metagenome")</f>
        <v>0</v>
      </c>
      <c r="J228" s="1">
        <f>IF(B228="", "", "655179")</f>
        <v>0</v>
      </c>
    </row>
    <row r="229" spans="1:10">
      <c r="A229">
        <f>IF(COUNTBLANK(B229:J229)&lt;&gt;COLUMNS(B229:J229),228,"")</f>
        <v>0</v>
      </c>
      <c r="D229" s="1">
        <f>IF(B229="", "", "m")</f>
        <v>0</v>
      </c>
      <c r="F229" s="1">
        <f>IF(B229="", "", "air")</f>
        <v>0</v>
      </c>
      <c r="G229" s="1">
        <f>IF(B229="", "", "air")</f>
        <v>0</v>
      </c>
      <c r="H229" s="1">
        <f>IF(B229="", "", "air")</f>
        <v>0</v>
      </c>
      <c r="I229" s="1">
        <f>IF(B229="", "", "air metagenome")</f>
        <v>0</v>
      </c>
      <c r="J229" s="1">
        <f>IF(B229="", "", "655179")</f>
        <v>0</v>
      </c>
    </row>
    <row r="230" spans="1:10">
      <c r="A230">
        <f>IF(COUNTBLANK(B230:J230)&lt;&gt;COLUMNS(B230:J230),229,"")</f>
        <v>0</v>
      </c>
      <c r="D230" s="1">
        <f>IF(B230="", "", "m")</f>
        <v>0</v>
      </c>
      <c r="F230" s="1">
        <f>IF(B230="", "", "air")</f>
        <v>0</v>
      </c>
      <c r="G230" s="1">
        <f>IF(B230="", "", "air")</f>
        <v>0</v>
      </c>
      <c r="H230" s="1">
        <f>IF(B230="", "", "air")</f>
        <v>0</v>
      </c>
      <c r="I230" s="1">
        <f>IF(B230="", "", "air metagenome")</f>
        <v>0</v>
      </c>
      <c r="J230" s="1">
        <f>IF(B230="", "", "655179")</f>
        <v>0</v>
      </c>
    </row>
    <row r="231" spans="1:10">
      <c r="A231">
        <f>IF(COUNTBLANK(B231:J231)&lt;&gt;COLUMNS(B231:J231),230,"")</f>
        <v>0</v>
      </c>
      <c r="D231" s="1">
        <f>IF(B231="", "", "m")</f>
        <v>0</v>
      </c>
      <c r="F231" s="1">
        <f>IF(B231="", "", "air")</f>
        <v>0</v>
      </c>
      <c r="G231" s="1">
        <f>IF(B231="", "", "air")</f>
        <v>0</v>
      </c>
      <c r="H231" s="1">
        <f>IF(B231="", "", "air")</f>
        <v>0</v>
      </c>
      <c r="I231" s="1">
        <f>IF(B231="", "", "air metagenome")</f>
        <v>0</v>
      </c>
      <c r="J231" s="1">
        <f>IF(B231="", "", "655179")</f>
        <v>0</v>
      </c>
    </row>
    <row r="232" spans="1:10">
      <c r="A232">
        <f>IF(COUNTBLANK(B232:J232)&lt;&gt;COLUMNS(B232:J232),231,"")</f>
        <v>0</v>
      </c>
      <c r="D232" s="1">
        <f>IF(B232="", "", "m")</f>
        <v>0</v>
      </c>
      <c r="F232" s="1">
        <f>IF(B232="", "", "air")</f>
        <v>0</v>
      </c>
      <c r="G232" s="1">
        <f>IF(B232="", "", "air")</f>
        <v>0</v>
      </c>
      <c r="H232" s="1">
        <f>IF(B232="", "", "air")</f>
        <v>0</v>
      </c>
      <c r="I232" s="1">
        <f>IF(B232="", "", "air metagenome")</f>
        <v>0</v>
      </c>
      <c r="J232" s="1">
        <f>IF(B232="", "", "655179")</f>
        <v>0</v>
      </c>
    </row>
    <row r="233" spans="1:10">
      <c r="A233">
        <f>IF(COUNTBLANK(B233:J233)&lt;&gt;COLUMNS(B233:J233),232,"")</f>
        <v>0</v>
      </c>
      <c r="D233" s="1">
        <f>IF(B233="", "", "m")</f>
        <v>0</v>
      </c>
      <c r="F233" s="1">
        <f>IF(B233="", "", "air")</f>
        <v>0</v>
      </c>
      <c r="G233" s="1">
        <f>IF(B233="", "", "air")</f>
        <v>0</v>
      </c>
      <c r="H233" s="1">
        <f>IF(B233="", "", "air")</f>
        <v>0</v>
      </c>
      <c r="I233" s="1">
        <f>IF(B233="", "", "air metagenome")</f>
        <v>0</v>
      </c>
      <c r="J233" s="1">
        <f>IF(B233="", "", "655179")</f>
        <v>0</v>
      </c>
    </row>
    <row r="234" spans="1:10">
      <c r="A234">
        <f>IF(COUNTBLANK(B234:J234)&lt;&gt;COLUMNS(B234:J234),233,"")</f>
        <v>0</v>
      </c>
      <c r="D234" s="1">
        <f>IF(B234="", "", "m")</f>
        <v>0</v>
      </c>
      <c r="F234" s="1">
        <f>IF(B234="", "", "air")</f>
        <v>0</v>
      </c>
      <c r="G234" s="1">
        <f>IF(B234="", "", "air")</f>
        <v>0</v>
      </c>
      <c r="H234" s="1">
        <f>IF(B234="", "", "air")</f>
        <v>0</v>
      </c>
      <c r="I234" s="1">
        <f>IF(B234="", "", "air metagenome")</f>
        <v>0</v>
      </c>
      <c r="J234" s="1">
        <f>IF(B234="", "", "655179")</f>
        <v>0</v>
      </c>
    </row>
    <row r="235" spans="1:10">
      <c r="A235">
        <f>IF(COUNTBLANK(B235:J235)&lt;&gt;COLUMNS(B235:J235),234,"")</f>
        <v>0</v>
      </c>
      <c r="D235" s="1">
        <f>IF(B235="", "", "m")</f>
        <v>0</v>
      </c>
      <c r="F235" s="1">
        <f>IF(B235="", "", "air")</f>
        <v>0</v>
      </c>
      <c r="G235" s="1">
        <f>IF(B235="", "", "air")</f>
        <v>0</v>
      </c>
      <c r="H235" s="1">
        <f>IF(B235="", "", "air")</f>
        <v>0</v>
      </c>
      <c r="I235" s="1">
        <f>IF(B235="", "", "air metagenome")</f>
        <v>0</v>
      </c>
      <c r="J235" s="1">
        <f>IF(B235="", "", "655179")</f>
        <v>0</v>
      </c>
    </row>
    <row r="236" spans="1:10">
      <c r="A236">
        <f>IF(COUNTBLANK(B236:J236)&lt;&gt;COLUMNS(B236:J236),235,"")</f>
        <v>0</v>
      </c>
      <c r="D236" s="1">
        <f>IF(B236="", "", "m")</f>
        <v>0</v>
      </c>
      <c r="F236" s="1">
        <f>IF(B236="", "", "air")</f>
        <v>0</v>
      </c>
      <c r="G236" s="1">
        <f>IF(B236="", "", "air")</f>
        <v>0</v>
      </c>
      <c r="H236" s="1">
        <f>IF(B236="", "", "air")</f>
        <v>0</v>
      </c>
      <c r="I236" s="1">
        <f>IF(B236="", "", "air metagenome")</f>
        <v>0</v>
      </c>
      <c r="J236" s="1">
        <f>IF(B236="", "", "655179")</f>
        <v>0</v>
      </c>
    </row>
    <row r="237" spans="1:10">
      <c r="A237">
        <f>IF(COUNTBLANK(B237:J237)&lt;&gt;COLUMNS(B237:J237),236,"")</f>
        <v>0</v>
      </c>
      <c r="D237" s="1">
        <f>IF(B237="", "", "m")</f>
        <v>0</v>
      </c>
      <c r="F237" s="1">
        <f>IF(B237="", "", "air")</f>
        <v>0</v>
      </c>
      <c r="G237" s="1">
        <f>IF(B237="", "", "air")</f>
        <v>0</v>
      </c>
      <c r="H237" s="1">
        <f>IF(B237="", "", "air")</f>
        <v>0</v>
      </c>
      <c r="I237" s="1">
        <f>IF(B237="", "", "air metagenome")</f>
        <v>0</v>
      </c>
      <c r="J237" s="1">
        <f>IF(B237="", "", "655179")</f>
        <v>0</v>
      </c>
    </row>
    <row r="238" spans="1:10">
      <c r="A238">
        <f>IF(COUNTBLANK(B238:J238)&lt;&gt;COLUMNS(B238:J238),237,"")</f>
        <v>0</v>
      </c>
      <c r="D238" s="1">
        <f>IF(B238="", "", "m")</f>
        <v>0</v>
      </c>
      <c r="F238" s="1">
        <f>IF(B238="", "", "air")</f>
        <v>0</v>
      </c>
      <c r="G238" s="1">
        <f>IF(B238="", "", "air")</f>
        <v>0</v>
      </c>
      <c r="H238" s="1">
        <f>IF(B238="", "", "air")</f>
        <v>0</v>
      </c>
      <c r="I238" s="1">
        <f>IF(B238="", "", "air metagenome")</f>
        <v>0</v>
      </c>
      <c r="J238" s="1">
        <f>IF(B238="", "", "655179")</f>
        <v>0</v>
      </c>
    </row>
    <row r="239" spans="1:10">
      <c r="A239">
        <f>IF(COUNTBLANK(B239:J239)&lt;&gt;COLUMNS(B239:J239),238,"")</f>
        <v>0</v>
      </c>
      <c r="D239" s="1">
        <f>IF(B239="", "", "m")</f>
        <v>0</v>
      </c>
      <c r="F239" s="1">
        <f>IF(B239="", "", "air")</f>
        <v>0</v>
      </c>
      <c r="G239" s="1">
        <f>IF(B239="", "", "air")</f>
        <v>0</v>
      </c>
      <c r="H239" s="1">
        <f>IF(B239="", "", "air")</f>
        <v>0</v>
      </c>
      <c r="I239" s="1">
        <f>IF(B239="", "", "air metagenome")</f>
        <v>0</v>
      </c>
      <c r="J239" s="1">
        <f>IF(B239="", "", "655179")</f>
        <v>0</v>
      </c>
    </row>
    <row r="240" spans="1:10">
      <c r="A240">
        <f>IF(COUNTBLANK(B240:J240)&lt;&gt;COLUMNS(B240:J240),239,"")</f>
        <v>0</v>
      </c>
      <c r="D240" s="1">
        <f>IF(B240="", "", "m")</f>
        <v>0</v>
      </c>
      <c r="F240" s="1">
        <f>IF(B240="", "", "air")</f>
        <v>0</v>
      </c>
      <c r="G240" s="1">
        <f>IF(B240="", "", "air")</f>
        <v>0</v>
      </c>
      <c r="H240" s="1">
        <f>IF(B240="", "", "air")</f>
        <v>0</v>
      </c>
      <c r="I240" s="1">
        <f>IF(B240="", "", "air metagenome")</f>
        <v>0</v>
      </c>
      <c r="J240" s="1">
        <f>IF(B240="", "", "655179")</f>
        <v>0</v>
      </c>
    </row>
    <row r="241" spans="1:10">
      <c r="A241">
        <f>IF(COUNTBLANK(B241:J241)&lt;&gt;COLUMNS(B241:J241),240,"")</f>
        <v>0</v>
      </c>
      <c r="D241" s="1">
        <f>IF(B241="", "", "m")</f>
        <v>0</v>
      </c>
      <c r="F241" s="1">
        <f>IF(B241="", "", "air")</f>
        <v>0</v>
      </c>
      <c r="G241" s="1">
        <f>IF(B241="", "", "air")</f>
        <v>0</v>
      </c>
      <c r="H241" s="1">
        <f>IF(B241="", "", "air")</f>
        <v>0</v>
      </c>
      <c r="I241" s="1">
        <f>IF(B241="", "", "air metagenome")</f>
        <v>0</v>
      </c>
      <c r="J241" s="1">
        <f>IF(B241="", "", "655179")</f>
        <v>0</v>
      </c>
    </row>
    <row r="242" spans="1:10">
      <c r="A242">
        <f>IF(COUNTBLANK(B242:J242)&lt;&gt;COLUMNS(B242:J242),241,"")</f>
        <v>0</v>
      </c>
      <c r="D242" s="1">
        <f>IF(B242="", "", "m")</f>
        <v>0</v>
      </c>
      <c r="F242" s="1">
        <f>IF(B242="", "", "air")</f>
        <v>0</v>
      </c>
      <c r="G242" s="1">
        <f>IF(B242="", "", "air")</f>
        <v>0</v>
      </c>
      <c r="H242" s="1">
        <f>IF(B242="", "", "air")</f>
        <v>0</v>
      </c>
      <c r="I242" s="1">
        <f>IF(B242="", "", "air metagenome")</f>
        <v>0</v>
      </c>
      <c r="J242" s="1">
        <f>IF(B242="", "", "655179")</f>
        <v>0</v>
      </c>
    </row>
    <row r="243" spans="1:10">
      <c r="A243">
        <f>IF(COUNTBLANK(B243:J243)&lt;&gt;COLUMNS(B243:J243),242,"")</f>
        <v>0</v>
      </c>
      <c r="D243" s="1">
        <f>IF(B243="", "", "m")</f>
        <v>0</v>
      </c>
      <c r="F243" s="1">
        <f>IF(B243="", "", "air")</f>
        <v>0</v>
      </c>
      <c r="G243" s="1">
        <f>IF(B243="", "", "air")</f>
        <v>0</v>
      </c>
      <c r="H243" s="1">
        <f>IF(B243="", "", "air")</f>
        <v>0</v>
      </c>
      <c r="I243" s="1">
        <f>IF(B243="", "", "air metagenome")</f>
        <v>0</v>
      </c>
      <c r="J243" s="1">
        <f>IF(B243="", "", "655179")</f>
        <v>0</v>
      </c>
    </row>
    <row r="244" spans="1:10">
      <c r="A244">
        <f>IF(COUNTBLANK(B244:J244)&lt;&gt;COLUMNS(B244:J244),243,"")</f>
        <v>0</v>
      </c>
      <c r="D244" s="1">
        <f>IF(B244="", "", "m")</f>
        <v>0</v>
      </c>
      <c r="F244" s="1">
        <f>IF(B244="", "", "air")</f>
        <v>0</v>
      </c>
      <c r="G244" s="1">
        <f>IF(B244="", "", "air")</f>
        <v>0</v>
      </c>
      <c r="H244" s="1">
        <f>IF(B244="", "", "air")</f>
        <v>0</v>
      </c>
      <c r="I244" s="1">
        <f>IF(B244="", "", "air metagenome")</f>
        <v>0</v>
      </c>
      <c r="J244" s="1">
        <f>IF(B244="", "", "655179")</f>
        <v>0</v>
      </c>
    </row>
    <row r="245" spans="1:10">
      <c r="A245">
        <f>IF(COUNTBLANK(B245:J245)&lt;&gt;COLUMNS(B245:J245),244,"")</f>
        <v>0</v>
      </c>
      <c r="D245" s="1">
        <f>IF(B245="", "", "m")</f>
        <v>0</v>
      </c>
      <c r="F245" s="1">
        <f>IF(B245="", "", "air")</f>
        <v>0</v>
      </c>
      <c r="G245" s="1">
        <f>IF(B245="", "", "air")</f>
        <v>0</v>
      </c>
      <c r="H245" s="1">
        <f>IF(B245="", "", "air")</f>
        <v>0</v>
      </c>
      <c r="I245" s="1">
        <f>IF(B245="", "", "air metagenome")</f>
        <v>0</v>
      </c>
      <c r="J245" s="1">
        <f>IF(B245="", "", "655179")</f>
        <v>0</v>
      </c>
    </row>
    <row r="246" spans="1:10">
      <c r="A246">
        <f>IF(COUNTBLANK(B246:J246)&lt;&gt;COLUMNS(B246:J246),245,"")</f>
        <v>0</v>
      </c>
      <c r="D246" s="1">
        <f>IF(B246="", "", "m")</f>
        <v>0</v>
      </c>
      <c r="F246" s="1">
        <f>IF(B246="", "", "air")</f>
        <v>0</v>
      </c>
      <c r="G246" s="1">
        <f>IF(B246="", "", "air")</f>
        <v>0</v>
      </c>
      <c r="H246" s="1">
        <f>IF(B246="", "", "air")</f>
        <v>0</v>
      </c>
      <c r="I246" s="1">
        <f>IF(B246="", "", "air metagenome")</f>
        <v>0</v>
      </c>
      <c r="J246" s="1">
        <f>IF(B246="", "", "655179")</f>
        <v>0</v>
      </c>
    </row>
    <row r="247" spans="1:10">
      <c r="A247">
        <f>IF(COUNTBLANK(B247:J247)&lt;&gt;COLUMNS(B247:J247),246,"")</f>
        <v>0</v>
      </c>
      <c r="D247" s="1">
        <f>IF(B247="", "", "m")</f>
        <v>0</v>
      </c>
      <c r="F247" s="1">
        <f>IF(B247="", "", "air")</f>
        <v>0</v>
      </c>
      <c r="G247" s="1">
        <f>IF(B247="", "", "air")</f>
        <v>0</v>
      </c>
      <c r="H247" s="1">
        <f>IF(B247="", "", "air")</f>
        <v>0</v>
      </c>
      <c r="I247" s="1">
        <f>IF(B247="", "", "air metagenome")</f>
        <v>0</v>
      </c>
      <c r="J247" s="1">
        <f>IF(B247="", "", "655179")</f>
        <v>0</v>
      </c>
    </row>
    <row r="248" spans="1:10">
      <c r="A248">
        <f>IF(COUNTBLANK(B248:J248)&lt;&gt;COLUMNS(B248:J248),247,"")</f>
        <v>0</v>
      </c>
      <c r="D248" s="1">
        <f>IF(B248="", "", "m")</f>
        <v>0</v>
      </c>
      <c r="F248" s="1">
        <f>IF(B248="", "", "air")</f>
        <v>0</v>
      </c>
      <c r="G248" s="1">
        <f>IF(B248="", "", "air")</f>
        <v>0</v>
      </c>
      <c r="H248" s="1">
        <f>IF(B248="", "", "air")</f>
        <v>0</v>
      </c>
      <c r="I248" s="1">
        <f>IF(B248="", "", "air metagenome")</f>
        <v>0</v>
      </c>
      <c r="J248" s="1">
        <f>IF(B248="", "", "655179")</f>
        <v>0</v>
      </c>
    </row>
    <row r="249" spans="1:10">
      <c r="A249">
        <f>IF(COUNTBLANK(B249:J249)&lt;&gt;COLUMNS(B249:J249),248,"")</f>
        <v>0</v>
      </c>
      <c r="D249" s="1">
        <f>IF(B249="", "", "m")</f>
        <v>0</v>
      </c>
      <c r="F249" s="1">
        <f>IF(B249="", "", "air")</f>
        <v>0</v>
      </c>
      <c r="G249" s="1">
        <f>IF(B249="", "", "air")</f>
        <v>0</v>
      </c>
      <c r="H249" s="1">
        <f>IF(B249="", "", "air")</f>
        <v>0</v>
      </c>
      <c r="I249" s="1">
        <f>IF(B249="", "", "air metagenome")</f>
        <v>0</v>
      </c>
      <c r="J249" s="1">
        <f>IF(B249="", "", "655179")</f>
        <v>0</v>
      </c>
    </row>
    <row r="250" spans="1:10">
      <c r="A250">
        <f>IF(COUNTBLANK(B250:J250)&lt;&gt;COLUMNS(B250:J250),249,"")</f>
        <v>0</v>
      </c>
      <c r="D250" s="1">
        <f>IF(B250="", "", "m")</f>
        <v>0</v>
      </c>
      <c r="F250" s="1">
        <f>IF(B250="", "", "air")</f>
        <v>0</v>
      </c>
      <c r="G250" s="1">
        <f>IF(B250="", "", "air")</f>
        <v>0</v>
      </c>
      <c r="H250" s="1">
        <f>IF(B250="", "", "air")</f>
        <v>0</v>
      </c>
      <c r="I250" s="1">
        <f>IF(B250="", "", "air metagenome")</f>
        <v>0</v>
      </c>
      <c r="J250" s="1">
        <f>IF(B250="", "", "655179")</f>
        <v>0</v>
      </c>
    </row>
    <row r="251" spans="1:10">
      <c r="A251">
        <f>IF(COUNTBLANK(B251:J251)&lt;&gt;COLUMNS(B251:J251),250,"")</f>
        <v>0</v>
      </c>
      <c r="D251" s="1">
        <f>IF(B251="", "", "m")</f>
        <v>0</v>
      </c>
      <c r="F251" s="1">
        <f>IF(B251="", "", "air")</f>
        <v>0</v>
      </c>
      <c r="G251" s="1">
        <f>IF(B251="", "", "air")</f>
        <v>0</v>
      </c>
      <c r="H251" s="1">
        <f>IF(B251="", "", "air")</f>
        <v>0</v>
      </c>
      <c r="I251" s="1">
        <f>IF(B251="", "", "air metagenome")</f>
        <v>0</v>
      </c>
      <c r="J251" s="1">
        <f>IF(B251="", "", "655179")</f>
        <v>0</v>
      </c>
    </row>
    <row r="252" spans="1:10">
      <c r="A252">
        <f>IF(COUNTBLANK(B252:J252)&lt;&gt;COLUMNS(B252:J252),251,"")</f>
        <v>0</v>
      </c>
      <c r="D252" s="1">
        <f>IF(B252="", "", "m")</f>
        <v>0</v>
      </c>
      <c r="F252" s="1">
        <f>IF(B252="", "", "air")</f>
        <v>0</v>
      </c>
      <c r="G252" s="1">
        <f>IF(B252="", "", "air")</f>
        <v>0</v>
      </c>
      <c r="H252" s="1">
        <f>IF(B252="", "", "air")</f>
        <v>0</v>
      </c>
      <c r="I252" s="1">
        <f>IF(B252="", "", "air metagenome")</f>
        <v>0</v>
      </c>
      <c r="J252" s="1">
        <f>IF(B252="", "", "655179")</f>
        <v>0</v>
      </c>
    </row>
    <row r="253" spans="1:10">
      <c r="A253">
        <f>IF(COUNTBLANK(B253:J253)&lt;&gt;COLUMNS(B253:J253),252,"")</f>
        <v>0</v>
      </c>
      <c r="D253" s="1">
        <f>IF(B253="", "", "m")</f>
        <v>0</v>
      </c>
      <c r="F253" s="1">
        <f>IF(B253="", "", "air")</f>
        <v>0</v>
      </c>
      <c r="G253" s="1">
        <f>IF(B253="", "", "air")</f>
        <v>0</v>
      </c>
      <c r="H253" s="1">
        <f>IF(B253="", "", "air")</f>
        <v>0</v>
      </c>
      <c r="I253" s="1">
        <f>IF(B253="", "", "air metagenome")</f>
        <v>0</v>
      </c>
      <c r="J253" s="1">
        <f>IF(B253="", "", "655179")</f>
        <v>0</v>
      </c>
    </row>
    <row r="254" spans="1:10">
      <c r="A254">
        <f>IF(COUNTBLANK(B254:J254)&lt;&gt;COLUMNS(B254:J254),253,"")</f>
        <v>0</v>
      </c>
      <c r="D254" s="1">
        <f>IF(B254="", "", "m")</f>
        <v>0</v>
      </c>
      <c r="F254" s="1">
        <f>IF(B254="", "", "air")</f>
        <v>0</v>
      </c>
      <c r="G254" s="1">
        <f>IF(B254="", "", "air")</f>
        <v>0</v>
      </c>
      <c r="H254" s="1">
        <f>IF(B254="", "", "air")</f>
        <v>0</v>
      </c>
      <c r="I254" s="1">
        <f>IF(B254="", "", "air metagenome")</f>
        <v>0</v>
      </c>
      <c r="J254" s="1">
        <f>IF(B254="", "", "655179")</f>
        <v>0</v>
      </c>
    </row>
    <row r="255" spans="1:10">
      <c r="A255">
        <f>IF(COUNTBLANK(B255:J255)&lt;&gt;COLUMNS(B255:J255),254,"")</f>
        <v>0</v>
      </c>
      <c r="D255" s="1">
        <f>IF(B255="", "", "m")</f>
        <v>0</v>
      </c>
      <c r="F255" s="1">
        <f>IF(B255="", "", "air")</f>
        <v>0</v>
      </c>
      <c r="G255" s="1">
        <f>IF(B255="", "", "air")</f>
        <v>0</v>
      </c>
      <c r="H255" s="1">
        <f>IF(B255="", "", "air")</f>
        <v>0</v>
      </c>
      <c r="I255" s="1">
        <f>IF(B255="", "", "air metagenome")</f>
        <v>0</v>
      </c>
      <c r="J255" s="1">
        <f>IF(B255="", "", "655179")</f>
        <v>0</v>
      </c>
    </row>
    <row r="256" spans="1:10">
      <c r="A256">
        <f>IF(COUNTBLANK(B256:J256)&lt;&gt;COLUMNS(B256:J256),255,"")</f>
        <v>0</v>
      </c>
      <c r="D256" s="1">
        <f>IF(B256="", "", "m")</f>
        <v>0</v>
      </c>
      <c r="F256" s="1">
        <f>IF(B256="", "", "air")</f>
        <v>0</v>
      </c>
      <c r="G256" s="1">
        <f>IF(B256="", "", "air")</f>
        <v>0</v>
      </c>
      <c r="H256" s="1">
        <f>IF(B256="", "", "air")</f>
        <v>0</v>
      </c>
      <c r="I256" s="1">
        <f>IF(B256="", "", "air metagenome")</f>
        <v>0</v>
      </c>
      <c r="J256" s="1">
        <f>IF(B256="", "", "655179")</f>
        <v>0</v>
      </c>
    </row>
    <row r="257" spans="1:10">
      <c r="A257">
        <f>IF(COUNTBLANK(B257:J257)&lt;&gt;COLUMNS(B257:J257),256,"")</f>
        <v>0</v>
      </c>
      <c r="D257" s="1">
        <f>IF(B257="", "", "m")</f>
        <v>0</v>
      </c>
      <c r="F257" s="1">
        <f>IF(B257="", "", "air")</f>
        <v>0</v>
      </c>
      <c r="G257" s="1">
        <f>IF(B257="", "", "air")</f>
        <v>0</v>
      </c>
      <c r="H257" s="1">
        <f>IF(B257="", "", "air")</f>
        <v>0</v>
      </c>
      <c r="I257" s="1">
        <f>IF(B257="", "", "air metagenome")</f>
        <v>0</v>
      </c>
      <c r="J257" s="1">
        <f>IF(B257="", "", "655179")</f>
        <v>0</v>
      </c>
    </row>
    <row r="258" spans="1:10">
      <c r="A258">
        <f>IF(COUNTBLANK(B258:J258)&lt;&gt;COLUMNS(B258:J258),257,"")</f>
        <v>0</v>
      </c>
      <c r="D258" s="1">
        <f>IF(B258="", "", "m")</f>
        <v>0</v>
      </c>
      <c r="F258" s="1">
        <f>IF(B258="", "", "air")</f>
        <v>0</v>
      </c>
      <c r="G258" s="1">
        <f>IF(B258="", "", "air")</f>
        <v>0</v>
      </c>
      <c r="H258" s="1">
        <f>IF(B258="", "", "air")</f>
        <v>0</v>
      </c>
      <c r="I258" s="1">
        <f>IF(B258="", "", "air metagenome")</f>
        <v>0</v>
      </c>
      <c r="J258" s="1">
        <f>IF(B258="", "", "655179")</f>
        <v>0</v>
      </c>
    </row>
    <row r="259" spans="1:10">
      <c r="A259">
        <f>IF(COUNTBLANK(B259:J259)&lt;&gt;COLUMNS(B259:J259),258,"")</f>
        <v>0</v>
      </c>
      <c r="D259" s="1">
        <f>IF(B259="", "", "m")</f>
        <v>0</v>
      </c>
      <c r="F259" s="1">
        <f>IF(B259="", "", "air")</f>
        <v>0</v>
      </c>
      <c r="G259" s="1">
        <f>IF(B259="", "", "air")</f>
        <v>0</v>
      </c>
      <c r="H259" s="1">
        <f>IF(B259="", "", "air")</f>
        <v>0</v>
      </c>
      <c r="I259" s="1">
        <f>IF(B259="", "", "air metagenome")</f>
        <v>0</v>
      </c>
      <c r="J259" s="1">
        <f>IF(B259="", "", "655179")</f>
        <v>0</v>
      </c>
    </row>
    <row r="260" spans="1:10">
      <c r="A260">
        <f>IF(COUNTBLANK(B260:J260)&lt;&gt;COLUMNS(B260:J260),259,"")</f>
        <v>0</v>
      </c>
      <c r="D260" s="1">
        <f>IF(B260="", "", "m")</f>
        <v>0</v>
      </c>
      <c r="F260" s="1">
        <f>IF(B260="", "", "air")</f>
        <v>0</v>
      </c>
      <c r="G260" s="1">
        <f>IF(B260="", "", "air")</f>
        <v>0</v>
      </c>
      <c r="H260" s="1">
        <f>IF(B260="", "", "air")</f>
        <v>0</v>
      </c>
      <c r="I260" s="1">
        <f>IF(B260="", "", "air metagenome")</f>
        <v>0</v>
      </c>
      <c r="J260" s="1">
        <f>IF(B260="", "", "655179")</f>
        <v>0</v>
      </c>
    </row>
    <row r="261" spans="1:10">
      <c r="A261">
        <f>IF(COUNTBLANK(B261:J261)&lt;&gt;COLUMNS(B261:J261),260,"")</f>
        <v>0</v>
      </c>
      <c r="D261" s="1">
        <f>IF(B261="", "", "m")</f>
        <v>0</v>
      </c>
      <c r="F261" s="1">
        <f>IF(B261="", "", "air")</f>
        <v>0</v>
      </c>
      <c r="G261" s="1">
        <f>IF(B261="", "", "air")</f>
        <v>0</v>
      </c>
      <c r="H261" s="1">
        <f>IF(B261="", "", "air")</f>
        <v>0</v>
      </c>
      <c r="I261" s="1">
        <f>IF(B261="", "", "air metagenome")</f>
        <v>0</v>
      </c>
      <c r="J261" s="1">
        <f>IF(B261="", "", "655179")</f>
        <v>0</v>
      </c>
    </row>
    <row r="262" spans="1:10">
      <c r="A262">
        <f>IF(COUNTBLANK(B262:J262)&lt;&gt;COLUMNS(B262:J262),261,"")</f>
        <v>0</v>
      </c>
      <c r="D262" s="1">
        <f>IF(B262="", "", "m")</f>
        <v>0</v>
      </c>
      <c r="F262" s="1">
        <f>IF(B262="", "", "air")</f>
        <v>0</v>
      </c>
      <c r="G262" s="1">
        <f>IF(B262="", "", "air")</f>
        <v>0</v>
      </c>
      <c r="H262" s="1">
        <f>IF(B262="", "", "air")</f>
        <v>0</v>
      </c>
      <c r="I262" s="1">
        <f>IF(B262="", "", "air metagenome")</f>
        <v>0</v>
      </c>
      <c r="J262" s="1">
        <f>IF(B262="", "", "655179")</f>
        <v>0</v>
      </c>
    </row>
    <row r="263" spans="1:10">
      <c r="A263">
        <f>IF(COUNTBLANK(B263:J263)&lt;&gt;COLUMNS(B263:J263),262,"")</f>
        <v>0</v>
      </c>
      <c r="D263" s="1">
        <f>IF(B263="", "", "m")</f>
        <v>0</v>
      </c>
      <c r="F263" s="1">
        <f>IF(B263="", "", "air")</f>
        <v>0</v>
      </c>
      <c r="G263" s="1">
        <f>IF(B263="", "", "air")</f>
        <v>0</v>
      </c>
      <c r="H263" s="1">
        <f>IF(B263="", "", "air")</f>
        <v>0</v>
      </c>
      <c r="I263" s="1">
        <f>IF(B263="", "", "air metagenome")</f>
        <v>0</v>
      </c>
      <c r="J263" s="1">
        <f>IF(B263="", "", "655179")</f>
        <v>0</v>
      </c>
    </row>
    <row r="264" spans="1:10">
      <c r="A264">
        <f>IF(COUNTBLANK(B264:J264)&lt;&gt;COLUMNS(B264:J264),263,"")</f>
        <v>0</v>
      </c>
      <c r="D264" s="1">
        <f>IF(B264="", "", "m")</f>
        <v>0</v>
      </c>
      <c r="F264" s="1">
        <f>IF(B264="", "", "air")</f>
        <v>0</v>
      </c>
      <c r="G264" s="1">
        <f>IF(B264="", "", "air")</f>
        <v>0</v>
      </c>
      <c r="H264" s="1">
        <f>IF(B264="", "", "air")</f>
        <v>0</v>
      </c>
      <c r="I264" s="1">
        <f>IF(B264="", "", "air metagenome")</f>
        <v>0</v>
      </c>
      <c r="J264" s="1">
        <f>IF(B264="", "", "655179")</f>
        <v>0</v>
      </c>
    </row>
    <row r="265" spans="1:10">
      <c r="A265">
        <f>IF(COUNTBLANK(B265:J265)&lt;&gt;COLUMNS(B265:J265),264,"")</f>
        <v>0</v>
      </c>
      <c r="D265" s="1">
        <f>IF(B265="", "", "m")</f>
        <v>0</v>
      </c>
      <c r="F265" s="1">
        <f>IF(B265="", "", "air")</f>
        <v>0</v>
      </c>
      <c r="G265" s="1">
        <f>IF(B265="", "", "air")</f>
        <v>0</v>
      </c>
      <c r="H265" s="1">
        <f>IF(B265="", "", "air")</f>
        <v>0</v>
      </c>
      <c r="I265" s="1">
        <f>IF(B265="", "", "air metagenome")</f>
        <v>0</v>
      </c>
      <c r="J265" s="1">
        <f>IF(B265="", "", "655179")</f>
        <v>0</v>
      </c>
    </row>
    <row r="266" spans="1:10">
      <c r="A266">
        <f>IF(COUNTBLANK(B266:J266)&lt;&gt;COLUMNS(B266:J266),265,"")</f>
        <v>0</v>
      </c>
      <c r="D266" s="1">
        <f>IF(B266="", "", "m")</f>
        <v>0</v>
      </c>
      <c r="F266" s="1">
        <f>IF(B266="", "", "air")</f>
        <v>0</v>
      </c>
      <c r="G266" s="1">
        <f>IF(B266="", "", "air")</f>
        <v>0</v>
      </c>
      <c r="H266" s="1">
        <f>IF(B266="", "", "air")</f>
        <v>0</v>
      </c>
      <c r="I266" s="1">
        <f>IF(B266="", "", "air metagenome")</f>
        <v>0</v>
      </c>
      <c r="J266" s="1">
        <f>IF(B266="", "", "655179")</f>
        <v>0</v>
      </c>
    </row>
    <row r="267" spans="1:10">
      <c r="A267">
        <f>IF(COUNTBLANK(B267:J267)&lt;&gt;COLUMNS(B267:J267),266,"")</f>
        <v>0</v>
      </c>
      <c r="D267" s="1">
        <f>IF(B267="", "", "m")</f>
        <v>0</v>
      </c>
      <c r="F267" s="1">
        <f>IF(B267="", "", "air")</f>
        <v>0</v>
      </c>
      <c r="G267" s="1">
        <f>IF(B267="", "", "air")</f>
        <v>0</v>
      </c>
      <c r="H267" s="1">
        <f>IF(B267="", "", "air")</f>
        <v>0</v>
      </c>
      <c r="I267" s="1">
        <f>IF(B267="", "", "air metagenome")</f>
        <v>0</v>
      </c>
      <c r="J267" s="1">
        <f>IF(B267="", "", "655179")</f>
        <v>0</v>
      </c>
    </row>
    <row r="268" spans="1:10">
      <c r="A268">
        <f>IF(COUNTBLANK(B268:J268)&lt;&gt;COLUMNS(B268:J268),267,"")</f>
        <v>0</v>
      </c>
      <c r="D268" s="1">
        <f>IF(B268="", "", "m")</f>
        <v>0</v>
      </c>
      <c r="F268" s="1">
        <f>IF(B268="", "", "air")</f>
        <v>0</v>
      </c>
      <c r="G268" s="1">
        <f>IF(B268="", "", "air")</f>
        <v>0</v>
      </c>
      <c r="H268" s="1">
        <f>IF(B268="", "", "air")</f>
        <v>0</v>
      </c>
      <c r="I268" s="1">
        <f>IF(B268="", "", "air metagenome")</f>
        <v>0</v>
      </c>
      <c r="J268" s="1">
        <f>IF(B268="", "", "655179")</f>
        <v>0</v>
      </c>
    </row>
    <row r="269" spans="1:10">
      <c r="A269">
        <f>IF(COUNTBLANK(B269:J269)&lt;&gt;COLUMNS(B269:J269),268,"")</f>
        <v>0</v>
      </c>
      <c r="D269" s="1">
        <f>IF(B269="", "", "m")</f>
        <v>0</v>
      </c>
      <c r="F269" s="1">
        <f>IF(B269="", "", "air")</f>
        <v>0</v>
      </c>
      <c r="G269" s="1">
        <f>IF(B269="", "", "air")</f>
        <v>0</v>
      </c>
      <c r="H269" s="1">
        <f>IF(B269="", "", "air")</f>
        <v>0</v>
      </c>
      <c r="I269" s="1">
        <f>IF(B269="", "", "air metagenome")</f>
        <v>0</v>
      </c>
      <c r="J269" s="1">
        <f>IF(B269="", "", "655179")</f>
        <v>0</v>
      </c>
    </row>
    <row r="270" spans="1:10">
      <c r="A270">
        <f>IF(COUNTBLANK(B270:J270)&lt;&gt;COLUMNS(B270:J270),269,"")</f>
        <v>0</v>
      </c>
      <c r="D270" s="1">
        <f>IF(B270="", "", "m")</f>
        <v>0</v>
      </c>
      <c r="F270" s="1">
        <f>IF(B270="", "", "air")</f>
        <v>0</v>
      </c>
      <c r="G270" s="1">
        <f>IF(B270="", "", "air")</f>
        <v>0</v>
      </c>
      <c r="H270" s="1">
        <f>IF(B270="", "", "air")</f>
        <v>0</v>
      </c>
      <c r="I270" s="1">
        <f>IF(B270="", "", "air metagenome")</f>
        <v>0</v>
      </c>
      <c r="J270" s="1">
        <f>IF(B270="", "", "655179")</f>
        <v>0</v>
      </c>
    </row>
    <row r="271" spans="1:10">
      <c r="A271">
        <f>IF(COUNTBLANK(B271:J271)&lt;&gt;COLUMNS(B271:J271),270,"")</f>
        <v>0</v>
      </c>
      <c r="D271" s="1">
        <f>IF(B271="", "", "m")</f>
        <v>0</v>
      </c>
      <c r="F271" s="1">
        <f>IF(B271="", "", "air")</f>
        <v>0</v>
      </c>
      <c r="G271" s="1">
        <f>IF(B271="", "", "air")</f>
        <v>0</v>
      </c>
      <c r="H271" s="1">
        <f>IF(B271="", "", "air")</f>
        <v>0</v>
      </c>
      <c r="I271" s="1">
        <f>IF(B271="", "", "air metagenome")</f>
        <v>0</v>
      </c>
      <c r="J271" s="1">
        <f>IF(B271="", "", "655179")</f>
        <v>0</v>
      </c>
    </row>
    <row r="272" spans="1:10">
      <c r="A272">
        <f>IF(COUNTBLANK(B272:J272)&lt;&gt;COLUMNS(B272:J272),271,"")</f>
        <v>0</v>
      </c>
      <c r="D272" s="1">
        <f>IF(B272="", "", "m")</f>
        <v>0</v>
      </c>
      <c r="F272" s="1">
        <f>IF(B272="", "", "air")</f>
        <v>0</v>
      </c>
      <c r="G272" s="1">
        <f>IF(B272="", "", "air")</f>
        <v>0</v>
      </c>
      <c r="H272" s="1">
        <f>IF(B272="", "", "air")</f>
        <v>0</v>
      </c>
      <c r="I272" s="1">
        <f>IF(B272="", "", "air metagenome")</f>
        <v>0</v>
      </c>
      <c r="J272" s="1">
        <f>IF(B272="", "", "655179")</f>
        <v>0</v>
      </c>
    </row>
    <row r="273" spans="1:10">
      <c r="A273">
        <f>IF(COUNTBLANK(B273:J273)&lt;&gt;COLUMNS(B273:J273),272,"")</f>
        <v>0</v>
      </c>
      <c r="D273" s="1">
        <f>IF(B273="", "", "m")</f>
        <v>0</v>
      </c>
      <c r="F273" s="1">
        <f>IF(B273="", "", "air")</f>
        <v>0</v>
      </c>
      <c r="G273" s="1">
        <f>IF(B273="", "", "air")</f>
        <v>0</v>
      </c>
      <c r="H273" s="1">
        <f>IF(B273="", "", "air")</f>
        <v>0</v>
      </c>
      <c r="I273" s="1">
        <f>IF(B273="", "", "air metagenome")</f>
        <v>0</v>
      </c>
      <c r="J273" s="1">
        <f>IF(B273="", "", "655179")</f>
        <v>0</v>
      </c>
    </row>
    <row r="274" spans="1:10">
      <c r="A274">
        <f>IF(COUNTBLANK(B274:J274)&lt;&gt;COLUMNS(B274:J274),273,"")</f>
        <v>0</v>
      </c>
      <c r="D274" s="1">
        <f>IF(B274="", "", "m")</f>
        <v>0</v>
      </c>
      <c r="F274" s="1">
        <f>IF(B274="", "", "air")</f>
        <v>0</v>
      </c>
      <c r="G274" s="1">
        <f>IF(B274="", "", "air")</f>
        <v>0</v>
      </c>
      <c r="H274" s="1">
        <f>IF(B274="", "", "air")</f>
        <v>0</v>
      </c>
      <c r="I274" s="1">
        <f>IF(B274="", "", "air metagenome")</f>
        <v>0</v>
      </c>
      <c r="J274" s="1">
        <f>IF(B274="", "", "655179")</f>
        <v>0</v>
      </c>
    </row>
    <row r="275" spans="1:10">
      <c r="A275">
        <f>IF(COUNTBLANK(B275:J275)&lt;&gt;COLUMNS(B275:J275),274,"")</f>
        <v>0</v>
      </c>
      <c r="D275" s="1">
        <f>IF(B275="", "", "m")</f>
        <v>0</v>
      </c>
      <c r="F275" s="1">
        <f>IF(B275="", "", "air")</f>
        <v>0</v>
      </c>
      <c r="G275" s="1">
        <f>IF(B275="", "", "air")</f>
        <v>0</v>
      </c>
      <c r="H275" s="1">
        <f>IF(B275="", "", "air")</f>
        <v>0</v>
      </c>
      <c r="I275" s="1">
        <f>IF(B275="", "", "air metagenome")</f>
        <v>0</v>
      </c>
      <c r="J275" s="1">
        <f>IF(B275="", "", "655179")</f>
        <v>0</v>
      </c>
    </row>
    <row r="276" spans="1:10">
      <c r="A276">
        <f>IF(COUNTBLANK(B276:J276)&lt;&gt;COLUMNS(B276:J276),275,"")</f>
        <v>0</v>
      </c>
      <c r="D276" s="1">
        <f>IF(B276="", "", "m")</f>
        <v>0</v>
      </c>
      <c r="F276" s="1">
        <f>IF(B276="", "", "air")</f>
        <v>0</v>
      </c>
      <c r="G276" s="1">
        <f>IF(B276="", "", "air")</f>
        <v>0</v>
      </c>
      <c r="H276" s="1">
        <f>IF(B276="", "", "air")</f>
        <v>0</v>
      </c>
      <c r="I276" s="1">
        <f>IF(B276="", "", "air metagenome")</f>
        <v>0</v>
      </c>
      <c r="J276" s="1">
        <f>IF(B276="", "", "655179")</f>
        <v>0</v>
      </c>
    </row>
    <row r="277" spans="1:10">
      <c r="A277">
        <f>IF(COUNTBLANK(B277:J277)&lt;&gt;COLUMNS(B277:J277),276,"")</f>
        <v>0</v>
      </c>
      <c r="D277" s="1">
        <f>IF(B277="", "", "m")</f>
        <v>0</v>
      </c>
      <c r="F277" s="1">
        <f>IF(B277="", "", "air")</f>
        <v>0</v>
      </c>
      <c r="G277" s="1">
        <f>IF(B277="", "", "air")</f>
        <v>0</v>
      </c>
      <c r="H277" s="1">
        <f>IF(B277="", "", "air")</f>
        <v>0</v>
      </c>
      <c r="I277" s="1">
        <f>IF(B277="", "", "air metagenome")</f>
        <v>0</v>
      </c>
      <c r="J277" s="1">
        <f>IF(B277="", "", "655179")</f>
        <v>0</v>
      </c>
    </row>
    <row r="278" spans="1:10">
      <c r="A278">
        <f>IF(COUNTBLANK(B278:J278)&lt;&gt;COLUMNS(B278:J278),277,"")</f>
        <v>0</v>
      </c>
      <c r="D278" s="1">
        <f>IF(B278="", "", "m")</f>
        <v>0</v>
      </c>
      <c r="F278" s="1">
        <f>IF(B278="", "", "air")</f>
        <v>0</v>
      </c>
      <c r="G278" s="1">
        <f>IF(B278="", "", "air")</f>
        <v>0</v>
      </c>
      <c r="H278" s="1">
        <f>IF(B278="", "", "air")</f>
        <v>0</v>
      </c>
      <c r="I278" s="1">
        <f>IF(B278="", "", "air metagenome")</f>
        <v>0</v>
      </c>
      <c r="J278" s="1">
        <f>IF(B278="", "", "655179")</f>
        <v>0</v>
      </c>
    </row>
    <row r="279" spans="1:10">
      <c r="A279">
        <f>IF(COUNTBLANK(B279:J279)&lt;&gt;COLUMNS(B279:J279),278,"")</f>
        <v>0</v>
      </c>
      <c r="D279" s="1">
        <f>IF(B279="", "", "m")</f>
        <v>0</v>
      </c>
      <c r="F279" s="1">
        <f>IF(B279="", "", "air")</f>
        <v>0</v>
      </c>
      <c r="G279" s="1">
        <f>IF(B279="", "", "air")</f>
        <v>0</v>
      </c>
      <c r="H279" s="1">
        <f>IF(B279="", "", "air")</f>
        <v>0</v>
      </c>
      <c r="I279" s="1">
        <f>IF(B279="", "", "air metagenome")</f>
        <v>0</v>
      </c>
      <c r="J279" s="1">
        <f>IF(B279="", "", "655179")</f>
        <v>0</v>
      </c>
    </row>
    <row r="280" spans="1:10">
      <c r="A280">
        <f>IF(COUNTBLANK(B280:J280)&lt;&gt;COLUMNS(B280:J280),279,"")</f>
        <v>0</v>
      </c>
      <c r="D280" s="1">
        <f>IF(B280="", "", "m")</f>
        <v>0</v>
      </c>
      <c r="F280" s="1">
        <f>IF(B280="", "", "air")</f>
        <v>0</v>
      </c>
      <c r="G280" s="1">
        <f>IF(B280="", "", "air")</f>
        <v>0</v>
      </c>
      <c r="H280" s="1">
        <f>IF(B280="", "", "air")</f>
        <v>0</v>
      </c>
      <c r="I280" s="1">
        <f>IF(B280="", "", "air metagenome")</f>
        <v>0</v>
      </c>
      <c r="J280" s="1">
        <f>IF(B280="", "", "655179")</f>
        <v>0</v>
      </c>
    </row>
    <row r="281" spans="1:10">
      <c r="A281">
        <f>IF(COUNTBLANK(B281:J281)&lt;&gt;COLUMNS(B281:J281),280,"")</f>
        <v>0</v>
      </c>
      <c r="D281" s="1">
        <f>IF(B281="", "", "m")</f>
        <v>0</v>
      </c>
      <c r="F281" s="1">
        <f>IF(B281="", "", "air")</f>
        <v>0</v>
      </c>
      <c r="G281" s="1">
        <f>IF(B281="", "", "air")</f>
        <v>0</v>
      </c>
      <c r="H281" s="1">
        <f>IF(B281="", "", "air")</f>
        <v>0</v>
      </c>
      <c r="I281" s="1">
        <f>IF(B281="", "", "air metagenome")</f>
        <v>0</v>
      </c>
      <c r="J281" s="1">
        <f>IF(B281="", "", "655179")</f>
        <v>0</v>
      </c>
    </row>
    <row r="282" spans="1:10">
      <c r="A282">
        <f>IF(COUNTBLANK(B282:J282)&lt;&gt;COLUMNS(B282:J282),281,"")</f>
        <v>0</v>
      </c>
      <c r="D282" s="1">
        <f>IF(B282="", "", "m")</f>
        <v>0</v>
      </c>
      <c r="F282" s="1">
        <f>IF(B282="", "", "air")</f>
        <v>0</v>
      </c>
      <c r="G282" s="1">
        <f>IF(B282="", "", "air")</f>
        <v>0</v>
      </c>
      <c r="H282" s="1">
        <f>IF(B282="", "", "air")</f>
        <v>0</v>
      </c>
      <c r="I282" s="1">
        <f>IF(B282="", "", "air metagenome")</f>
        <v>0</v>
      </c>
      <c r="J282" s="1">
        <f>IF(B282="", "", "655179")</f>
        <v>0</v>
      </c>
    </row>
    <row r="283" spans="1:10">
      <c r="A283">
        <f>IF(COUNTBLANK(B283:J283)&lt;&gt;COLUMNS(B283:J283),282,"")</f>
        <v>0</v>
      </c>
      <c r="D283" s="1">
        <f>IF(B283="", "", "m")</f>
        <v>0</v>
      </c>
      <c r="F283" s="1">
        <f>IF(B283="", "", "air")</f>
        <v>0</v>
      </c>
      <c r="G283" s="1">
        <f>IF(B283="", "", "air")</f>
        <v>0</v>
      </c>
      <c r="H283" s="1">
        <f>IF(B283="", "", "air")</f>
        <v>0</v>
      </c>
      <c r="I283" s="1">
        <f>IF(B283="", "", "air metagenome")</f>
        <v>0</v>
      </c>
      <c r="J283" s="1">
        <f>IF(B283="", "", "655179")</f>
        <v>0</v>
      </c>
    </row>
    <row r="284" spans="1:10">
      <c r="A284">
        <f>IF(COUNTBLANK(B284:J284)&lt;&gt;COLUMNS(B284:J284),283,"")</f>
        <v>0</v>
      </c>
      <c r="D284" s="1">
        <f>IF(B284="", "", "m")</f>
        <v>0</v>
      </c>
      <c r="F284" s="1">
        <f>IF(B284="", "", "air")</f>
        <v>0</v>
      </c>
      <c r="G284" s="1">
        <f>IF(B284="", "", "air")</f>
        <v>0</v>
      </c>
      <c r="H284" s="1">
        <f>IF(B284="", "", "air")</f>
        <v>0</v>
      </c>
      <c r="I284" s="1">
        <f>IF(B284="", "", "air metagenome")</f>
        <v>0</v>
      </c>
      <c r="J284" s="1">
        <f>IF(B284="", "", "655179")</f>
        <v>0</v>
      </c>
    </row>
    <row r="285" spans="1:10">
      <c r="A285">
        <f>IF(COUNTBLANK(B285:J285)&lt;&gt;COLUMNS(B285:J285),284,"")</f>
        <v>0</v>
      </c>
      <c r="D285" s="1">
        <f>IF(B285="", "", "m")</f>
        <v>0</v>
      </c>
      <c r="F285" s="1">
        <f>IF(B285="", "", "air")</f>
        <v>0</v>
      </c>
      <c r="G285" s="1">
        <f>IF(B285="", "", "air")</f>
        <v>0</v>
      </c>
      <c r="H285" s="1">
        <f>IF(B285="", "", "air")</f>
        <v>0</v>
      </c>
      <c r="I285" s="1">
        <f>IF(B285="", "", "air metagenome")</f>
        <v>0</v>
      </c>
      <c r="J285" s="1">
        <f>IF(B285="", "", "655179")</f>
        <v>0</v>
      </c>
    </row>
    <row r="286" spans="1:10">
      <c r="A286">
        <f>IF(COUNTBLANK(B286:J286)&lt;&gt;COLUMNS(B286:J286),285,"")</f>
        <v>0</v>
      </c>
      <c r="D286" s="1">
        <f>IF(B286="", "", "m")</f>
        <v>0</v>
      </c>
      <c r="F286" s="1">
        <f>IF(B286="", "", "air")</f>
        <v>0</v>
      </c>
      <c r="G286" s="1">
        <f>IF(B286="", "", "air")</f>
        <v>0</v>
      </c>
      <c r="H286" s="1">
        <f>IF(B286="", "", "air")</f>
        <v>0</v>
      </c>
      <c r="I286" s="1">
        <f>IF(B286="", "", "air metagenome")</f>
        <v>0</v>
      </c>
      <c r="J286" s="1">
        <f>IF(B286="", "", "655179")</f>
        <v>0</v>
      </c>
    </row>
    <row r="287" spans="1:10">
      <c r="A287">
        <f>IF(COUNTBLANK(B287:J287)&lt;&gt;COLUMNS(B287:J287),286,"")</f>
        <v>0</v>
      </c>
      <c r="D287" s="1">
        <f>IF(B287="", "", "m")</f>
        <v>0</v>
      </c>
      <c r="F287" s="1">
        <f>IF(B287="", "", "air")</f>
        <v>0</v>
      </c>
      <c r="G287" s="1">
        <f>IF(B287="", "", "air")</f>
        <v>0</v>
      </c>
      <c r="H287" s="1">
        <f>IF(B287="", "", "air")</f>
        <v>0</v>
      </c>
      <c r="I287" s="1">
        <f>IF(B287="", "", "air metagenome")</f>
        <v>0</v>
      </c>
      <c r="J287" s="1">
        <f>IF(B287="", "", "655179")</f>
        <v>0</v>
      </c>
    </row>
    <row r="288" spans="1:10">
      <c r="A288">
        <f>IF(COUNTBLANK(B288:J288)&lt;&gt;COLUMNS(B288:J288),287,"")</f>
        <v>0</v>
      </c>
      <c r="D288" s="1">
        <f>IF(B288="", "", "m")</f>
        <v>0</v>
      </c>
      <c r="F288" s="1">
        <f>IF(B288="", "", "air")</f>
        <v>0</v>
      </c>
      <c r="G288" s="1">
        <f>IF(B288="", "", "air")</f>
        <v>0</v>
      </c>
      <c r="H288" s="1">
        <f>IF(B288="", "", "air")</f>
        <v>0</v>
      </c>
      <c r="I288" s="1">
        <f>IF(B288="", "", "air metagenome")</f>
        <v>0</v>
      </c>
      <c r="J288" s="1">
        <f>IF(B288="", "", "655179")</f>
        <v>0</v>
      </c>
    </row>
    <row r="289" spans="1:10">
      <c r="A289">
        <f>IF(COUNTBLANK(B289:J289)&lt;&gt;COLUMNS(B289:J289),288,"")</f>
        <v>0</v>
      </c>
      <c r="D289" s="1">
        <f>IF(B289="", "", "m")</f>
        <v>0</v>
      </c>
      <c r="F289" s="1">
        <f>IF(B289="", "", "air")</f>
        <v>0</v>
      </c>
      <c r="G289" s="1">
        <f>IF(B289="", "", "air")</f>
        <v>0</v>
      </c>
      <c r="H289" s="1">
        <f>IF(B289="", "", "air")</f>
        <v>0</v>
      </c>
      <c r="I289" s="1">
        <f>IF(B289="", "", "air metagenome")</f>
        <v>0</v>
      </c>
      <c r="J289" s="1">
        <f>IF(B289="", "", "655179")</f>
        <v>0</v>
      </c>
    </row>
    <row r="290" spans="1:10">
      <c r="A290">
        <f>IF(COUNTBLANK(B290:J290)&lt;&gt;COLUMNS(B290:J290),289,"")</f>
        <v>0</v>
      </c>
      <c r="D290" s="1">
        <f>IF(B290="", "", "m")</f>
        <v>0</v>
      </c>
      <c r="F290" s="1">
        <f>IF(B290="", "", "air")</f>
        <v>0</v>
      </c>
      <c r="G290" s="1">
        <f>IF(B290="", "", "air")</f>
        <v>0</v>
      </c>
      <c r="H290" s="1">
        <f>IF(B290="", "", "air")</f>
        <v>0</v>
      </c>
      <c r="I290" s="1">
        <f>IF(B290="", "", "air metagenome")</f>
        <v>0</v>
      </c>
      <c r="J290" s="1">
        <f>IF(B290="", "", "655179")</f>
        <v>0</v>
      </c>
    </row>
    <row r="291" spans="1:10">
      <c r="A291">
        <f>IF(COUNTBLANK(B291:J291)&lt;&gt;COLUMNS(B291:J291),290,"")</f>
        <v>0</v>
      </c>
      <c r="D291" s="1">
        <f>IF(B291="", "", "m")</f>
        <v>0</v>
      </c>
      <c r="F291" s="1">
        <f>IF(B291="", "", "air")</f>
        <v>0</v>
      </c>
      <c r="G291" s="1">
        <f>IF(B291="", "", "air")</f>
        <v>0</v>
      </c>
      <c r="H291" s="1">
        <f>IF(B291="", "", "air")</f>
        <v>0</v>
      </c>
      <c r="I291" s="1">
        <f>IF(B291="", "", "air metagenome")</f>
        <v>0</v>
      </c>
      <c r="J291" s="1">
        <f>IF(B291="", "", "655179")</f>
        <v>0</v>
      </c>
    </row>
    <row r="292" spans="1:10">
      <c r="A292">
        <f>IF(COUNTBLANK(B292:J292)&lt;&gt;COLUMNS(B292:J292),291,"")</f>
        <v>0</v>
      </c>
      <c r="D292" s="1">
        <f>IF(B292="", "", "m")</f>
        <v>0</v>
      </c>
      <c r="F292" s="1">
        <f>IF(B292="", "", "air")</f>
        <v>0</v>
      </c>
      <c r="G292" s="1">
        <f>IF(B292="", "", "air")</f>
        <v>0</v>
      </c>
      <c r="H292" s="1">
        <f>IF(B292="", "", "air")</f>
        <v>0</v>
      </c>
      <c r="I292" s="1">
        <f>IF(B292="", "", "air metagenome")</f>
        <v>0</v>
      </c>
      <c r="J292" s="1">
        <f>IF(B292="", "", "655179")</f>
        <v>0</v>
      </c>
    </row>
    <row r="293" spans="1:10">
      <c r="A293">
        <f>IF(COUNTBLANK(B293:J293)&lt;&gt;COLUMNS(B293:J293),292,"")</f>
        <v>0</v>
      </c>
      <c r="D293" s="1">
        <f>IF(B293="", "", "m")</f>
        <v>0</v>
      </c>
      <c r="F293" s="1">
        <f>IF(B293="", "", "air")</f>
        <v>0</v>
      </c>
      <c r="G293" s="1">
        <f>IF(B293="", "", "air")</f>
        <v>0</v>
      </c>
      <c r="H293" s="1">
        <f>IF(B293="", "", "air")</f>
        <v>0</v>
      </c>
      <c r="I293" s="1">
        <f>IF(B293="", "", "air metagenome")</f>
        <v>0</v>
      </c>
      <c r="J293" s="1">
        <f>IF(B293="", "", "655179")</f>
        <v>0</v>
      </c>
    </row>
    <row r="294" spans="1:10">
      <c r="A294">
        <f>IF(COUNTBLANK(B294:J294)&lt;&gt;COLUMNS(B294:J294),293,"")</f>
        <v>0</v>
      </c>
      <c r="D294" s="1">
        <f>IF(B294="", "", "m")</f>
        <v>0</v>
      </c>
      <c r="F294" s="1">
        <f>IF(B294="", "", "air")</f>
        <v>0</v>
      </c>
      <c r="G294" s="1">
        <f>IF(B294="", "", "air")</f>
        <v>0</v>
      </c>
      <c r="H294" s="1">
        <f>IF(B294="", "", "air")</f>
        <v>0</v>
      </c>
      <c r="I294" s="1">
        <f>IF(B294="", "", "air metagenome")</f>
        <v>0</v>
      </c>
      <c r="J294" s="1">
        <f>IF(B294="", "", "655179")</f>
        <v>0</v>
      </c>
    </row>
    <row r="295" spans="1:10">
      <c r="A295">
        <f>IF(COUNTBLANK(B295:J295)&lt;&gt;COLUMNS(B295:J295),294,"")</f>
        <v>0</v>
      </c>
      <c r="D295" s="1">
        <f>IF(B295="", "", "m")</f>
        <v>0</v>
      </c>
      <c r="F295" s="1">
        <f>IF(B295="", "", "air")</f>
        <v>0</v>
      </c>
      <c r="G295" s="1">
        <f>IF(B295="", "", "air")</f>
        <v>0</v>
      </c>
      <c r="H295" s="1">
        <f>IF(B295="", "", "air")</f>
        <v>0</v>
      </c>
      <c r="I295" s="1">
        <f>IF(B295="", "", "air metagenome")</f>
        <v>0</v>
      </c>
      <c r="J295" s="1">
        <f>IF(B295="", "", "655179")</f>
        <v>0</v>
      </c>
    </row>
    <row r="296" spans="1:10">
      <c r="A296">
        <f>IF(COUNTBLANK(B296:J296)&lt;&gt;COLUMNS(B296:J296),295,"")</f>
        <v>0</v>
      </c>
      <c r="D296" s="1">
        <f>IF(B296="", "", "m")</f>
        <v>0</v>
      </c>
      <c r="F296" s="1">
        <f>IF(B296="", "", "air")</f>
        <v>0</v>
      </c>
      <c r="G296" s="1">
        <f>IF(B296="", "", "air")</f>
        <v>0</v>
      </c>
      <c r="H296" s="1">
        <f>IF(B296="", "", "air")</f>
        <v>0</v>
      </c>
      <c r="I296" s="1">
        <f>IF(B296="", "", "air metagenome")</f>
        <v>0</v>
      </c>
      <c r="J296" s="1">
        <f>IF(B296="", "", "655179")</f>
        <v>0</v>
      </c>
    </row>
    <row r="297" spans="1:10">
      <c r="A297">
        <f>IF(COUNTBLANK(B297:J297)&lt;&gt;COLUMNS(B297:J297),296,"")</f>
        <v>0</v>
      </c>
      <c r="D297" s="1">
        <f>IF(B297="", "", "m")</f>
        <v>0</v>
      </c>
      <c r="F297" s="1">
        <f>IF(B297="", "", "air")</f>
        <v>0</v>
      </c>
      <c r="G297" s="1">
        <f>IF(B297="", "", "air")</f>
        <v>0</v>
      </c>
      <c r="H297" s="1">
        <f>IF(B297="", "", "air")</f>
        <v>0</v>
      </c>
      <c r="I297" s="1">
        <f>IF(B297="", "", "air metagenome")</f>
        <v>0</v>
      </c>
      <c r="J297" s="1">
        <f>IF(B297="", "", "655179")</f>
        <v>0</v>
      </c>
    </row>
    <row r="298" spans="1:10">
      <c r="A298">
        <f>IF(COUNTBLANK(B298:J298)&lt;&gt;COLUMNS(B298:J298),297,"")</f>
        <v>0</v>
      </c>
      <c r="D298" s="1">
        <f>IF(B298="", "", "m")</f>
        <v>0</v>
      </c>
      <c r="F298" s="1">
        <f>IF(B298="", "", "air")</f>
        <v>0</v>
      </c>
      <c r="G298" s="1">
        <f>IF(B298="", "", "air")</f>
        <v>0</v>
      </c>
      <c r="H298" s="1">
        <f>IF(B298="", "", "air")</f>
        <v>0</v>
      </c>
      <c r="I298" s="1">
        <f>IF(B298="", "", "air metagenome")</f>
        <v>0</v>
      </c>
      <c r="J298" s="1">
        <f>IF(B298="", "", "655179")</f>
        <v>0</v>
      </c>
    </row>
    <row r="299" spans="1:10">
      <c r="A299">
        <f>IF(COUNTBLANK(B299:J299)&lt;&gt;COLUMNS(B299:J299),298,"")</f>
        <v>0</v>
      </c>
      <c r="D299" s="1">
        <f>IF(B299="", "", "m")</f>
        <v>0</v>
      </c>
      <c r="F299" s="1">
        <f>IF(B299="", "", "air")</f>
        <v>0</v>
      </c>
      <c r="G299" s="1">
        <f>IF(B299="", "", "air")</f>
        <v>0</v>
      </c>
      <c r="H299" s="1">
        <f>IF(B299="", "", "air")</f>
        <v>0</v>
      </c>
      <c r="I299" s="1">
        <f>IF(B299="", "", "air metagenome")</f>
        <v>0</v>
      </c>
      <c r="J299" s="1">
        <f>IF(B299="", "", "655179")</f>
        <v>0</v>
      </c>
    </row>
    <row r="300" spans="1:10">
      <c r="A300">
        <f>IF(COUNTBLANK(B300:J300)&lt;&gt;COLUMNS(B300:J300),299,"")</f>
        <v>0</v>
      </c>
      <c r="D300" s="1">
        <f>IF(B300="", "", "m")</f>
        <v>0</v>
      </c>
      <c r="F300" s="1">
        <f>IF(B300="", "", "air")</f>
        <v>0</v>
      </c>
      <c r="G300" s="1">
        <f>IF(B300="", "", "air")</f>
        <v>0</v>
      </c>
      <c r="H300" s="1">
        <f>IF(B300="", "", "air")</f>
        <v>0</v>
      </c>
      <c r="I300" s="1">
        <f>IF(B300="", "", "air metagenome")</f>
        <v>0</v>
      </c>
      <c r="J300" s="1">
        <f>IF(B300="", "", "655179")</f>
        <v>0</v>
      </c>
    </row>
    <row r="301" spans="1:10">
      <c r="A301">
        <f>IF(COUNTBLANK(B301:J301)&lt;&gt;COLUMNS(B301:J301),300,"")</f>
        <v>0</v>
      </c>
      <c r="D301" s="1">
        <f>IF(B301="", "", "m")</f>
        <v>0</v>
      </c>
      <c r="F301" s="1">
        <f>IF(B301="", "", "air")</f>
        <v>0</v>
      </c>
      <c r="G301" s="1">
        <f>IF(B301="", "", "air")</f>
        <v>0</v>
      </c>
      <c r="H301" s="1">
        <f>IF(B301="", "", "air")</f>
        <v>0</v>
      </c>
      <c r="I301" s="1">
        <f>IF(B301="", "", "air metagenome")</f>
        <v>0</v>
      </c>
      <c r="J301" s="1">
        <f>IF(B301="", "", "655179")</f>
        <v>0</v>
      </c>
    </row>
    <row r="302" spans="1:10">
      <c r="A302">
        <f>IF(COUNTBLANK(B302:J302)&lt;&gt;COLUMNS(B302:J302),301,"")</f>
        <v>0</v>
      </c>
      <c r="D302" s="1">
        <f>IF(B302="", "", "m")</f>
        <v>0</v>
      </c>
      <c r="F302" s="1">
        <f>IF(B302="", "", "air")</f>
        <v>0</v>
      </c>
      <c r="G302" s="1">
        <f>IF(B302="", "", "air")</f>
        <v>0</v>
      </c>
      <c r="H302" s="1">
        <f>IF(B302="", "", "air")</f>
        <v>0</v>
      </c>
      <c r="I302" s="1">
        <f>IF(B302="", "", "air metagenome")</f>
        <v>0</v>
      </c>
      <c r="J302" s="1">
        <f>IF(B302="", "", "655179")</f>
        <v>0</v>
      </c>
    </row>
    <row r="303" spans="1:10">
      <c r="A303">
        <f>IF(COUNTBLANK(B303:J303)&lt;&gt;COLUMNS(B303:J303),302,"")</f>
        <v>0</v>
      </c>
      <c r="D303" s="1">
        <f>IF(B303="", "", "m")</f>
        <v>0</v>
      </c>
      <c r="F303" s="1">
        <f>IF(B303="", "", "air")</f>
        <v>0</v>
      </c>
      <c r="G303" s="1">
        <f>IF(B303="", "", "air")</f>
        <v>0</v>
      </c>
      <c r="H303" s="1">
        <f>IF(B303="", "", "air")</f>
        <v>0</v>
      </c>
      <c r="I303" s="1">
        <f>IF(B303="", "", "air metagenome")</f>
        <v>0</v>
      </c>
      <c r="J303" s="1">
        <f>IF(B303="", "", "655179")</f>
        <v>0</v>
      </c>
    </row>
    <row r="304" spans="1:10">
      <c r="A304">
        <f>IF(COUNTBLANK(B304:J304)&lt;&gt;COLUMNS(B304:J304),303,"")</f>
        <v>0</v>
      </c>
      <c r="D304" s="1">
        <f>IF(B304="", "", "m")</f>
        <v>0</v>
      </c>
      <c r="F304" s="1">
        <f>IF(B304="", "", "air")</f>
        <v>0</v>
      </c>
      <c r="G304" s="1">
        <f>IF(B304="", "", "air")</f>
        <v>0</v>
      </c>
      <c r="H304" s="1">
        <f>IF(B304="", "", "air")</f>
        <v>0</v>
      </c>
      <c r="I304" s="1">
        <f>IF(B304="", "", "air metagenome")</f>
        <v>0</v>
      </c>
      <c r="J304" s="1">
        <f>IF(B304="", "", "655179")</f>
        <v>0</v>
      </c>
    </row>
    <row r="305" spans="1:10">
      <c r="A305">
        <f>IF(COUNTBLANK(B305:J305)&lt;&gt;COLUMNS(B305:J305),304,"")</f>
        <v>0</v>
      </c>
      <c r="D305" s="1">
        <f>IF(B305="", "", "m")</f>
        <v>0</v>
      </c>
      <c r="F305" s="1">
        <f>IF(B305="", "", "air")</f>
        <v>0</v>
      </c>
      <c r="G305" s="1">
        <f>IF(B305="", "", "air")</f>
        <v>0</v>
      </c>
      <c r="H305" s="1">
        <f>IF(B305="", "", "air")</f>
        <v>0</v>
      </c>
      <c r="I305" s="1">
        <f>IF(B305="", "", "air metagenome")</f>
        <v>0</v>
      </c>
      <c r="J305" s="1">
        <f>IF(B305="", "", "655179")</f>
        <v>0</v>
      </c>
    </row>
    <row r="306" spans="1:10">
      <c r="A306">
        <f>IF(COUNTBLANK(B306:J306)&lt;&gt;COLUMNS(B306:J306),305,"")</f>
        <v>0</v>
      </c>
      <c r="D306" s="1">
        <f>IF(B306="", "", "m")</f>
        <v>0</v>
      </c>
      <c r="F306" s="1">
        <f>IF(B306="", "", "air")</f>
        <v>0</v>
      </c>
      <c r="G306" s="1">
        <f>IF(B306="", "", "air")</f>
        <v>0</v>
      </c>
      <c r="H306" s="1">
        <f>IF(B306="", "", "air")</f>
        <v>0</v>
      </c>
      <c r="I306" s="1">
        <f>IF(B306="", "", "air metagenome")</f>
        <v>0</v>
      </c>
      <c r="J306" s="1">
        <f>IF(B306="", "", "655179")</f>
        <v>0</v>
      </c>
    </row>
    <row r="307" spans="1:10">
      <c r="A307">
        <f>IF(COUNTBLANK(B307:J307)&lt;&gt;COLUMNS(B307:J307),306,"")</f>
        <v>0</v>
      </c>
      <c r="D307" s="1">
        <f>IF(B307="", "", "m")</f>
        <v>0</v>
      </c>
      <c r="F307" s="1">
        <f>IF(B307="", "", "air")</f>
        <v>0</v>
      </c>
      <c r="G307" s="1">
        <f>IF(B307="", "", "air")</f>
        <v>0</v>
      </c>
      <c r="H307" s="1">
        <f>IF(B307="", "", "air")</f>
        <v>0</v>
      </c>
      <c r="I307" s="1">
        <f>IF(B307="", "", "air metagenome")</f>
        <v>0</v>
      </c>
      <c r="J307" s="1">
        <f>IF(B307="", "", "655179")</f>
        <v>0</v>
      </c>
    </row>
    <row r="308" spans="1:10">
      <c r="A308">
        <f>IF(COUNTBLANK(B308:J308)&lt;&gt;COLUMNS(B308:J308),307,"")</f>
        <v>0</v>
      </c>
      <c r="D308" s="1">
        <f>IF(B308="", "", "m")</f>
        <v>0</v>
      </c>
      <c r="F308" s="1">
        <f>IF(B308="", "", "air")</f>
        <v>0</v>
      </c>
      <c r="G308" s="1">
        <f>IF(B308="", "", "air")</f>
        <v>0</v>
      </c>
      <c r="H308" s="1">
        <f>IF(B308="", "", "air")</f>
        <v>0</v>
      </c>
      <c r="I308" s="1">
        <f>IF(B308="", "", "air metagenome")</f>
        <v>0</v>
      </c>
      <c r="J308" s="1">
        <f>IF(B308="", "", "655179")</f>
        <v>0</v>
      </c>
    </row>
    <row r="309" spans="1:10">
      <c r="A309">
        <f>IF(COUNTBLANK(B309:J309)&lt;&gt;COLUMNS(B309:J309),308,"")</f>
        <v>0</v>
      </c>
      <c r="D309" s="1">
        <f>IF(B309="", "", "m")</f>
        <v>0</v>
      </c>
      <c r="F309" s="1">
        <f>IF(B309="", "", "air")</f>
        <v>0</v>
      </c>
      <c r="G309" s="1">
        <f>IF(B309="", "", "air")</f>
        <v>0</v>
      </c>
      <c r="H309" s="1">
        <f>IF(B309="", "", "air")</f>
        <v>0</v>
      </c>
      <c r="I309" s="1">
        <f>IF(B309="", "", "air metagenome")</f>
        <v>0</v>
      </c>
      <c r="J309" s="1">
        <f>IF(B309="", "", "655179")</f>
        <v>0</v>
      </c>
    </row>
    <row r="310" spans="1:10">
      <c r="A310">
        <f>IF(COUNTBLANK(B310:J310)&lt;&gt;COLUMNS(B310:J310),309,"")</f>
        <v>0</v>
      </c>
      <c r="D310" s="1">
        <f>IF(B310="", "", "m")</f>
        <v>0</v>
      </c>
      <c r="F310" s="1">
        <f>IF(B310="", "", "air")</f>
        <v>0</v>
      </c>
      <c r="G310" s="1">
        <f>IF(B310="", "", "air")</f>
        <v>0</v>
      </c>
      <c r="H310" s="1">
        <f>IF(B310="", "", "air")</f>
        <v>0</v>
      </c>
      <c r="I310" s="1">
        <f>IF(B310="", "", "air metagenome")</f>
        <v>0</v>
      </c>
      <c r="J310" s="1">
        <f>IF(B310="", "", "655179")</f>
        <v>0</v>
      </c>
    </row>
    <row r="311" spans="1:10">
      <c r="A311">
        <f>IF(COUNTBLANK(B311:J311)&lt;&gt;COLUMNS(B311:J311),310,"")</f>
        <v>0</v>
      </c>
      <c r="D311" s="1">
        <f>IF(B311="", "", "m")</f>
        <v>0</v>
      </c>
      <c r="F311" s="1">
        <f>IF(B311="", "", "air")</f>
        <v>0</v>
      </c>
      <c r="G311" s="1">
        <f>IF(B311="", "", "air")</f>
        <v>0</v>
      </c>
      <c r="H311" s="1">
        <f>IF(B311="", "", "air")</f>
        <v>0</v>
      </c>
      <c r="I311" s="1">
        <f>IF(B311="", "", "air metagenome")</f>
        <v>0</v>
      </c>
      <c r="J311" s="1">
        <f>IF(B311="", "", "655179")</f>
        <v>0</v>
      </c>
    </row>
    <row r="312" spans="1:10">
      <c r="A312">
        <f>IF(COUNTBLANK(B312:J312)&lt;&gt;COLUMNS(B312:J312),311,"")</f>
        <v>0</v>
      </c>
      <c r="D312" s="1">
        <f>IF(B312="", "", "m")</f>
        <v>0</v>
      </c>
      <c r="F312" s="1">
        <f>IF(B312="", "", "air")</f>
        <v>0</v>
      </c>
      <c r="G312" s="1">
        <f>IF(B312="", "", "air")</f>
        <v>0</v>
      </c>
      <c r="H312" s="1">
        <f>IF(B312="", "", "air")</f>
        <v>0</v>
      </c>
      <c r="I312" s="1">
        <f>IF(B312="", "", "air metagenome")</f>
        <v>0</v>
      </c>
      <c r="J312" s="1">
        <f>IF(B312="", "", "655179")</f>
        <v>0</v>
      </c>
    </row>
    <row r="313" spans="1:10">
      <c r="A313">
        <f>IF(COUNTBLANK(B313:J313)&lt;&gt;COLUMNS(B313:J313),312,"")</f>
        <v>0</v>
      </c>
      <c r="D313" s="1">
        <f>IF(B313="", "", "m")</f>
        <v>0</v>
      </c>
      <c r="F313" s="1">
        <f>IF(B313="", "", "air")</f>
        <v>0</v>
      </c>
      <c r="G313" s="1">
        <f>IF(B313="", "", "air")</f>
        <v>0</v>
      </c>
      <c r="H313" s="1">
        <f>IF(B313="", "", "air")</f>
        <v>0</v>
      </c>
      <c r="I313" s="1">
        <f>IF(B313="", "", "air metagenome")</f>
        <v>0</v>
      </c>
      <c r="J313" s="1">
        <f>IF(B313="", "", "655179")</f>
        <v>0</v>
      </c>
    </row>
    <row r="314" spans="1:10">
      <c r="A314">
        <f>IF(COUNTBLANK(B314:J314)&lt;&gt;COLUMNS(B314:J314),313,"")</f>
        <v>0</v>
      </c>
      <c r="D314" s="1">
        <f>IF(B314="", "", "m")</f>
        <v>0</v>
      </c>
      <c r="F314" s="1">
        <f>IF(B314="", "", "air")</f>
        <v>0</v>
      </c>
      <c r="G314" s="1">
        <f>IF(B314="", "", "air")</f>
        <v>0</v>
      </c>
      <c r="H314" s="1">
        <f>IF(B314="", "", "air")</f>
        <v>0</v>
      </c>
      <c r="I314" s="1">
        <f>IF(B314="", "", "air metagenome")</f>
        <v>0</v>
      </c>
      <c r="J314" s="1">
        <f>IF(B314="", "", "655179")</f>
        <v>0</v>
      </c>
    </row>
    <row r="315" spans="1:10">
      <c r="A315">
        <f>IF(COUNTBLANK(B315:J315)&lt;&gt;COLUMNS(B315:J315),314,"")</f>
        <v>0</v>
      </c>
      <c r="D315" s="1">
        <f>IF(B315="", "", "m")</f>
        <v>0</v>
      </c>
      <c r="F315" s="1">
        <f>IF(B315="", "", "air")</f>
        <v>0</v>
      </c>
      <c r="G315" s="1">
        <f>IF(B315="", "", "air")</f>
        <v>0</v>
      </c>
      <c r="H315" s="1">
        <f>IF(B315="", "", "air")</f>
        <v>0</v>
      </c>
      <c r="I315" s="1">
        <f>IF(B315="", "", "air metagenome")</f>
        <v>0</v>
      </c>
      <c r="J315" s="1">
        <f>IF(B315="", "", "655179")</f>
        <v>0</v>
      </c>
    </row>
    <row r="316" spans="1:10">
      <c r="A316">
        <f>IF(COUNTBLANK(B316:J316)&lt;&gt;COLUMNS(B316:J316),315,"")</f>
        <v>0</v>
      </c>
      <c r="D316" s="1">
        <f>IF(B316="", "", "m")</f>
        <v>0</v>
      </c>
      <c r="F316" s="1">
        <f>IF(B316="", "", "air")</f>
        <v>0</v>
      </c>
      <c r="G316" s="1">
        <f>IF(B316="", "", "air")</f>
        <v>0</v>
      </c>
      <c r="H316" s="1">
        <f>IF(B316="", "", "air")</f>
        <v>0</v>
      </c>
      <c r="I316" s="1">
        <f>IF(B316="", "", "air metagenome")</f>
        <v>0</v>
      </c>
      <c r="J316" s="1">
        <f>IF(B316="", "", "655179")</f>
        <v>0</v>
      </c>
    </row>
    <row r="317" spans="1:10">
      <c r="A317">
        <f>IF(COUNTBLANK(B317:J317)&lt;&gt;COLUMNS(B317:J317),316,"")</f>
        <v>0</v>
      </c>
      <c r="D317" s="1">
        <f>IF(B317="", "", "m")</f>
        <v>0</v>
      </c>
      <c r="F317" s="1">
        <f>IF(B317="", "", "air")</f>
        <v>0</v>
      </c>
      <c r="G317" s="1">
        <f>IF(B317="", "", "air")</f>
        <v>0</v>
      </c>
      <c r="H317" s="1">
        <f>IF(B317="", "", "air")</f>
        <v>0</v>
      </c>
      <c r="I317" s="1">
        <f>IF(B317="", "", "air metagenome")</f>
        <v>0</v>
      </c>
      <c r="J317" s="1">
        <f>IF(B317="", "", "655179")</f>
        <v>0</v>
      </c>
    </row>
    <row r="318" spans="1:10">
      <c r="A318">
        <f>IF(COUNTBLANK(B318:J318)&lt;&gt;COLUMNS(B318:J318),317,"")</f>
        <v>0</v>
      </c>
      <c r="D318" s="1">
        <f>IF(B318="", "", "m")</f>
        <v>0</v>
      </c>
      <c r="F318" s="1">
        <f>IF(B318="", "", "air")</f>
        <v>0</v>
      </c>
      <c r="G318" s="1">
        <f>IF(B318="", "", "air")</f>
        <v>0</v>
      </c>
      <c r="H318" s="1">
        <f>IF(B318="", "", "air")</f>
        <v>0</v>
      </c>
      <c r="I318" s="1">
        <f>IF(B318="", "", "air metagenome")</f>
        <v>0</v>
      </c>
      <c r="J318" s="1">
        <f>IF(B318="", "", "655179")</f>
        <v>0</v>
      </c>
    </row>
    <row r="319" spans="1:10">
      <c r="A319">
        <f>IF(COUNTBLANK(B319:J319)&lt;&gt;COLUMNS(B319:J319),318,"")</f>
        <v>0</v>
      </c>
      <c r="D319" s="1">
        <f>IF(B319="", "", "m")</f>
        <v>0</v>
      </c>
      <c r="F319" s="1">
        <f>IF(B319="", "", "air")</f>
        <v>0</v>
      </c>
      <c r="G319" s="1">
        <f>IF(B319="", "", "air")</f>
        <v>0</v>
      </c>
      <c r="H319" s="1">
        <f>IF(B319="", "", "air")</f>
        <v>0</v>
      </c>
      <c r="I319" s="1">
        <f>IF(B319="", "", "air metagenome")</f>
        <v>0</v>
      </c>
      <c r="J319" s="1">
        <f>IF(B319="", "", "655179")</f>
        <v>0</v>
      </c>
    </row>
    <row r="320" spans="1:10">
      <c r="A320">
        <f>IF(COUNTBLANK(B320:J320)&lt;&gt;COLUMNS(B320:J320),319,"")</f>
        <v>0</v>
      </c>
      <c r="D320" s="1">
        <f>IF(B320="", "", "m")</f>
        <v>0</v>
      </c>
      <c r="F320" s="1">
        <f>IF(B320="", "", "air")</f>
        <v>0</v>
      </c>
      <c r="G320" s="1">
        <f>IF(B320="", "", "air")</f>
        <v>0</v>
      </c>
      <c r="H320" s="1">
        <f>IF(B320="", "", "air")</f>
        <v>0</v>
      </c>
      <c r="I320" s="1">
        <f>IF(B320="", "", "air metagenome")</f>
        <v>0</v>
      </c>
      <c r="J320" s="1">
        <f>IF(B320="", "", "655179")</f>
        <v>0</v>
      </c>
    </row>
    <row r="321" spans="1:10">
      <c r="A321">
        <f>IF(COUNTBLANK(B321:J321)&lt;&gt;COLUMNS(B321:J321),320,"")</f>
        <v>0</v>
      </c>
      <c r="D321" s="1">
        <f>IF(B321="", "", "m")</f>
        <v>0</v>
      </c>
      <c r="F321" s="1">
        <f>IF(B321="", "", "air")</f>
        <v>0</v>
      </c>
      <c r="G321" s="1">
        <f>IF(B321="", "", "air")</f>
        <v>0</v>
      </c>
      <c r="H321" s="1">
        <f>IF(B321="", "", "air")</f>
        <v>0</v>
      </c>
      <c r="I321" s="1">
        <f>IF(B321="", "", "air metagenome")</f>
        <v>0</v>
      </c>
      <c r="J321" s="1">
        <f>IF(B321="", "", "655179")</f>
        <v>0</v>
      </c>
    </row>
    <row r="322" spans="1:10">
      <c r="A322">
        <f>IF(COUNTBLANK(B322:J322)&lt;&gt;COLUMNS(B322:J322),321,"")</f>
        <v>0</v>
      </c>
      <c r="D322" s="1">
        <f>IF(B322="", "", "m")</f>
        <v>0</v>
      </c>
      <c r="F322" s="1">
        <f>IF(B322="", "", "air")</f>
        <v>0</v>
      </c>
      <c r="G322" s="1">
        <f>IF(B322="", "", "air")</f>
        <v>0</v>
      </c>
      <c r="H322" s="1">
        <f>IF(B322="", "", "air")</f>
        <v>0</v>
      </c>
      <c r="I322" s="1">
        <f>IF(B322="", "", "air metagenome")</f>
        <v>0</v>
      </c>
      <c r="J322" s="1">
        <f>IF(B322="", "", "655179")</f>
        <v>0</v>
      </c>
    </row>
    <row r="323" spans="1:10">
      <c r="A323">
        <f>IF(COUNTBLANK(B323:J323)&lt;&gt;COLUMNS(B323:J323),322,"")</f>
        <v>0</v>
      </c>
      <c r="D323" s="1">
        <f>IF(B323="", "", "m")</f>
        <v>0</v>
      </c>
      <c r="F323" s="1">
        <f>IF(B323="", "", "air")</f>
        <v>0</v>
      </c>
      <c r="G323" s="1">
        <f>IF(B323="", "", "air")</f>
        <v>0</v>
      </c>
      <c r="H323" s="1">
        <f>IF(B323="", "", "air")</f>
        <v>0</v>
      </c>
      <c r="I323" s="1">
        <f>IF(B323="", "", "air metagenome")</f>
        <v>0</v>
      </c>
      <c r="J323" s="1">
        <f>IF(B323="", "", "655179")</f>
        <v>0</v>
      </c>
    </row>
    <row r="324" spans="1:10">
      <c r="A324">
        <f>IF(COUNTBLANK(B324:J324)&lt;&gt;COLUMNS(B324:J324),323,"")</f>
        <v>0</v>
      </c>
      <c r="D324" s="1">
        <f>IF(B324="", "", "m")</f>
        <v>0</v>
      </c>
      <c r="F324" s="1">
        <f>IF(B324="", "", "air")</f>
        <v>0</v>
      </c>
      <c r="G324" s="1">
        <f>IF(B324="", "", "air")</f>
        <v>0</v>
      </c>
      <c r="H324" s="1">
        <f>IF(B324="", "", "air")</f>
        <v>0</v>
      </c>
      <c r="I324" s="1">
        <f>IF(B324="", "", "air metagenome")</f>
        <v>0</v>
      </c>
      <c r="J324" s="1">
        <f>IF(B324="", "", "655179")</f>
        <v>0</v>
      </c>
    </row>
    <row r="325" spans="1:10">
      <c r="A325">
        <f>IF(COUNTBLANK(B325:J325)&lt;&gt;COLUMNS(B325:J325),324,"")</f>
        <v>0</v>
      </c>
      <c r="D325" s="1">
        <f>IF(B325="", "", "m")</f>
        <v>0</v>
      </c>
      <c r="F325" s="1">
        <f>IF(B325="", "", "air")</f>
        <v>0</v>
      </c>
      <c r="G325" s="1">
        <f>IF(B325="", "", "air")</f>
        <v>0</v>
      </c>
      <c r="H325" s="1">
        <f>IF(B325="", "", "air")</f>
        <v>0</v>
      </c>
      <c r="I325" s="1">
        <f>IF(B325="", "", "air metagenome")</f>
        <v>0</v>
      </c>
      <c r="J325" s="1">
        <f>IF(B325="", "", "655179")</f>
        <v>0</v>
      </c>
    </row>
    <row r="326" spans="1:10">
      <c r="A326">
        <f>IF(COUNTBLANK(B326:J326)&lt;&gt;COLUMNS(B326:J326),325,"")</f>
        <v>0</v>
      </c>
      <c r="D326" s="1">
        <f>IF(B326="", "", "m")</f>
        <v>0</v>
      </c>
      <c r="F326" s="1">
        <f>IF(B326="", "", "air")</f>
        <v>0</v>
      </c>
      <c r="G326" s="1">
        <f>IF(B326="", "", "air")</f>
        <v>0</v>
      </c>
      <c r="H326" s="1">
        <f>IF(B326="", "", "air")</f>
        <v>0</v>
      </c>
      <c r="I326" s="1">
        <f>IF(B326="", "", "air metagenome")</f>
        <v>0</v>
      </c>
      <c r="J326" s="1">
        <f>IF(B326="", "", "655179")</f>
        <v>0</v>
      </c>
    </row>
    <row r="327" spans="1:10">
      <c r="A327">
        <f>IF(COUNTBLANK(B327:J327)&lt;&gt;COLUMNS(B327:J327),326,"")</f>
        <v>0</v>
      </c>
      <c r="D327" s="1">
        <f>IF(B327="", "", "m")</f>
        <v>0</v>
      </c>
      <c r="F327" s="1">
        <f>IF(B327="", "", "air")</f>
        <v>0</v>
      </c>
      <c r="G327" s="1">
        <f>IF(B327="", "", "air")</f>
        <v>0</v>
      </c>
      <c r="H327" s="1">
        <f>IF(B327="", "", "air")</f>
        <v>0</v>
      </c>
      <c r="I327" s="1">
        <f>IF(B327="", "", "air metagenome")</f>
        <v>0</v>
      </c>
      <c r="J327" s="1">
        <f>IF(B327="", "", "655179")</f>
        <v>0</v>
      </c>
    </row>
    <row r="328" spans="1:10">
      <c r="A328">
        <f>IF(COUNTBLANK(B328:J328)&lt;&gt;COLUMNS(B328:J328),327,"")</f>
        <v>0</v>
      </c>
      <c r="D328" s="1">
        <f>IF(B328="", "", "m")</f>
        <v>0</v>
      </c>
      <c r="F328" s="1">
        <f>IF(B328="", "", "air")</f>
        <v>0</v>
      </c>
      <c r="G328" s="1">
        <f>IF(B328="", "", "air")</f>
        <v>0</v>
      </c>
      <c r="H328" s="1">
        <f>IF(B328="", "", "air")</f>
        <v>0</v>
      </c>
      <c r="I328" s="1">
        <f>IF(B328="", "", "air metagenome")</f>
        <v>0</v>
      </c>
      <c r="J328" s="1">
        <f>IF(B328="", "", "655179")</f>
        <v>0</v>
      </c>
    </row>
    <row r="329" spans="1:10">
      <c r="A329">
        <f>IF(COUNTBLANK(B329:J329)&lt;&gt;COLUMNS(B329:J329),328,"")</f>
        <v>0</v>
      </c>
      <c r="D329" s="1">
        <f>IF(B329="", "", "m")</f>
        <v>0</v>
      </c>
      <c r="F329" s="1">
        <f>IF(B329="", "", "air")</f>
        <v>0</v>
      </c>
      <c r="G329" s="1">
        <f>IF(B329="", "", "air")</f>
        <v>0</v>
      </c>
      <c r="H329" s="1">
        <f>IF(B329="", "", "air")</f>
        <v>0</v>
      </c>
      <c r="I329" s="1">
        <f>IF(B329="", "", "air metagenome")</f>
        <v>0</v>
      </c>
      <c r="J329" s="1">
        <f>IF(B329="", "", "655179")</f>
        <v>0</v>
      </c>
    </row>
    <row r="330" spans="1:10">
      <c r="A330">
        <f>IF(COUNTBLANK(B330:J330)&lt;&gt;COLUMNS(B330:J330),329,"")</f>
        <v>0</v>
      </c>
      <c r="D330" s="1">
        <f>IF(B330="", "", "m")</f>
        <v>0</v>
      </c>
      <c r="F330" s="1">
        <f>IF(B330="", "", "air")</f>
        <v>0</v>
      </c>
      <c r="G330" s="1">
        <f>IF(B330="", "", "air")</f>
        <v>0</v>
      </c>
      <c r="H330" s="1">
        <f>IF(B330="", "", "air")</f>
        <v>0</v>
      </c>
      <c r="I330" s="1">
        <f>IF(B330="", "", "air metagenome")</f>
        <v>0</v>
      </c>
      <c r="J330" s="1">
        <f>IF(B330="", "", "655179")</f>
        <v>0</v>
      </c>
    </row>
    <row r="331" spans="1:10">
      <c r="A331">
        <f>IF(COUNTBLANK(B331:J331)&lt;&gt;COLUMNS(B331:J331),330,"")</f>
        <v>0</v>
      </c>
      <c r="D331" s="1">
        <f>IF(B331="", "", "m")</f>
        <v>0</v>
      </c>
      <c r="F331" s="1">
        <f>IF(B331="", "", "air")</f>
        <v>0</v>
      </c>
      <c r="G331" s="1">
        <f>IF(B331="", "", "air")</f>
        <v>0</v>
      </c>
      <c r="H331" s="1">
        <f>IF(B331="", "", "air")</f>
        <v>0</v>
      </c>
      <c r="I331" s="1">
        <f>IF(B331="", "", "air metagenome")</f>
        <v>0</v>
      </c>
      <c r="J331" s="1">
        <f>IF(B331="", "", "655179")</f>
        <v>0</v>
      </c>
    </row>
    <row r="332" spans="1:10">
      <c r="A332">
        <f>IF(COUNTBLANK(B332:J332)&lt;&gt;COLUMNS(B332:J332),331,"")</f>
        <v>0</v>
      </c>
      <c r="D332" s="1">
        <f>IF(B332="", "", "m")</f>
        <v>0</v>
      </c>
      <c r="F332" s="1">
        <f>IF(B332="", "", "air")</f>
        <v>0</v>
      </c>
      <c r="G332" s="1">
        <f>IF(B332="", "", "air")</f>
        <v>0</v>
      </c>
      <c r="H332" s="1">
        <f>IF(B332="", "", "air")</f>
        <v>0</v>
      </c>
      <c r="I332" s="1">
        <f>IF(B332="", "", "air metagenome")</f>
        <v>0</v>
      </c>
      <c r="J332" s="1">
        <f>IF(B332="", "", "655179")</f>
        <v>0</v>
      </c>
    </row>
    <row r="333" spans="1:10">
      <c r="A333">
        <f>IF(COUNTBLANK(B333:J333)&lt;&gt;COLUMNS(B333:J333),332,"")</f>
        <v>0</v>
      </c>
      <c r="D333" s="1">
        <f>IF(B333="", "", "m")</f>
        <v>0</v>
      </c>
      <c r="F333" s="1">
        <f>IF(B333="", "", "air")</f>
        <v>0</v>
      </c>
      <c r="G333" s="1">
        <f>IF(B333="", "", "air")</f>
        <v>0</v>
      </c>
      <c r="H333" s="1">
        <f>IF(B333="", "", "air")</f>
        <v>0</v>
      </c>
      <c r="I333" s="1">
        <f>IF(B333="", "", "air metagenome")</f>
        <v>0</v>
      </c>
      <c r="J333" s="1">
        <f>IF(B333="", "", "655179")</f>
        <v>0</v>
      </c>
    </row>
    <row r="334" spans="1:10">
      <c r="A334">
        <f>IF(COUNTBLANK(B334:J334)&lt;&gt;COLUMNS(B334:J334),333,"")</f>
        <v>0</v>
      </c>
      <c r="D334" s="1">
        <f>IF(B334="", "", "m")</f>
        <v>0</v>
      </c>
      <c r="F334" s="1">
        <f>IF(B334="", "", "air")</f>
        <v>0</v>
      </c>
      <c r="G334" s="1">
        <f>IF(B334="", "", "air")</f>
        <v>0</v>
      </c>
      <c r="H334" s="1">
        <f>IF(B334="", "", "air")</f>
        <v>0</v>
      </c>
      <c r="I334" s="1">
        <f>IF(B334="", "", "air metagenome")</f>
        <v>0</v>
      </c>
      <c r="J334" s="1">
        <f>IF(B334="", "", "655179")</f>
        <v>0</v>
      </c>
    </row>
    <row r="335" spans="1:10">
      <c r="A335">
        <f>IF(COUNTBLANK(B335:J335)&lt;&gt;COLUMNS(B335:J335),334,"")</f>
        <v>0</v>
      </c>
      <c r="D335" s="1">
        <f>IF(B335="", "", "m")</f>
        <v>0</v>
      </c>
      <c r="F335" s="1">
        <f>IF(B335="", "", "air")</f>
        <v>0</v>
      </c>
      <c r="G335" s="1">
        <f>IF(B335="", "", "air")</f>
        <v>0</v>
      </c>
      <c r="H335" s="1">
        <f>IF(B335="", "", "air")</f>
        <v>0</v>
      </c>
      <c r="I335" s="1">
        <f>IF(B335="", "", "air metagenome")</f>
        <v>0</v>
      </c>
      <c r="J335" s="1">
        <f>IF(B335="", "", "655179")</f>
        <v>0</v>
      </c>
    </row>
    <row r="336" spans="1:10">
      <c r="A336">
        <f>IF(COUNTBLANK(B336:J336)&lt;&gt;COLUMNS(B336:J336),335,"")</f>
        <v>0</v>
      </c>
      <c r="D336" s="1">
        <f>IF(B336="", "", "m")</f>
        <v>0</v>
      </c>
      <c r="F336" s="1">
        <f>IF(B336="", "", "air")</f>
        <v>0</v>
      </c>
      <c r="G336" s="1">
        <f>IF(B336="", "", "air")</f>
        <v>0</v>
      </c>
      <c r="H336" s="1">
        <f>IF(B336="", "", "air")</f>
        <v>0</v>
      </c>
      <c r="I336" s="1">
        <f>IF(B336="", "", "air metagenome")</f>
        <v>0</v>
      </c>
      <c r="J336" s="1">
        <f>IF(B336="", "", "655179")</f>
        <v>0</v>
      </c>
    </row>
    <row r="337" spans="1:10">
      <c r="A337">
        <f>IF(COUNTBLANK(B337:J337)&lt;&gt;COLUMNS(B337:J337),336,"")</f>
        <v>0</v>
      </c>
      <c r="D337" s="1">
        <f>IF(B337="", "", "m")</f>
        <v>0</v>
      </c>
      <c r="F337" s="1">
        <f>IF(B337="", "", "air")</f>
        <v>0</v>
      </c>
      <c r="G337" s="1">
        <f>IF(B337="", "", "air")</f>
        <v>0</v>
      </c>
      <c r="H337" s="1">
        <f>IF(B337="", "", "air")</f>
        <v>0</v>
      </c>
      <c r="I337" s="1">
        <f>IF(B337="", "", "air metagenome")</f>
        <v>0</v>
      </c>
      <c r="J337" s="1">
        <f>IF(B337="", "", "655179")</f>
        <v>0</v>
      </c>
    </row>
    <row r="338" spans="1:10">
      <c r="A338">
        <f>IF(COUNTBLANK(B338:J338)&lt;&gt;COLUMNS(B338:J338),337,"")</f>
        <v>0</v>
      </c>
      <c r="D338" s="1">
        <f>IF(B338="", "", "m")</f>
        <v>0</v>
      </c>
      <c r="F338" s="1">
        <f>IF(B338="", "", "air")</f>
        <v>0</v>
      </c>
      <c r="G338" s="1">
        <f>IF(B338="", "", "air")</f>
        <v>0</v>
      </c>
      <c r="H338" s="1">
        <f>IF(B338="", "", "air")</f>
        <v>0</v>
      </c>
      <c r="I338" s="1">
        <f>IF(B338="", "", "air metagenome")</f>
        <v>0</v>
      </c>
      <c r="J338" s="1">
        <f>IF(B338="", "", "655179")</f>
        <v>0</v>
      </c>
    </row>
    <row r="339" spans="1:10">
      <c r="A339">
        <f>IF(COUNTBLANK(B339:J339)&lt;&gt;COLUMNS(B339:J339),338,"")</f>
        <v>0</v>
      </c>
      <c r="D339" s="1">
        <f>IF(B339="", "", "m")</f>
        <v>0</v>
      </c>
      <c r="F339" s="1">
        <f>IF(B339="", "", "air")</f>
        <v>0</v>
      </c>
      <c r="G339" s="1">
        <f>IF(B339="", "", "air")</f>
        <v>0</v>
      </c>
      <c r="H339" s="1">
        <f>IF(B339="", "", "air")</f>
        <v>0</v>
      </c>
      <c r="I339" s="1">
        <f>IF(B339="", "", "air metagenome")</f>
        <v>0</v>
      </c>
      <c r="J339" s="1">
        <f>IF(B339="", "", "655179")</f>
        <v>0</v>
      </c>
    </row>
    <row r="340" spans="1:10">
      <c r="A340">
        <f>IF(COUNTBLANK(B340:J340)&lt;&gt;COLUMNS(B340:J340),339,"")</f>
        <v>0</v>
      </c>
      <c r="D340" s="1">
        <f>IF(B340="", "", "m")</f>
        <v>0</v>
      </c>
      <c r="F340" s="1">
        <f>IF(B340="", "", "air")</f>
        <v>0</v>
      </c>
      <c r="G340" s="1">
        <f>IF(B340="", "", "air")</f>
        <v>0</v>
      </c>
      <c r="H340" s="1">
        <f>IF(B340="", "", "air")</f>
        <v>0</v>
      </c>
      <c r="I340" s="1">
        <f>IF(B340="", "", "air metagenome")</f>
        <v>0</v>
      </c>
      <c r="J340" s="1">
        <f>IF(B340="", "", "655179")</f>
        <v>0</v>
      </c>
    </row>
    <row r="341" spans="1:10">
      <c r="A341">
        <f>IF(COUNTBLANK(B341:J341)&lt;&gt;COLUMNS(B341:J341),340,"")</f>
        <v>0</v>
      </c>
      <c r="D341" s="1">
        <f>IF(B341="", "", "m")</f>
        <v>0</v>
      </c>
      <c r="F341" s="1">
        <f>IF(B341="", "", "air")</f>
        <v>0</v>
      </c>
      <c r="G341" s="1">
        <f>IF(B341="", "", "air")</f>
        <v>0</v>
      </c>
      <c r="H341" s="1">
        <f>IF(B341="", "", "air")</f>
        <v>0</v>
      </c>
      <c r="I341" s="1">
        <f>IF(B341="", "", "air metagenome")</f>
        <v>0</v>
      </c>
      <c r="J341" s="1">
        <f>IF(B341="", "", "655179")</f>
        <v>0</v>
      </c>
    </row>
    <row r="342" spans="1:10">
      <c r="A342">
        <f>IF(COUNTBLANK(B342:J342)&lt;&gt;COLUMNS(B342:J342),341,"")</f>
        <v>0</v>
      </c>
      <c r="D342" s="1">
        <f>IF(B342="", "", "m")</f>
        <v>0</v>
      </c>
      <c r="F342" s="1">
        <f>IF(B342="", "", "air")</f>
        <v>0</v>
      </c>
      <c r="G342" s="1">
        <f>IF(B342="", "", "air")</f>
        <v>0</v>
      </c>
      <c r="H342" s="1">
        <f>IF(B342="", "", "air")</f>
        <v>0</v>
      </c>
      <c r="I342" s="1">
        <f>IF(B342="", "", "air metagenome")</f>
        <v>0</v>
      </c>
      <c r="J342" s="1">
        <f>IF(B342="", "", "655179")</f>
        <v>0</v>
      </c>
    </row>
    <row r="343" spans="1:10">
      <c r="A343">
        <f>IF(COUNTBLANK(B343:J343)&lt;&gt;COLUMNS(B343:J343),342,"")</f>
        <v>0</v>
      </c>
      <c r="D343" s="1">
        <f>IF(B343="", "", "m")</f>
        <v>0</v>
      </c>
      <c r="F343" s="1">
        <f>IF(B343="", "", "air")</f>
        <v>0</v>
      </c>
      <c r="G343" s="1">
        <f>IF(B343="", "", "air")</f>
        <v>0</v>
      </c>
      <c r="H343" s="1">
        <f>IF(B343="", "", "air")</f>
        <v>0</v>
      </c>
      <c r="I343" s="1">
        <f>IF(B343="", "", "air metagenome")</f>
        <v>0</v>
      </c>
      <c r="J343" s="1">
        <f>IF(B343="", "", "655179")</f>
        <v>0</v>
      </c>
    </row>
    <row r="344" spans="1:10">
      <c r="A344">
        <f>IF(COUNTBLANK(B344:J344)&lt;&gt;COLUMNS(B344:J344),343,"")</f>
        <v>0</v>
      </c>
      <c r="D344" s="1">
        <f>IF(B344="", "", "m")</f>
        <v>0</v>
      </c>
      <c r="F344" s="1">
        <f>IF(B344="", "", "air")</f>
        <v>0</v>
      </c>
      <c r="G344" s="1">
        <f>IF(B344="", "", "air")</f>
        <v>0</v>
      </c>
      <c r="H344" s="1">
        <f>IF(B344="", "", "air")</f>
        <v>0</v>
      </c>
      <c r="I344" s="1">
        <f>IF(B344="", "", "air metagenome")</f>
        <v>0</v>
      </c>
      <c r="J344" s="1">
        <f>IF(B344="", "", "655179")</f>
        <v>0</v>
      </c>
    </row>
    <row r="345" spans="1:10">
      <c r="A345">
        <f>IF(COUNTBLANK(B345:J345)&lt;&gt;COLUMNS(B345:J345),344,"")</f>
        <v>0</v>
      </c>
      <c r="D345" s="1">
        <f>IF(B345="", "", "m")</f>
        <v>0</v>
      </c>
      <c r="F345" s="1">
        <f>IF(B345="", "", "air")</f>
        <v>0</v>
      </c>
      <c r="G345" s="1">
        <f>IF(B345="", "", "air")</f>
        <v>0</v>
      </c>
      <c r="H345" s="1">
        <f>IF(B345="", "", "air")</f>
        <v>0</v>
      </c>
      <c r="I345" s="1">
        <f>IF(B345="", "", "air metagenome")</f>
        <v>0</v>
      </c>
      <c r="J345" s="1">
        <f>IF(B345="", "", "655179")</f>
        <v>0</v>
      </c>
    </row>
    <row r="346" spans="1:10">
      <c r="A346">
        <f>IF(COUNTBLANK(B346:J346)&lt;&gt;COLUMNS(B346:J346),345,"")</f>
        <v>0</v>
      </c>
      <c r="D346" s="1">
        <f>IF(B346="", "", "m")</f>
        <v>0</v>
      </c>
      <c r="F346" s="1">
        <f>IF(B346="", "", "air")</f>
        <v>0</v>
      </c>
      <c r="G346" s="1">
        <f>IF(B346="", "", "air")</f>
        <v>0</v>
      </c>
      <c r="H346" s="1">
        <f>IF(B346="", "", "air")</f>
        <v>0</v>
      </c>
      <c r="I346" s="1">
        <f>IF(B346="", "", "air metagenome")</f>
        <v>0</v>
      </c>
      <c r="J346" s="1">
        <f>IF(B346="", "", "655179")</f>
        <v>0</v>
      </c>
    </row>
    <row r="347" spans="1:10">
      <c r="A347">
        <f>IF(COUNTBLANK(B347:J347)&lt;&gt;COLUMNS(B347:J347),346,"")</f>
        <v>0</v>
      </c>
      <c r="D347" s="1">
        <f>IF(B347="", "", "m")</f>
        <v>0</v>
      </c>
      <c r="F347" s="1">
        <f>IF(B347="", "", "air")</f>
        <v>0</v>
      </c>
      <c r="G347" s="1">
        <f>IF(B347="", "", "air")</f>
        <v>0</v>
      </c>
      <c r="H347" s="1">
        <f>IF(B347="", "", "air")</f>
        <v>0</v>
      </c>
      <c r="I347" s="1">
        <f>IF(B347="", "", "air metagenome")</f>
        <v>0</v>
      </c>
      <c r="J347" s="1">
        <f>IF(B347="", "", "655179")</f>
        <v>0</v>
      </c>
    </row>
    <row r="348" spans="1:10">
      <c r="A348">
        <f>IF(COUNTBLANK(B348:J348)&lt;&gt;COLUMNS(B348:J348),347,"")</f>
        <v>0</v>
      </c>
      <c r="D348" s="1">
        <f>IF(B348="", "", "m")</f>
        <v>0</v>
      </c>
      <c r="F348" s="1">
        <f>IF(B348="", "", "air")</f>
        <v>0</v>
      </c>
      <c r="G348" s="1">
        <f>IF(B348="", "", "air")</f>
        <v>0</v>
      </c>
      <c r="H348" s="1">
        <f>IF(B348="", "", "air")</f>
        <v>0</v>
      </c>
      <c r="I348" s="1">
        <f>IF(B348="", "", "air metagenome")</f>
        <v>0</v>
      </c>
      <c r="J348" s="1">
        <f>IF(B348="", "", "655179")</f>
        <v>0</v>
      </c>
    </row>
    <row r="349" spans="1:10">
      <c r="A349">
        <f>IF(COUNTBLANK(B349:J349)&lt;&gt;COLUMNS(B349:J349),348,"")</f>
        <v>0</v>
      </c>
      <c r="D349" s="1">
        <f>IF(B349="", "", "m")</f>
        <v>0</v>
      </c>
      <c r="F349" s="1">
        <f>IF(B349="", "", "air")</f>
        <v>0</v>
      </c>
      <c r="G349" s="1">
        <f>IF(B349="", "", "air")</f>
        <v>0</v>
      </c>
      <c r="H349" s="1">
        <f>IF(B349="", "", "air")</f>
        <v>0</v>
      </c>
      <c r="I349" s="1">
        <f>IF(B349="", "", "air metagenome")</f>
        <v>0</v>
      </c>
      <c r="J349" s="1">
        <f>IF(B349="", "", "655179")</f>
        <v>0</v>
      </c>
    </row>
    <row r="350" spans="1:10">
      <c r="A350">
        <f>IF(COUNTBLANK(B350:J350)&lt;&gt;COLUMNS(B350:J350),349,"")</f>
        <v>0</v>
      </c>
      <c r="D350" s="1">
        <f>IF(B350="", "", "m")</f>
        <v>0</v>
      </c>
      <c r="F350" s="1">
        <f>IF(B350="", "", "air")</f>
        <v>0</v>
      </c>
      <c r="G350" s="1">
        <f>IF(B350="", "", "air")</f>
        <v>0</v>
      </c>
      <c r="H350" s="1">
        <f>IF(B350="", "", "air")</f>
        <v>0</v>
      </c>
      <c r="I350" s="1">
        <f>IF(B350="", "", "air metagenome")</f>
        <v>0</v>
      </c>
      <c r="J350" s="1">
        <f>IF(B350="", "", "655179")</f>
        <v>0</v>
      </c>
    </row>
    <row r="351" spans="1:10">
      <c r="A351">
        <f>IF(COUNTBLANK(B351:J351)&lt;&gt;COLUMNS(B351:J351),350,"")</f>
        <v>0</v>
      </c>
      <c r="D351" s="1">
        <f>IF(B351="", "", "m")</f>
        <v>0</v>
      </c>
      <c r="F351" s="1">
        <f>IF(B351="", "", "air")</f>
        <v>0</v>
      </c>
      <c r="G351" s="1">
        <f>IF(B351="", "", "air")</f>
        <v>0</v>
      </c>
      <c r="H351" s="1">
        <f>IF(B351="", "", "air")</f>
        <v>0</v>
      </c>
      <c r="I351" s="1">
        <f>IF(B351="", "", "air metagenome")</f>
        <v>0</v>
      </c>
      <c r="J351" s="1">
        <f>IF(B351="", "", "655179")</f>
        <v>0</v>
      </c>
    </row>
    <row r="352" spans="1:10">
      <c r="A352">
        <f>IF(COUNTBLANK(B352:J352)&lt;&gt;COLUMNS(B352:J352),351,"")</f>
        <v>0</v>
      </c>
      <c r="D352" s="1">
        <f>IF(B352="", "", "m")</f>
        <v>0</v>
      </c>
      <c r="F352" s="1">
        <f>IF(B352="", "", "air")</f>
        <v>0</v>
      </c>
      <c r="G352" s="1">
        <f>IF(B352="", "", "air")</f>
        <v>0</v>
      </c>
      <c r="H352" s="1">
        <f>IF(B352="", "", "air")</f>
        <v>0</v>
      </c>
      <c r="I352" s="1">
        <f>IF(B352="", "", "air metagenome")</f>
        <v>0</v>
      </c>
      <c r="J352" s="1">
        <f>IF(B352="", "", "655179")</f>
        <v>0</v>
      </c>
    </row>
    <row r="353" spans="1:10">
      <c r="A353">
        <f>IF(COUNTBLANK(B353:J353)&lt;&gt;COLUMNS(B353:J353),352,"")</f>
        <v>0</v>
      </c>
      <c r="D353" s="1">
        <f>IF(B353="", "", "m")</f>
        <v>0</v>
      </c>
      <c r="F353" s="1">
        <f>IF(B353="", "", "air")</f>
        <v>0</v>
      </c>
      <c r="G353" s="1">
        <f>IF(B353="", "", "air")</f>
        <v>0</v>
      </c>
      <c r="H353" s="1">
        <f>IF(B353="", "", "air")</f>
        <v>0</v>
      </c>
      <c r="I353" s="1">
        <f>IF(B353="", "", "air metagenome")</f>
        <v>0</v>
      </c>
      <c r="J353" s="1">
        <f>IF(B353="", "", "655179")</f>
        <v>0</v>
      </c>
    </row>
    <row r="354" spans="1:10">
      <c r="A354">
        <f>IF(COUNTBLANK(B354:J354)&lt;&gt;COLUMNS(B354:J354),353,"")</f>
        <v>0</v>
      </c>
      <c r="D354" s="1">
        <f>IF(B354="", "", "m")</f>
        <v>0</v>
      </c>
      <c r="F354" s="1">
        <f>IF(B354="", "", "air")</f>
        <v>0</v>
      </c>
      <c r="G354" s="1">
        <f>IF(B354="", "", "air")</f>
        <v>0</v>
      </c>
      <c r="H354" s="1">
        <f>IF(B354="", "", "air")</f>
        <v>0</v>
      </c>
      <c r="I354" s="1">
        <f>IF(B354="", "", "air metagenome")</f>
        <v>0</v>
      </c>
      <c r="J354" s="1">
        <f>IF(B354="", "", "655179")</f>
        <v>0</v>
      </c>
    </row>
    <row r="355" spans="1:10">
      <c r="A355">
        <f>IF(COUNTBLANK(B355:J355)&lt;&gt;COLUMNS(B355:J355),354,"")</f>
        <v>0</v>
      </c>
      <c r="D355" s="1">
        <f>IF(B355="", "", "m")</f>
        <v>0</v>
      </c>
      <c r="F355" s="1">
        <f>IF(B355="", "", "air")</f>
        <v>0</v>
      </c>
      <c r="G355" s="1">
        <f>IF(B355="", "", "air")</f>
        <v>0</v>
      </c>
      <c r="H355" s="1">
        <f>IF(B355="", "", "air")</f>
        <v>0</v>
      </c>
      <c r="I355" s="1">
        <f>IF(B355="", "", "air metagenome")</f>
        <v>0</v>
      </c>
      <c r="J355" s="1">
        <f>IF(B355="", "", "655179")</f>
        <v>0</v>
      </c>
    </row>
    <row r="356" spans="1:10">
      <c r="A356">
        <f>IF(COUNTBLANK(B356:J356)&lt;&gt;COLUMNS(B356:J356),355,"")</f>
        <v>0</v>
      </c>
      <c r="D356" s="1">
        <f>IF(B356="", "", "m")</f>
        <v>0</v>
      </c>
      <c r="F356" s="1">
        <f>IF(B356="", "", "air")</f>
        <v>0</v>
      </c>
      <c r="G356" s="1">
        <f>IF(B356="", "", "air")</f>
        <v>0</v>
      </c>
      <c r="H356" s="1">
        <f>IF(B356="", "", "air")</f>
        <v>0</v>
      </c>
      <c r="I356" s="1">
        <f>IF(B356="", "", "air metagenome")</f>
        <v>0</v>
      </c>
      <c r="J356" s="1">
        <f>IF(B356="", "", "655179")</f>
        <v>0</v>
      </c>
    </row>
    <row r="357" spans="1:10">
      <c r="A357">
        <f>IF(COUNTBLANK(B357:J357)&lt;&gt;COLUMNS(B357:J357),356,"")</f>
        <v>0</v>
      </c>
      <c r="D357" s="1">
        <f>IF(B357="", "", "m")</f>
        <v>0</v>
      </c>
      <c r="F357" s="1">
        <f>IF(B357="", "", "air")</f>
        <v>0</v>
      </c>
      <c r="G357" s="1">
        <f>IF(B357="", "", "air")</f>
        <v>0</v>
      </c>
      <c r="H357" s="1">
        <f>IF(B357="", "", "air")</f>
        <v>0</v>
      </c>
      <c r="I357" s="1">
        <f>IF(B357="", "", "air metagenome")</f>
        <v>0</v>
      </c>
      <c r="J357" s="1">
        <f>IF(B357="", "", "655179")</f>
        <v>0</v>
      </c>
    </row>
    <row r="358" spans="1:10">
      <c r="A358">
        <f>IF(COUNTBLANK(B358:J358)&lt;&gt;COLUMNS(B358:J358),357,"")</f>
        <v>0</v>
      </c>
      <c r="D358" s="1">
        <f>IF(B358="", "", "m")</f>
        <v>0</v>
      </c>
      <c r="F358" s="1">
        <f>IF(B358="", "", "air")</f>
        <v>0</v>
      </c>
      <c r="G358" s="1">
        <f>IF(B358="", "", "air")</f>
        <v>0</v>
      </c>
      <c r="H358" s="1">
        <f>IF(B358="", "", "air")</f>
        <v>0</v>
      </c>
      <c r="I358" s="1">
        <f>IF(B358="", "", "air metagenome")</f>
        <v>0</v>
      </c>
      <c r="J358" s="1">
        <f>IF(B358="", "", "655179")</f>
        <v>0</v>
      </c>
    </row>
    <row r="359" spans="1:10">
      <c r="A359">
        <f>IF(COUNTBLANK(B359:J359)&lt;&gt;COLUMNS(B359:J359),358,"")</f>
        <v>0</v>
      </c>
      <c r="D359" s="1">
        <f>IF(B359="", "", "m")</f>
        <v>0</v>
      </c>
      <c r="F359" s="1">
        <f>IF(B359="", "", "air")</f>
        <v>0</v>
      </c>
      <c r="G359" s="1">
        <f>IF(B359="", "", "air")</f>
        <v>0</v>
      </c>
      <c r="H359" s="1">
        <f>IF(B359="", "", "air")</f>
        <v>0</v>
      </c>
      <c r="I359" s="1">
        <f>IF(B359="", "", "air metagenome")</f>
        <v>0</v>
      </c>
      <c r="J359" s="1">
        <f>IF(B359="", "", "655179")</f>
        <v>0</v>
      </c>
    </row>
    <row r="360" spans="1:10">
      <c r="A360">
        <f>IF(COUNTBLANK(B360:J360)&lt;&gt;COLUMNS(B360:J360),359,"")</f>
        <v>0</v>
      </c>
      <c r="D360" s="1">
        <f>IF(B360="", "", "m")</f>
        <v>0</v>
      </c>
      <c r="F360" s="1">
        <f>IF(B360="", "", "air")</f>
        <v>0</v>
      </c>
      <c r="G360" s="1">
        <f>IF(B360="", "", "air")</f>
        <v>0</v>
      </c>
      <c r="H360" s="1">
        <f>IF(B360="", "", "air")</f>
        <v>0</v>
      </c>
      <c r="I360" s="1">
        <f>IF(B360="", "", "air metagenome")</f>
        <v>0</v>
      </c>
      <c r="J360" s="1">
        <f>IF(B360="", "", "655179")</f>
        <v>0</v>
      </c>
    </row>
    <row r="361" spans="1:10">
      <c r="A361">
        <f>IF(COUNTBLANK(B361:J361)&lt;&gt;COLUMNS(B361:J361),360,"")</f>
        <v>0</v>
      </c>
      <c r="D361" s="1">
        <f>IF(B361="", "", "m")</f>
        <v>0</v>
      </c>
      <c r="F361" s="1">
        <f>IF(B361="", "", "air")</f>
        <v>0</v>
      </c>
      <c r="G361" s="1">
        <f>IF(B361="", "", "air")</f>
        <v>0</v>
      </c>
      <c r="H361" s="1">
        <f>IF(B361="", "", "air")</f>
        <v>0</v>
      </c>
      <c r="I361" s="1">
        <f>IF(B361="", "", "air metagenome")</f>
        <v>0</v>
      </c>
      <c r="J361" s="1">
        <f>IF(B361="", "", "655179")</f>
        <v>0</v>
      </c>
    </row>
    <row r="362" spans="1:10">
      <c r="A362">
        <f>IF(COUNTBLANK(B362:J362)&lt;&gt;COLUMNS(B362:J362),361,"")</f>
        <v>0</v>
      </c>
      <c r="D362" s="1">
        <f>IF(B362="", "", "m")</f>
        <v>0</v>
      </c>
      <c r="F362" s="1">
        <f>IF(B362="", "", "air")</f>
        <v>0</v>
      </c>
      <c r="G362" s="1">
        <f>IF(B362="", "", "air")</f>
        <v>0</v>
      </c>
      <c r="H362" s="1">
        <f>IF(B362="", "", "air")</f>
        <v>0</v>
      </c>
      <c r="I362" s="1">
        <f>IF(B362="", "", "air metagenome")</f>
        <v>0</v>
      </c>
      <c r="J362" s="1">
        <f>IF(B362="", "", "655179")</f>
        <v>0</v>
      </c>
    </row>
    <row r="363" spans="1:10">
      <c r="A363">
        <f>IF(COUNTBLANK(B363:J363)&lt;&gt;COLUMNS(B363:J363),362,"")</f>
        <v>0</v>
      </c>
      <c r="D363" s="1">
        <f>IF(B363="", "", "m")</f>
        <v>0</v>
      </c>
      <c r="F363" s="1">
        <f>IF(B363="", "", "air")</f>
        <v>0</v>
      </c>
      <c r="G363" s="1">
        <f>IF(B363="", "", "air")</f>
        <v>0</v>
      </c>
      <c r="H363" s="1">
        <f>IF(B363="", "", "air")</f>
        <v>0</v>
      </c>
      <c r="I363" s="1">
        <f>IF(B363="", "", "air metagenome")</f>
        <v>0</v>
      </c>
      <c r="J363" s="1">
        <f>IF(B363="", "", "655179")</f>
        <v>0</v>
      </c>
    </row>
    <row r="364" spans="1:10">
      <c r="A364">
        <f>IF(COUNTBLANK(B364:J364)&lt;&gt;COLUMNS(B364:J364),363,"")</f>
        <v>0</v>
      </c>
      <c r="D364" s="1">
        <f>IF(B364="", "", "m")</f>
        <v>0</v>
      </c>
      <c r="F364" s="1">
        <f>IF(B364="", "", "air")</f>
        <v>0</v>
      </c>
      <c r="G364" s="1">
        <f>IF(B364="", "", "air")</f>
        <v>0</v>
      </c>
      <c r="H364" s="1">
        <f>IF(B364="", "", "air")</f>
        <v>0</v>
      </c>
      <c r="I364" s="1">
        <f>IF(B364="", "", "air metagenome")</f>
        <v>0</v>
      </c>
      <c r="J364" s="1">
        <f>IF(B364="", "", "655179")</f>
        <v>0</v>
      </c>
    </row>
    <row r="365" spans="1:10">
      <c r="A365">
        <f>IF(COUNTBLANK(B365:J365)&lt;&gt;COLUMNS(B365:J365),364,"")</f>
        <v>0</v>
      </c>
      <c r="D365" s="1">
        <f>IF(B365="", "", "m")</f>
        <v>0</v>
      </c>
      <c r="F365" s="1">
        <f>IF(B365="", "", "air")</f>
        <v>0</v>
      </c>
      <c r="G365" s="1">
        <f>IF(B365="", "", "air")</f>
        <v>0</v>
      </c>
      <c r="H365" s="1">
        <f>IF(B365="", "", "air")</f>
        <v>0</v>
      </c>
      <c r="I365" s="1">
        <f>IF(B365="", "", "air metagenome")</f>
        <v>0</v>
      </c>
      <c r="J365" s="1">
        <f>IF(B365="", "", "655179")</f>
        <v>0</v>
      </c>
    </row>
    <row r="366" spans="1:10">
      <c r="A366">
        <f>IF(COUNTBLANK(B366:J366)&lt;&gt;COLUMNS(B366:J366),365,"")</f>
        <v>0</v>
      </c>
      <c r="D366" s="1">
        <f>IF(B366="", "", "m")</f>
        <v>0</v>
      </c>
      <c r="F366" s="1">
        <f>IF(B366="", "", "air")</f>
        <v>0</v>
      </c>
      <c r="G366" s="1">
        <f>IF(B366="", "", "air")</f>
        <v>0</v>
      </c>
      <c r="H366" s="1">
        <f>IF(B366="", "", "air")</f>
        <v>0</v>
      </c>
      <c r="I366" s="1">
        <f>IF(B366="", "", "air metagenome")</f>
        <v>0</v>
      </c>
      <c r="J366" s="1">
        <f>IF(B366="", "", "655179")</f>
        <v>0</v>
      </c>
    </row>
    <row r="367" spans="1:10">
      <c r="A367">
        <f>IF(COUNTBLANK(B367:J367)&lt;&gt;COLUMNS(B367:J367),366,"")</f>
        <v>0</v>
      </c>
      <c r="D367" s="1">
        <f>IF(B367="", "", "m")</f>
        <v>0</v>
      </c>
      <c r="F367" s="1">
        <f>IF(B367="", "", "air")</f>
        <v>0</v>
      </c>
      <c r="G367" s="1">
        <f>IF(B367="", "", "air")</f>
        <v>0</v>
      </c>
      <c r="H367" s="1">
        <f>IF(B367="", "", "air")</f>
        <v>0</v>
      </c>
      <c r="I367" s="1">
        <f>IF(B367="", "", "air metagenome")</f>
        <v>0</v>
      </c>
      <c r="J367" s="1">
        <f>IF(B367="", "", "655179")</f>
        <v>0</v>
      </c>
    </row>
    <row r="368" spans="1:10">
      <c r="A368">
        <f>IF(COUNTBLANK(B368:J368)&lt;&gt;COLUMNS(B368:J368),367,"")</f>
        <v>0</v>
      </c>
      <c r="D368" s="1">
        <f>IF(B368="", "", "m")</f>
        <v>0</v>
      </c>
      <c r="F368" s="1">
        <f>IF(B368="", "", "air")</f>
        <v>0</v>
      </c>
      <c r="G368" s="1">
        <f>IF(B368="", "", "air")</f>
        <v>0</v>
      </c>
      <c r="H368" s="1">
        <f>IF(B368="", "", "air")</f>
        <v>0</v>
      </c>
      <c r="I368" s="1">
        <f>IF(B368="", "", "air metagenome")</f>
        <v>0</v>
      </c>
      <c r="J368" s="1">
        <f>IF(B368="", "", "655179")</f>
        <v>0</v>
      </c>
    </row>
    <row r="369" spans="1:10">
      <c r="A369">
        <f>IF(COUNTBLANK(B369:J369)&lt;&gt;COLUMNS(B369:J369),368,"")</f>
        <v>0</v>
      </c>
      <c r="D369" s="1">
        <f>IF(B369="", "", "m")</f>
        <v>0</v>
      </c>
      <c r="F369" s="1">
        <f>IF(B369="", "", "air")</f>
        <v>0</v>
      </c>
      <c r="G369" s="1">
        <f>IF(B369="", "", "air")</f>
        <v>0</v>
      </c>
      <c r="H369" s="1">
        <f>IF(B369="", "", "air")</f>
        <v>0</v>
      </c>
      <c r="I369" s="1">
        <f>IF(B369="", "", "air metagenome")</f>
        <v>0</v>
      </c>
      <c r="J369" s="1">
        <f>IF(B369="", "", "655179")</f>
        <v>0</v>
      </c>
    </row>
    <row r="370" spans="1:10">
      <c r="A370">
        <f>IF(COUNTBLANK(B370:J370)&lt;&gt;COLUMNS(B370:J370),369,"")</f>
        <v>0</v>
      </c>
      <c r="D370" s="1">
        <f>IF(B370="", "", "m")</f>
        <v>0</v>
      </c>
      <c r="F370" s="1">
        <f>IF(B370="", "", "air")</f>
        <v>0</v>
      </c>
      <c r="G370" s="1">
        <f>IF(B370="", "", "air")</f>
        <v>0</v>
      </c>
      <c r="H370" s="1">
        <f>IF(B370="", "", "air")</f>
        <v>0</v>
      </c>
      <c r="I370" s="1">
        <f>IF(B370="", "", "air metagenome")</f>
        <v>0</v>
      </c>
      <c r="J370" s="1">
        <f>IF(B370="", "", "655179")</f>
        <v>0</v>
      </c>
    </row>
    <row r="371" spans="1:10">
      <c r="A371">
        <f>IF(COUNTBLANK(B371:J371)&lt;&gt;COLUMNS(B371:J371),370,"")</f>
        <v>0</v>
      </c>
      <c r="D371" s="1">
        <f>IF(B371="", "", "m")</f>
        <v>0</v>
      </c>
      <c r="F371" s="1">
        <f>IF(B371="", "", "air")</f>
        <v>0</v>
      </c>
      <c r="G371" s="1">
        <f>IF(B371="", "", "air")</f>
        <v>0</v>
      </c>
      <c r="H371" s="1">
        <f>IF(B371="", "", "air")</f>
        <v>0</v>
      </c>
      <c r="I371" s="1">
        <f>IF(B371="", "", "air metagenome")</f>
        <v>0</v>
      </c>
      <c r="J371" s="1">
        <f>IF(B371="", "", "655179")</f>
        <v>0</v>
      </c>
    </row>
    <row r="372" spans="1:10">
      <c r="A372">
        <f>IF(COUNTBLANK(B372:J372)&lt;&gt;COLUMNS(B372:J372),371,"")</f>
        <v>0</v>
      </c>
      <c r="D372" s="1">
        <f>IF(B372="", "", "m")</f>
        <v>0</v>
      </c>
      <c r="F372" s="1">
        <f>IF(B372="", "", "air")</f>
        <v>0</v>
      </c>
      <c r="G372" s="1">
        <f>IF(B372="", "", "air")</f>
        <v>0</v>
      </c>
      <c r="H372" s="1">
        <f>IF(B372="", "", "air")</f>
        <v>0</v>
      </c>
      <c r="I372" s="1">
        <f>IF(B372="", "", "air metagenome")</f>
        <v>0</v>
      </c>
      <c r="J372" s="1">
        <f>IF(B372="", "", "655179")</f>
        <v>0</v>
      </c>
    </row>
    <row r="373" spans="1:10">
      <c r="A373">
        <f>IF(COUNTBLANK(B373:J373)&lt;&gt;COLUMNS(B373:J373),372,"")</f>
        <v>0</v>
      </c>
      <c r="D373" s="1">
        <f>IF(B373="", "", "m")</f>
        <v>0</v>
      </c>
      <c r="F373" s="1">
        <f>IF(B373="", "", "air")</f>
        <v>0</v>
      </c>
      <c r="G373" s="1">
        <f>IF(B373="", "", "air")</f>
        <v>0</v>
      </c>
      <c r="H373" s="1">
        <f>IF(B373="", "", "air")</f>
        <v>0</v>
      </c>
      <c r="I373" s="1">
        <f>IF(B373="", "", "air metagenome")</f>
        <v>0</v>
      </c>
      <c r="J373" s="1">
        <f>IF(B373="", "", "655179")</f>
        <v>0</v>
      </c>
    </row>
    <row r="374" spans="1:10">
      <c r="A374">
        <f>IF(COUNTBLANK(B374:J374)&lt;&gt;COLUMNS(B374:J374),373,"")</f>
        <v>0</v>
      </c>
      <c r="D374" s="1">
        <f>IF(B374="", "", "m")</f>
        <v>0</v>
      </c>
      <c r="F374" s="1">
        <f>IF(B374="", "", "air")</f>
        <v>0</v>
      </c>
      <c r="G374" s="1">
        <f>IF(B374="", "", "air")</f>
        <v>0</v>
      </c>
      <c r="H374" s="1">
        <f>IF(B374="", "", "air")</f>
        <v>0</v>
      </c>
      <c r="I374" s="1">
        <f>IF(B374="", "", "air metagenome")</f>
        <v>0</v>
      </c>
      <c r="J374" s="1">
        <f>IF(B374="", "", "655179")</f>
        <v>0</v>
      </c>
    </row>
    <row r="375" spans="1:10">
      <c r="A375">
        <f>IF(COUNTBLANK(B375:J375)&lt;&gt;COLUMNS(B375:J375),374,"")</f>
        <v>0</v>
      </c>
      <c r="D375" s="1">
        <f>IF(B375="", "", "m")</f>
        <v>0</v>
      </c>
      <c r="F375" s="1">
        <f>IF(B375="", "", "air")</f>
        <v>0</v>
      </c>
      <c r="G375" s="1">
        <f>IF(B375="", "", "air")</f>
        <v>0</v>
      </c>
      <c r="H375" s="1">
        <f>IF(B375="", "", "air")</f>
        <v>0</v>
      </c>
      <c r="I375" s="1">
        <f>IF(B375="", "", "air metagenome")</f>
        <v>0</v>
      </c>
      <c r="J375" s="1">
        <f>IF(B375="", "", "655179")</f>
        <v>0</v>
      </c>
    </row>
    <row r="376" spans="1:10">
      <c r="A376">
        <f>IF(COUNTBLANK(B376:J376)&lt;&gt;COLUMNS(B376:J376),375,"")</f>
        <v>0</v>
      </c>
      <c r="D376" s="1">
        <f>IF(B376="", "", "m")</f>
        <v>0</v>
      </c>
      <c r="F376" s="1">
        <f>IF(B376="", "", "air")</f>
        <v>0</v>
      </c>
      <c r="G376" s="1">
        <f>IF(B376="", "", "air")</f>
        <v>0</v>
      </c>
      <c r="H376" s="1">
        <f>IF(B376="", "", "air")</f>
        <v>0</v>
      </c>
      <c r="I376" s="1">
        <f>IF(B376="", "", "air metagenome")</f>
        <v>0</v>
      </c>
      <c r="J376" s="1">
        <f>IF(B376="", "", "655179")</f>
        <v>0</v>
      </c>
    </row>
    <row r="377" spans="1:10">
      <c r="A377">
        <f>IF(COUNTBLANK(B377:J377)&lt;&gt;COLUMNS(B377:J377),376,"")</f>
        <v>0</v>
      </c>
      <c r="D377" s="1">
        <f>IF(B377="", "", "m")</f>
        <v>0</v>
      </c>
      <c r="F377" s="1">
        <f>IF(B377="", "", "air")</f>
        <v>0</v>
      </c>
      <c r="G377" s="1">
        <f>IF(B377="", "", "air")</f>
        <v>0</v>
      </c>
      <c r="H377" s="1">
        <f>IF(B377="", "", "air")</f>
        <v>0</v>
      </c>
      <c r="I377" s="1">
        <f>IF(B377="", "", "air metagenome")</f>
        <v>0</v>
      </c>
      <c r="J377" s="1">
        <f>IF(B377="", "", "655179")</f>
        <v>0</v>
      </c>
    </row>
    <row r="378" spans="1:10">
      <c r="A378">
        <f>IF(COUNTBLANK(B378:J378)&lt;&gt;COLUMNS(B378:J378),377,"")</f>
        <v>0</v>
      </c>
      <c r="D378" s="1">
        <f>IF(B378="", "", "m")</f>
        <v>0</v>
      </c>
      <c r="F378" s="1">
        <f>IF(B378="", "", "air")</f>
        <v>0</v>
      </c>
      <c r="G378" s="1">
        <f>IF(B378="", "", "air")</f>
        <v>0</v>
      </c>
      <c r="H378" s="1">
        <f>IF(B378="", "", "air")</f>
        <v>0</v>
      </c>
      <c r="I378" s="1">
        <f>IF(B378="", "", "air metagenome")</f>
        <v>0</v>
      </c>
      <c r="J378" s="1">
        <f>IF(B378="", "", "655179")</f>
        <v>0</v>
      </c>
    </row>
    <row r="379" spans="1:10">
      <c r="A379">
        <f>IF(COUNTBLANK(B379:J379)&lt;&gt;COLUMNS(B379:J379),378,"")</f>
        <v>0</v>
      </c>
      <c r="D379" s="1">
        <f>IF(B379="", "", "m")</f>
        <v>0</v>
      </c>
      <c r="F379" s="1">
        <f>IF(B379="", "", "air")</f>
        <v>0</v>
      </c>
      <c r="G379" s="1">
        <f>IF(B379="", "", "air")</f>
        <v>0</v>
      </c>
      <c r="H379" s="1">
        <f>IF(B379="", "", "air")</f>
        <v>0</v>
      </c>
      <c r="I379" s="1">
        <f>IF(B379="", "", "air metagenome")</f>
        <v>0</v>
      </c>
      <c r="J379" s="1">
        <f>IF(B379="", "", "655179")</f>
        <v>0</v>
      </c>
    </row>
    <row r="380" spans="1:10">
      <c r="A380">
        <f>IF(COUNTBLANK(B380:J380)&lt;&gt;COLUMNS(B380:J380),379,"")</f>
        <v>0</v>
      </c>
      <c r="D380" s="1">
        <f>IF(B380="", "", "m")</f>
        <v>0</v>
      </c>
      <c r="F380" s="1">
        <f>IF(B380="", "", "air")</f>
        <v>0</v>
      </c>
      <c r="G380" s="1">
        <f>IF(B380="", "", "air")</f>
        <v>0</v>
      </c>
      <c r="H380" s="1">
        <f>IF(B380="", "", "air")</f>
        <v>0</v>
      </c>
      <c r="I380" s="1">
        <f>IF(B380="", "", "air metagenome")</f>
        <v>0</v>
      </c>
      <c r="J380" s="1">
        <f>IF(B380="", "", "655179")</f>
        <v>0</v>
      </c>
    </row>
    <row r="381" spans="1:10">
      <c r="A381">
        <f>IF(COUNTBLANK(B381:J381)&lt;&gt;COLUMNS(B381:J381),380,"")</f>
        <v>0</v>
      </c>
      <c r="D381" s="1">
        <f>IF(B381="", "", "m")</f>
        <v>0</v>
      </c>
      <c r="F381" s="1">
        <f>IF(B381="", "", "air")</f>
        <v>0</v>
      </c>
      <c r="G381" s="1">
        <f>IF(B381="", "", "air")</f>
        <v>0</v>
      </c>
      <c r="H381" s="1">
        <f>IF(B381="", "", "air")</f>
        <v>0</v>
      </c>
      <c r="I381" s="1">
        <f>IF(B381="", "", "air metagenome")</f>
        <v>0</v>
      </c>
      <c r="J381" s="1">
        <f>IF(B381="", "", "655179")</f>
        <v>0</v>
      </c>
    </row>
    <row r="382" spans="1:10">
      <c r="A382">
        <f>IF(COUNTBLANK(B382:J382)&lt;&gt;COLUMNS(B382:J382),381,"")</f>
        <v>0</v>
      </c>
      <c r="D382" s="1">
        <f>IF(B382="", "", "m")</f>
        <v>0</v>
      </c>
      <c r="F382" s="1">
        <f>IF(B382="", "", "air")</f>
        <v>0</v>
      </c>
      <c r="G382" s="1">
        <f>IF(B382="", "", "air")</f>
        <v>0</v>
      </c>
      <c r="H382" s="1">
        <f>IF(B382="", "", "air")</f>
        <v>0</v>
      </c>
      <c r="I382" s="1">
        <f>IF(B382="", "", "air metagenome")</f>
        <v>0</v>
      </c>
      <c r="J382" s="1">
        <f>IF(B382="", "", "655179")</f>
        <v>0</v>
      </c>
    </row>
    <row r="383" spans="1:10">
      <c r="A383">
        <f>IF(COUNTBLANK(B383:J383)&lt;&gt;COLUMNS(B383:J383),382,"")</f>
        <v>0</v>
      </c>
      <c r="D383" s="1">
        <f>IF(B383="", "", "m")</f>
        <v>0</v>
      </c>
      <c r="F383" s="1">
        <f>IF(B383="", "", "air")</f>
        <v>0</v>
      </c>
      <c r="G383" s="1">
        <f>IF(B383="", "", "air")</f>
        <v>0</v>
      </c>
      <c r="H383" s="1">
        <f>IF(B383="", "", "air")</f>
        <v>0</v>
      </c>
      <c r="I383" s="1">
        <f>IF(B383="", "", "air metagenome")</f>
        <v>0</v>
      </c>
      <c r="J383" s="1">
        <f>IF(B383="", "", "655179")</f>
        <v>0</v>
      </c>
    </row>
    <row r="384" spans="1:10">
      <c r="A384">
        <f>IF(COUNTBLANK(B384:J384)&lt;&gt;COLUMNS(B384:J384),383,"")</f>
        <v>0</v>
      </c>
      <c r="D384" s="1">
        <f>IF(B384="", "", "m")</f>
        <v>0</v>
      </c>
      <c r="F384" s="1">
        <f>IF(B384="", "", "air")</f>
        <v>0</v>
      </c>
      <c r="G384" s="1">
        <f>IF(B384="", "", "air")</f>
        <v>0</v>
      </c>
      <c r="H384" s="1">
        <f>IF(B384="", "", "air")</f>
        <v>0</v>
      </c>
      <c r="I384" s="1">
        <f>IF(B384="", "", "air metagenome")</f>
        <v>0</v>
      </c>
      <c r="J384" s="1">
        <f>IF(B384="", "", "655179")</f>
        <v>0</v>
      </c>
    </row>
    <row r="385" spans="1:10">
      <c r="A385">
        <f>IF(COUNTBLANK(B385:J385)&lt;&gt;COLUMNS(B385:J385),384,"")</f>
        <v>0</v>
      </c>
      <c r="D385" s="1">
        <f>IF(B385="", "", "m")</f>
        <v>0</v>
      </c>
      <c r="F385" s="1">
        <f>IF(B385="", "", "air")</f>
        <v>0</v>
      </c>
      <c r="G385" s="1">
        <f>IF(B385="", "", "air")</f>
        <v>0</v>
      </c>
      <c r="H385" s="1">
        <f>IF(B385="", "", "air")</f>
        <v>0</v>
      </c>
      <c r="I385" s="1">
        <f>IF(B385="", "", "air metagenome")</f>
        <v>0</v>
      </c>
      <c r="J385" s="1">
        <f>IF(B385="", "", "655179")</f>
        <v>0</v>
      </c>
    </row>
    <row r="386" spans="1:10">
      <c r="A386">
        <f>IF(COUNTBLANK(B386:J386)&lt;&gt;COLUMNS(B386:J386),385,"")</f>
        <v>0</v>
      </c>
      <c r="D386" s="1">
        <f>IF(B386="", "", "m")</f>
        <v>0</v>
      </c>
      <c r="F386" s="1">
        <f>IF(B386="", "", "air")</f>
        <v>0</v>
      </c>
      <c r="G386" s="1">
        <f>IF(B386="", "", "air")</f>
        <v>0</v>
      </c>
      <c r="H386" s="1">
        <f>IF(B386="", "", "air")</f>
        <v>0</v>
      </c>
      <c r="I386" s="1">
        <f>IF(B386="", "", "air metagenome")</f>
        <v>0</v>
      </c>
      <c r="J386" s="1">
        <f>IF(B386="", "", "655179")</f>
        <v>0</v>
      </c>
    </row>
    <row r="387" spans="1:10">
      <c r="A387">
        <f>IF(COUNTBLANK(B387:J387)&lt;&gt;COLUMNS(B387:J387),386,"")</f>
        <v>0</v>
      </c>
      <c r="D387" s="1">
        <f>IF(B387="", "", "m")</f>
        <v>0</v>
      </c>
      <c r="F387" s="1">
        <f>IF(B387="", "", "air")</f>
        <v>0</v>
      </c>
      <c r="G387" s="1">
        <f>IF(B387="", "", "air")</f>
        <v>0</v>
      </c>
      <c r="H387" s="1">
        <f>IF(B387="", "", "air")</f>
        <v>0</v>
      </c>
      <c r="I387" s="1">
        <f>IF(B387="", "", "air metagenome")</f>
        <v>0</v>
      </c>
      <c r="J387" s="1">
        <f>IF(B387="", "", "655179")</f>
        <v>0</v>
      </c>
    </row>
    <row r="388" spans="1:10">
      <c r="A388">
        <f>IF(COUNTBLANK(B388:J388)&lt;&gt;COLUMNS(B388:J388),387,"")</f>
        <v>0</v>
      </c>
      <c r="D388" s="1">
        <f>IF(B388="", "", "m")</f>
        <v>0</v>
      </c>
      <c r="F388" s="1">
        <f>IF(B388="", "", "air")</f>
        <v>0</v>
      </c>
      <c r="G388" s="1">
        <f>IF(B388="", "", "air")</f>
        <v>0</v>
      </c>
      <c r="H388" s="1">
        <f>IF(B388="", "", "air")</f>
        <v>0</v>
      </c>
      <c r="I388" s="1">
        <f>IF(B388="", "", "air metagenome")</f>
        <v>0</v>
      </c>
      <c r="J388" s="1">
        <f>IF(B388="", "", "655179")</f>
        <v>0</v>
      </c>
    </row>
    <row r="389" spans="1:10">
      <c r="A389">
        <f>IF(COUNTBLANK(B389:J389)&lt;&gt;COLUMNS(B389:J389),388,"")</f>
        <v>0</v>
      </c>
      <c r="D389" s="1">
        <f>IF(B389="", "", "m")</f>
        <v>0</v>
      </c>
      <c r="F389" s="1">
        <f>IF(B389="", "", "air")</f>
        <v>0</v>
      </c>
      <c r="G389" s="1">
        <f>IF(B389="", "", "air")</f>
        <v>0</v>
      </c>
      <c r="H389" s="1">
        <f>IF(B389="", "", "air")</f>
        <v>0</v>
      </c>
      <c r="I389" s="1">
        <f>IF(B389="", "", "air metagenome")</f>
        <v>0</v>
      </c>
      <c r="J389" s="1">
        <f>IF(B389="", "", "655179")</f>
        <v>0</v>
      </c>
    </row>
    <row r="390" spans="1:10">
      <c r="A390">
        <f>IF(COUNTBLANK(B390:J390)&lt;&gt;COLUMNS(B390:J390),389,"")</f>
        <v>0</v>
      </c>
      <c r="D390" s="1">
        <f>IF(B390="", "", "m")</f>
        <v>0</v>
      </c>
      <c r="F390" s="1">
        <f>IF(B390="", "", "air")</f>
        <v>0</v>
      </c>
      <c r="G390" s="1">
        <f>IF(B390="", "", "air")</f>
        <v>0</v>
      </c>
      <c r="H390" s="1">
        <f>IF(B390="", "", "air")</f>
        <v>0</v>
      </c>
      <c r="I390" s="1">
        <f>IF(B390="", "", "air metagenome")</f>
        <v>0</v>
      </c>
      <c r="J390" s="1">
        <f>IF(B390="", "", "655179")</f>
        <v>0</v>
      </c>
    </row>
    <row r="391" spans="1:10">
      <c r="A391">
        <f>IF(COUNTBLANK(B391:J391)&lt;&gt;COLUMNS(B391:J391),390,"")</f>
        <v>0</v>
      </c>
      <c r="D391" s="1">
        <f>IF(B391="", "", "m")</f>
        <v>0</v>
      </c>
      <c r="F391" s="1">
        <f>IF(B391="", "", "air")</f>
        <v>0</v>
      </c>
      <c r="G391" s="1">
        <f>IF(B391="", "", "air")</f>
        <v>0</v>
      </c>
      <c r="H391" s="1">
        <f>IF(B391="", "", "air")</f>
        <v>0</v>
      </c>
      <c r="I391" s="1">
        <f>IF(B391="", "", "air metagenome")</f>
        <v>0</v>
      </c>
      <c r="J391" s="1">
        <f>IF(B391="", "", "655179")</f>
        <v>0</v>
      </c>
    </row>
    <row r="392" spans="1:10">
      <c r="A392">
        <f>IF(COUNTBLANK(B392:J392)&lt;&gt;COLUMNS(B392:J392),391,"")</f>
        <v>0</v>
      </c>
      <c r="D392" s="1">
        <f>IF(B392="", "", "m")</f>
        <v>0</v>
      </c>
      <c r="F392" s="1">
        <f>IF(B392="", "", "air")</f>
        <v>0</v>
      </c>
      <c r="G392" s="1">
        <f>IF(B392="", "", "air")</f>
        <v>0</v>
      </c>
      <c r="H392" s="1">
        <f>IF(B392="", "", "air")</f>
        <v>0</v>
      </c>
      <c r="I392" s="1">
        <f>IF(B392="", "", "air metagenome")</f>
        <v>0</v>
      </c>
      <c r="J392" s="1">
        <f>IF(B392="", "", "655179")</f>
        <v>0</v>
      </c>
    </row>
    <row r="393" spans="1:10">
      <c r="A393">
        <f>IF(COUNTBLANK(B393:J393)&lt;&gt;COLUMNS(B393:J393),392,"")</f>
        <v>0</v>
      </c>
      <c r="D393" s="1">
        <f>IF(B393="", "", "m")</f>
        <v>0</v>
      </c>
      <c r="F393" s="1">
        <f>IF(B393="", "", "air")</f>
        <v>0</v>
      </c>
      <c r="G393" s="1">
        <f>IF(B393="", "", "air")</f>
        <v>0</v>
      </c>
      <c r="H393" s="1">
        <f>IF(B393="", "", "air")</f>
        <v>0</v>
      </c>
      <c r="I393" s="1">
        <f>IF(B393="", "", "air metagenome")</f>
        <v>0</v>
      </c>
      <c r="J393" s="1">
        <f>IF(B393="", "", "655179")</f>
        <v>0</v>
      </c>
    </row>
    <row r="394" spans="1:10">
      <c r="A394">
        <f>IF(COUNTBLANK(B394:J394)&lt;&gt;COLUMNS(B394:J394),393,"")</f>
        <v>0</v>
      </c>
      <c r="D394" s="1">
        <f>IF(B394="", "", "m")</f>
        <v>0</v>
      </c>
      <c r="F394" s="1">
        <f>IF(B394="", "", "air")</f>
        <v>0</v>
      </c>
      <c r="G394" s="1">
        <f>IF(B394="", "", "air")</f>
        <v>0</v>
      </c>
      <c r="H394" s="1">
        <f>IF(B394="", "", "air")</f>
        <v>0</v>
      </c>
      <c r="I394" s="1">
        <f>IF(B394="", "", "air metagenome")</f>
        <v>0</v>
      </c>
      <c r="J394" s="1">
        <f>IF(B394="", "", "655179")</f>
        <v>0</v>
      </c>
    </row>
    <row r="395" spans="1:10">
      <c r="A395">
        <f>IF(COUNTBLANK(B395:J395)&lt;&gt;COLUMNS(B395:J395),394,"")</f>
        <v>0</v>
      </c>
      <c r="D395" s="1">
        <f>IF(B395="", "", "m")</f>
        <v>0</v>
      </c>
      <c r="F395" s="1">
        <f>IF(B395="", "", "air")</f>
        <v>0</v>
      </c>
      <c r="G395" s="1">
        <f>IF(B395="", "", "air")</f>
        <v>0</v>
      </c>
      <c r="H395" s="1">
        <f>IF(B395="", "", "air")</f>
        <v>0</v>
      </c>
      <c r="I395" s="1">
        <f>IF(B395="", "", "air metagenome")</f>
        <v>0</v>
      </c>
      <c r="J395" s="1">
        <f>IF(B395="", "", "655179")</f>
        <v>0</v>
      </c>
    </row>
    <row r="396" spans="1:10">
      <c r="A396">
        <f>IF(COUNTBLANK(B396:J396)&lt;&gt;COLUMNS(B396:J396),395,"")</f>
        <v>0</v>
      </c>
      <c r="D396" s="1">
        <f>IF(B396="", "", "m")</f>
        <v>0</v>
      </c>
      <c r="F396" s="1">
        <f>IF(B396="", "", "air")</f>
        <v>0</v>
      </c>
      <c r="G396" s="1">
        <f>IF(B396="", "", "air")</f>
        <v>0</v>
      </c>
      <c r="H396" s="1">
        <f>IF(B396="", "", "air")</f>
        <v>0</v>
      </c>
      <c r="I396" s="1">
        <f>IF(B396="", "", "air metagenome")</f>
        <v>0</v>
      </c>
      <c r="J396" s="1">
        <f>IF(B396="", "", "655179")</f>
        <v>0</v>
      </c>
    </row>
    <row r="397" spans="1:10">
      <c r="A397">
        <f>IF(COUNTBLANK(B397:J397)&lt;&gt;COLUMNS(B397:J397),396,"")</f>
        <v>0</v>
      </c>
      <c r="D397" s="1">
        <f>IF(B397="", "", "m")</f>
        <v>0</v>
      </c>
      <c r="F397" s="1">
        <f>IF(B397="", "", "air")</f>
        <v>0</v>
      </c>
      <c r="G397" s="1">
        <f>IF(B397="", "", "air")</f>
        <v>0</v>
      </c>
      <c r="H397" s="1">
        <f>IF(B397="", "", "air")</f>
        <v>0</v>
      </c>
      <c r="I397" s="1">
        <f>IF(B397="", "", "air metagenome")</f>
        <v>0</v>
      </c>
      <c r="J397" s="1">
        <f>IF(B397="", "", "655179")</f>
        <v>0</v>
      </c>
    </row>
    <row r="398" spans="1:10">
      <c r="A398">
        <f>IF(COUNTBLANK(B398:J398)&lt;&gt;COLUMNS(B398:J398),397,"")</f>
        <v>0</v>
      </c>
      <c r="D398" s="1">
        <f>IF(B398="", "", "m")</f>
        <v>0</v>
      </c>
      <c r="F398" s="1">
        <f>IF(B398="", "", "air")</f>
        <v>0</v>
      </c>
      <c r="G398" s="1">
        <f>IF(B398="", "", "air")</f>
        <v>0</v>
      </c>
      <c r="H398" s="1">
        <f>IF(B398="", "", "air")</f>
        <v>0</v>
      </c>
      <c r="I398" s="1">
        <f>IF(B398="", "", "air metagenome")</f>
        <v>0</v>
      </c>
      <c r="J398" s="1">
        <f>IF(B398="", "", "655179")</f>
        <v>0</v>
      </c>
    </row>
    <row r="399" spans="1:10">
      <c r="A399">
        <f>IF(COUNTBLANK(B399:J399)&lt;&gt;COLUMNS(B399:J399),398,"")</f>
        <v>0</v>
      </c>
      <c r="D399" s="1">
        <f>IF(B399="", "", "m")</f>
        <v>0</v>
      </c>
      <c r="F399" s="1">
        <f>IF(B399="", "", "air")</f>
        <v>0</v>
      </c>
      <c r="G399" s="1">
        <f>IF(B399="", "", "air")</f>
        <v>0</v>
      </c>
      <c r="H399" s="1">
        <f>IF(B399="", "", "air")</f>
        <v>0</v>
      </c>
      <c r="I399" s="1">
        <f>IF(B399="", "", "air metagenome")</f>
        <v>0</v>
      </c>
      <c r="J399" s="1">
        <f>IF(B399="", "", "655179")</f>
        <v>0</v>
      </c>
    </row>
    <row r="400" spans="1:10">
      <c r="A400">
        <f>IF(COUNTBLANK(B400:J400)&lt;&gt;COLUMNS(B400:J400),399,"")</f>
        <v>0</v>
      </c>
      <c r="D400" s="1">
        <f>IF(B400="", "", "m")</f>
        <v>0</v>
      </c>
      <c r="F400" s="1">
        <f>IF(B400="", "", "air")</f>
        <v>0</v>
      </c>
      <c r="G400" s="1">
        <f>IF(B400="", "", "air")</f>
        <v>0</v>
      </c>
      <c r="H400" s="1">
        <f>IF(B400="", "", "air")</f>
        <v>0</v>
      </c>
      <c r="I400" s="1">
        <f>IF(B400="", "", "air metagenome")</f>
        <v>0</v>
      </c>
      <c r="J400" s="1">
        <f>IF(B400="", "", "655179")</f>
        <v>0</v>
      </c>
    </row>
    <row r="401" spans="1:10">
      <c r="A401">
        <f>IF(COUNTBLANK(B401:J401)&lt;&gt;COLUMNS(B401:J401),400,"")</f>
        <v>0</v>
      </c>
      <c r="D401" s="1">
        <f>IF(B401="", "", "m")</f>
        <v>0</v>
      </c>
      <c r="F401" s="1">
        <f>IF(B401="", "", "air")</f>
        <v>0</v>
      </c>
      <c r="G401" s="1">
        <f>IF(B401="", "", "air")</f>
        <v>0</v>
      </c>
      <c r="H401" s="1">
        <f>IF(B401="", "", "air")</f>
        <v>0</v>
      </c>
      <c r="I401" s="1">
        <f>IF(B401="", "", "air metagenome")</f>
        <v>0</v>
      </c>
      <c r="J401" s="1">
        <f>IF(B401="", "", "655179")</f>
        <v>0</v>
      </c>
    </row>
    <row r="402" spans="1:10">
      <c r="A402">
        <f>IF(COUNTBLANK(B402:J402)&lt;&gt;COLUMNS(B402:J402),401,"")</f>
        <v>0</v>
      </c>
      <c r="D402" s="1">
        <f>IF(B402="", "", "m")</f>
        <v>0</v>
      </c>
      <c r="F402" s="1">
        <f>IF(B402="", "", "air")</f>
        <v>0</v>
      </c>
      <c r="G402" s="1">
        <f>IF(B402="", "", "air")</f>
        <v>0</v>
      </c>
      <c r="H402" s="1">
        <f>IF(B402="", "", "air")</f>
        <v>0</v>
      </c>
      <c r="I402" s="1">
        <f>IF(B402="", "", "air metagenome")</f>
        <v>0</v>
      </c>
      <c r="J402" s="1">
        <f>IF(B402="", "", "655179")</f>
        <v>0</v>
      </c>
    </row>
    <row r="403" spans="1:10">
      <c r="A403">
        <f>IF(COUNTBLANK(B403:J403)&lt;&gt;COLUMNS(B403:J403),402,"")</f>
        <v>0</v>
      </c>
      <c r="D403" s="1">
        <f>IF(B403="", "", "m")</f>
        <v>0</v>
      </c>
      <c r="F403" s="1">
        <f>IF(B403="", "", "air")</f>
        <v>0</v>
      </c>
      <c r="G403" s="1">
        <f>IF(B403="", "", "air")</f>
        <v>0</v>
      </c>
      <c r="H403" s="1">
        <f>IF(B403="", "", "air")</f>
        <v>0</v>
      </c>
      <c r="I403" s="1">
        <f>IF(B403="", "", "air metagenome")</f>
        <v>0</v>
      </c>
      <c r="J403" s="1">
        <f>IF(B403="", "", "655179")</f>
        <v>0</v>
      </c>
    </row>
    <row r="404" spans="1:10">
      <c r="A404">
        <f>IF(COUNTBLANK(B404:J404)&lt;&gt;COLUMNS(B404:J404),403,"")</f>
        <v>0</v>
      </c>
      <c r="D404" s="1">
        <f>IF(B404="", "", "m")</f>
        <v>0</v>
      </c>
      <c r="F404" s="1">
        <f>IF(B404="", "", "air")</f>
        <v>0</v>
      </c>
      <c r="G404" s="1">
        <f>IF(B404="", "", "air")</f>
        <v>0</v>
      </c>
      <c r="H404" s="1">
        <f>IF(B404="", "", "air")</f>
        <v>0</v>
      </c>
      <c r="I404" s="1">
        <f>IF(B404="", "", "air metagenome")</f>
        <v>0</v>
      </c>
      <c r="J404" s="1">
        <f>IF(B404="", "", "655179")</f>
        <v>0</v>
      </c>
    </row>
    <row r="405" spans="1:10">
      <c r="A405">
        <f>IF(COUNTBLANK(B405:J405)&lt;&gt;COLUMNS(B405:J405),404,"")</f>
        <v>0</v>
      </c>
      <c r="D405" s="1">
        <f>IF(B405="", "", "m")</f>
        <v>0</v>
      </c>
      <c r="F405" s="1">
        <f>IF(B405="", "", "air")</f>
        <v>0</v>
      </c>
      <c r="G405" s="1">
        <f>IF(B405="", "", "air")</f>
        <v>0</v>
      </c>
      <c r="H405" s="1">
        <f>IF(B405="", "", "air")</f>
        <v>0</v>
      </c>
      <c r="I405" s="1">
        <f>IF(B405="", "", "air metagenome")</f>
        <v>0</v>
      </c>
      <c r="J405" s="1">
        <f>IF(B405="", "", "655179")</f>
        <v>0</v>
      </c>
    </row>
    <row r="406" spans="1:10">
      <c r="A406">
        <f>IF(COUNTBLANK(B406:J406)&lt;&gt;COLUMNS(B406:J406),405,"")</f>
        <v>0</v>
      </c>
      <c r="D406" s="1">
        <f>IF(B406="", "", "m")</f>
        <v>0</v>
      </c>
      <c r="F406" s="1">
        <f>IF(B406="", "", "air")</f>
        <v>0</v>
      </c>
      <c r="G406" s="1">
        <f>IF(B406="", "", "air")</f>
        <v>0</v>
      </c>
      <c r="H406" s="1">
        <f>IF(B406="", "", "air")</f>
        <v>0</v>
      </c>
      <c r="I406" s="1">
        <f>IF(B406="", "", "air metagenome")</f>
        <v>0</v>
      </c>
      <c r="J406" s="1">
        <f>IF(B406="", "", "655179")</f>
        <v>0</v>
      </c>
    </row>
    <row r="407" spans="1:10">
      <c r="A407">
        <f>IF(COUNTBLANK(B407:J407)&lt;&gt;COLUMNS(B407:J407),406,"")</f>
        <v>0</v>
      </c>
      <c r="D407" s="1">
        <f>IF(B407="", "", "m")</f>
        <v>0</v>
      </c>
      <c r="F407" s="1">
        <f>IF(B407="", "", "air")</f>
        <v>0</v>
      </c>
      <c r="G407" s="1">
        <f>IF(B407="", "", "air")</f>
        <v>0</v>
      </c>
      <c r="H407" s="1">
        <f>IF(B407="", "", "air")</f>
        <v>0</v>
      </c>
      <c r="I407" s="1">
        <f>IF(B407="", "", "air metagenome")</f>
        <v>0</v>
      </c>
      <c r="J407" s="1">
        <f>IF(B407="", "", "655179")</f>
        <v>0</v>
      </c>
    </row>
    <row r="408" spans="1:10">
      <c r="A408">
        <f>IF(COUNTBLANK(B408:J408)&lt;&gt;COLUMNS(B408:J408),407,"")</f>
        <v>0</v>
      </c>
      <c r="D408" s="1">
        <f>IF(B408="", "", "m")</f>
        <v>0</v>
      </c>
      <c r="F408" s="1">
        <f>IF(B408="", "", "air")</f>
        <v>0</v>
      </c>
      <c r="G408" s="1">
        <f>IF(B408="", "", "air")</f>
        <v>0</v>
      </c>
      <c r="H408" s="1">
        <f>IF(B408="", "", "air")</f>
        <v>0</v>
      </c>
      <c r="I408" s="1">
        <f>IF(B408="", "", "air metagenome")</f>
        <v>0</v>
      </c>
      <c r="J408" s="1">
        <f>IF(B408="", "", "655179")</f>
        <v>0</v>
      </c>
    </row>
    <row r="409" spans="1:10">
      <c r="A409">
        <f>IF(COUNTBLANK(B409:J409)&lt;&gt;COLUMNS(B409:J409),408,"")</f>
        <v>0</v>
      </c>
      <c r="D409" s="1">
        <f>IF(B409="", "", "m")</f>
        <v>0</v>
      </c>
      <c r="F409" s="1">
        <f>IF(B409="", "", "air")</f>
        <v>0</v>
      </c>
      <c r="G409" s="1">
        <f>IF(B409="", "", "air")</f>
        <v>0</v>
      </c>
      <c r="H409" s="1">
        <f>IF(B409="", "", "air")</f>
        <v>0</v>
      </c>
      <c r="I409" s="1">
        <f>IF(B409="", "", "air metagenome")</f>
        <v>0</v>
      </c>
      <c r="J409" s="1">
        <f>IF(B409="", "", "655179")</f>
        <v>0</v>
      </c>
    </row>
    <row r="410" spans="1:10">
      <c r="A410">
        <f>IF(COUNTBLANK(B410:J410)&lt;&gt;COLUMNS(B410:J410),409,"")</f>
        <v>0</v>
      </c>
      <c r="D410" s="1">
        <f>IF(B410="", "", "m")</f>
        <v>0</v>
      </c>
      <c r="F410" s="1">
        <f>IF(B410="", "", "air")</f>
        <v>0</v>
      </c>
      <c r="G410" s="1">
        <f>IF(B410="", "", "air")</f>
        <v>0</v>
      </c>
      <c r="H410" s="1">
        <f>IF(B410="", "", "air")</f>
        <v>0</v>
      </c>
      <c r="I410" s="1">
        <f>IF(B410="", "", "air metagenome")</f>
        <v>0</v>
      </c>
      <c r="J410" s="1">
        <f>IF(B410="", "", "655179")</f>
        <v>0</v>
      </c>
    </row>
    <row r="411" spans="1:10">
      <c r="A411">
        <f>IF(COUNTBLANK(B411:J411)&lt;&gt;COLUMNS(B411:J411),410,"")</f>
        <v>0</v>
      </c>
      <c r="D411" s="1">
        <f>IF(B411="", "", "m")</f>
        <v>0</v>
      </c>
      <c r="F411" s="1">
        <f>IF(B411="", "", "air")</f>
        <v>0</v>
      </c>
      <c r="G411" s="1">
        <f>IF(B411="", "", "air")</f>
        <v>0</v>
      </c>
      <c r="H411" s="1">
        <f>IF(B411="", "", "air")</f>
        <v>0</v>
      </c>
      <c r="I411" s="1">
        <f>IF(B411="", "", "air metagenome")</f>
        <v>0</v>
      </c>
      <c r="J411" s="1">
        <f>IF(B411="", "", "655179")</f>
        <v>0</v>
      </c>
    </row>
    <row r="412" spans="1:10">
      <c r="A412">
        <f>IF(COUNTBLANK(B412:J412)&lt;&gt;COLUMNS(B412:J412),411,"")</f>
        <v>0</v>
      </c>
      <c r="D412" s="1">
        <f>IF(B412="", "", "m")</f>
        <v>0</v>
      </c>
      <c r="F412" s="1">
        <f>IF(B412="", "", "air")</f>
        <v>0</v>
      </c>
      <c r="G412" s="1">
        <f>IF(B412="", "", "air")</f>
        <v>0</v>
      </c>
      <c r="H412" s="1">
        <f>IF(B412="", "", "air")</f>
        <v>0</v>
      </c>
      <c r="I412" s="1">
        <f>IF(B412="", "", "air metagenome")</f>
        <v>0</v>
      </c>
      <c r="J412" s="1">
        <f>IF(B412="", "", "655179")</f>
        <v>0</v>
      </c>
    </row>
    <row r="413" spans="1:10">
      <c r="A413">
        <f>IF(COUNTBLANK(B413:J413)&lt;&gt;COLUMNS(B413:J413),412,"")</f>
        <v>0</v>
      </c>
      <c r="D413" s="1">
        <f>IF(B413="", "", "m")</f>
        <v>0</v>
      </c>
      <c r="F413" s="1">
        <f>IF(B413="", "", "air")</f>
        <v>0</v>
      </c>
      <c r="G413" s="1">
        <f>IF(B413="", "", "air")</f>
        <v>0</v>
      </c>
      <c r="H413" s="1">
        <f>IF(B413="", "", "air")</f>
        <v>0</v>
      </c>
      <c r="I413" s="1">
        <f>IF(B413="", "", "air metagenome")</f>
        <v>0</v>
      </c>
      <c r="J413" s="1">
        <f>IF(B413="", "", "655179")</f>
        <v>0</v>
      </c>
    </row>
    <row r="414" spans="1:10">
      <c r="A414">
        <f>IF(COUNTBLANK(B414:J414)&lt;&gt;COLUMNS(B414:J414),413,"")</f>
        <v>0</v>
      </c>
      <c r="D414" s="1">
        <f>IF(B414="", "", "m")</f>
        <v>0</v>
      </c>
      <c r="F414" s="1">
        <f>IF(B414="", "", "air")</f>
        <v>0</v>
      </c>
      <c r="G414" s="1">
        <f>IF(B414="", "", "air")</f>
        <v>0</v>
      </c>
      <c r="H414" s="1">
        <f>IF(B414="", "", "air")</f>
        <v>0</v>
      </c>
      <c r="I414" s="1">
        <f>IF(B414="", "", "air metagenome")</f>
        <v>0</v>
      </c>
      <c r="J414" s="1">
        <f>IF(B414="", "", "655179")</f>
        <v>0</v>
      </c>
    </row>
    <row r="415" spans="1:10">
      <c r="A415">
        <f>IF(COUNTBLANK(B415:J415)&lt;&gt;COLUMNS(B415:J415),414,"")</f>
        <v>0</v>
      </c>
      <c r="D415" s="1">
        <f>IF(B415="", "", "m")</f>
        <v>0</v>
      </c>
      <c r="F415" s="1">
        <f>IF(B415="", "", "air")</f>
        <v>0</v>
      </c>
      <c r="G415" s="1">
        <f>IF(B415="", "", "air")</f>
        <v>0</v>
      </c>
      <c r="H415" s="1">
        <f>IF(B415="", "", "air")</f>
        <v>0</v>
      </c>
      <c r="I415" s="1">
        <f>IF(B415="", "", "air metagenome")</f>
        <v>0</v>
      </c>
      <c r="J415" s="1">
        <f>IF(B415="", "", "655179")</f>
        <v>0</v>
      </c>
    </row>
    <row r="416" spans="1:10">
      <c r="A416">
        <f>IF(COUNTBLANK(B416:J416)&lt;&gt;COLUMNS(B416:J416),415,"")</f>
        <v>0</v>
      </c>
      <c r="D416" s="1">
        <f>IF(B416="", "", "m")</f>
        <v>0</v>
      </c>
      <c r="F416" s="1">
        <f>IF(B416="", "", "air")</f>
        <v>0</v>
      </c>
      <c r="G416" s="1">
        <f>IF(B416="", "", "air")</f>
        <v>0</v>
      </c>
      <c r="H416" s="1">
        <f>IF(B416="", "", "air")</f>
        <v>0</v>
      </c>
      <c r="I416" s="1">
        <f>IF(B416="", "", "air metagenome")</f>
        <v>0</v>
      </c>
      <c r="J416" s="1">
        <f>IF(B416="", "", "655179")</f>
        <v>0</v>
      </c>
    </row>
    <row r="417" spans="1:10">
      <c r="A417">
        <f>IF(COUNTBLANK(B417:J417)&lt;&gt;COLUMNS(B417:J417),416,"")</f>
        <v>0</v>
      </c>
      <c r="D417" s="1">
        <f>IF(B417="", "", "m")</f>
        <v>0</v>
      </c>
      <c r="F417" s="1">
        <f>IF(B417="", "", "air")</f>
        <v>0</v>
      </c>
      <c r="G417" s="1">
        <f>IF(B417="", "", "air")</f>
        <v>0</v>
      </c>
      <c r="H417" s="1">
        <f>IF(B417="", "", "air")</f>
        <v>0</v>
      </c>
      <c r="I417" s="1">
        <f>IF(B417="", "", "air metagenome")</f>
        <v>0</v>
      </c>
      <c r="J417" s="1">
        <f>IF(B417="", "", "655179")</f>
        <v>0</v>
      </c>
    </row>
    <row r="418" spans="1:10">
      <c r="A418">
        <f>IF(COUNTBLANK(B418:J418)&lt;&gt;COLUMNS(B418:J418),417,"")</f>
        <v>0</v>
      </c>
      <c r="D418" s="1">
        <f>IF(B418="", "", "m")</f>
        <v>0</v>
      </c>
      <c r="F418" s="1">
        <f>IF(B418="", "", "air")</f>
        <v>0</v>
      </c>
      <c r="G418" s="1">
        <f>IF(B418="", "", "air")</f>
        <v>0</v>
      </c>
      <c r="H418" s="1">
        <f>IF(B418="", "", "air")</f>
        <v>0</v>
      </c>
      <c r="I418" s="1">
        <f>IF(B418="", "", "air metagenome")</f>
        <v>0</v>
      </c>
      <c r="J418" s="1">
        <f>IF(B418="", "", "655179")</f>
        <v>0</v>
      </c>
    </row>
    <row r="419" spans="1:10">
      <c r="A419">
        <f>IF(COUNTBLANK(B419:J419)&lt;&gt;COLUMNS(B419:J419),418,"")</f>
        <v>0</v>
      </c>
      <c r="D419" s="1">
        <f>IF(B419="", "", "m")</f>
        <v>0</v>
      </c>
      <c r="F419" s="1">
        <f>IF(B419="", "", "air")</f>
        <v>0</v>
      </c>
      <c r="G419" s="1">
        <f>IF(B419="", "", "air")</f>
        <v>0</v>
      </c>
      <c r="H419" s="1">
        <f>IF(B419="", "", "air")</f>
        <v>0</v>
      </c>
      <c r="I419" s="1">
        <f>IF(B419="", "", "air metagenome")</f>
        <v>0</v>
      </c>
      <c r="J419" s="1">
        <f>IF(B419="", "", "655179")</f>
        <v>0</v>
      </c>
    </row>
    <row r="420" spans="1:10">
      <c r="A420">
        <f>IF(COUNTBLANK(B420:J420)&lt;&gt;COLUMNS(B420:J420),419,"")</f>
        <v>0</v>
      </c>
      <c r="D420" s="1">
        <f>IF(B420="", "", "m")</f>
        <v>0</v>
      </c>
      <c r="F420" s="1">
        <f>IF(B420="", "", "air")</f>
        <v>0</v>
      </c>
      <c r="G420" s="1">
        <f>IF(B420="", "", "air")</f>
        <v>0</v>
      </c>
      <c r="H420" s="1">
        <f>IF(B420="", "", "air")</f>
        <v>0</v>
      </c>
      <c r="I420" s="1">
        <f>IF(B420="", "", "air metagenome")</f>
        <v>0</v>
      </c>
      <c r="J420" s="1">
        <f>IF(B420="", "", "655179")</f>
        <v>0</v>
      </c>
    </row>
    <row r="421" spans="1:10">
      <c r="A421">
        <f>IF(COUNTBLANK(B421:J421)&lt;&gt;COLUMNS(B421:J421),420,"")</f>
        <v>0</v>
      </c>
      <c r="D421" s="1">
        <f>IF(B421="", "", "m")</f>
        <v>0</v>
      </c>
      <c r="F421" s="1">
        <f>IF(B421="", "", "air")</f>
        <v>0</v>
      </c>
      <c r="G421" s="1">
        <f>IF(B421="", "", "air")</f>
        <v>0</v>
      </c>
      <c r="H421" s="1">
        <f>IF(B421="", "", "air")</f>
        <v>0</v>
      </c>
      <c r="I421" s="1">
        <f>IF(B421="", "", "air metagenome")</f>
        <v>0</v>
      </c>
      <c r="J421" s="1">
        <f>IF(B421="", "", "655179")</f>
        <v>0</v>
      </c>
    </row>
    <row r="422" spans="1:10">
      <c r="A422">
        <f>IF(COUNTBLANK(B422:J422)&lt;&gt;COLUMNS(B422:J422),421,"")</f>
        <v>0</v>
      </c>
      <c r="D422" s="1">
        <f>IF(B422="", "", "m")</f>
        <v>0</v>
      </c>
      <c r="F422" s="1">
        <f>IF(B422="", "", "air")</f>
        <v>0</v>
      </c>
      <c r="G422" s="1">
        <f>IF(B422="", "", "air")</f>
        <v>0</v>
      </c>
      <c r="H422" s="1">
        <f>IF(B422="", "", "air")</f>
        <v>0</v>
      </c>
      <c r="I422" s="1">
        <f>IF(B422="", "", "air metagenome")</f>
        <v>0</v>
      </c>
      <c r="J422" s="1">
        <f>IF(B422="", "", "655179")</f>
        <v>0</v>
      </c>
    </row>
    <row r="423" spans="1:10">
      <c r="A423">
        <f>IF(COUNTBLANK(B423:J423)&lt;&gt;COLUMNS(B423:J423),422,"")</f>
        <v>0</v>
      </c>
      <c r="D423" s="1">
        <f>IF(B423="", "", "m")</f>
        <v>0</v>
      </c>
      <c r="F423" s="1">
        <f>IF(B423="", "", "air")</f>
        <v>0</v>
      </c>
      <c r="G423" s="1">
        <f>IF(B423="", "", "air")</f>
        <v>0</v>
      </c>
      <c r="H423" s="1">
        <f>IF(B423="", "", "air")</f>
        <v>0</v>
      </c>
      <c r="I423" s="1">
        <f>IF(B423="", "", "air metagenome")</f>
        <v>0</v>
      </c>
      <c r="J423" s="1">
        <f>IF(B423="", "", "655179")</f>
        <v>0</v>
      </c>
    </row>
    <row r="424" spans="1:10">
      <c r="A424">
        <f>IF(COUNTBLANK(B424:J424)&lt;&gt;COLUMNS(B424:J424),423,"")</f>
        <v>0</v>
      </c>
      <c r="D424" s="1">
        <f>IF(B424="", "", "m")</f>
        <v>0</v>
      </c>
      <c r="F424" s="1">
        <f>IF(B424="", "", "air")</f>
        <v>0</v>
      </c>
      <c r="G424" s="1">
        <f>IF(B424="", "", "air")</f>
        <v>0</v>
      </c>
      <c r="H424" s="1">
        <f>IF(B424="", "", "air")</f>
        <v>0</v>
      </c>
      <c r="I424" s="1">
        <f>IF(B424="", "", "air metagenome")</f>
        <v>0</v>
      </c>
      <c r="J424" s="1">
        <f>IF(B424="", "", "655179")</f>
        <v>0</v>
      </c>
    </row>
    <row r="425" spans="1:10">
      <c r="A425">
        <f>IF(COUNTBLANK(B425:J425)&lt;&gt;COLUMNS(B425:J425),424,"")</f>
        <v>0</v>
      </c>
      <c r="D425" s="1">
        <f>IF(B425="", "", "m")</f>
        <v>0</v>
      </c>
      <c r="F425" s="1">
        <f>IF(B425="", "", "air")</f>
        <v>0</v>
      </c>
      <c r="G425" s="1">
        <f>IF(B425="", "", "air")</f>
        <v>0</v>
      </c>
      <c r="H425" s="1">
        <f>IF(B425="", "", "air")</f>
        <v>0</v>
      </c>
      <c r="I425" s="1">
        <f>IF(B425="", "", "air metagenome")</f>
        <v>0</v>
      </c>
      <c r="J425" s="1">
        <f>IF(B425="", "", "655179")</f>
        <v>0</v>
      </c>
    </row>
    <row r="426" spans="1:10">
      <c r="A426">
        <f>IF(COUNTBLANK(B426:J426)&lt;&gt;COLUMNS(B426:J426),425,"")</f>
        <v>0</v>
      </c>
      <c r="D426" s="1">
        <f>IF(B426="", "", "m")</f>
        <v>0</v>
      </c>
      <c r="F426" s="1">
        <f>IF(B426="", "", "air")</f>
        <v>0</v>
      </c>
      <c r="G426" s="1">
        <f>IF(B426="", "", "air")</f>
        <v>0</v>
      </c>
      <c r="H426" s="1">
        <f>IF(B426="", "", "air")</f>
        <v>0</v>
      </c>
      <c r="I426" s="1">
        <f>IF(B426="", "", "air metagenome")</f>
        <v>0</v>
      </c>
      <c r="J426" s="1">
        <f>IF(B426="", "", "655179")</f>
        <v>0</v>
      </c>
    </row>
    <row r="427" spans="1:10">
      <c r="A427">
        <f>IF(COUNTBLANK(B427:J427)&lt;&gt;COLUMNS(B427:J427),426,"")</f>
        <v>0</v>
      </c>
      <c r="D427" s="1">
        <f>IF(B427="", "", "m")</f>
        <v>0</v>
      </c>
      <c r="F427" s="1">
        <f>IF(B427="", "", "air")</f>
        <v>0</v>
      </c>
      <c r="G427" s="1">
        <f>IF(B427="", "", "air")</f>
        <v>0</v>
      </c>
      <c r="H427" s="1">
        <f>IF(B427="", "", "air")</f>
        <v>0</v>
      </c>
      <c r="I427" s="1">
        <f>IF(B427="", "", "air metagenome")</f>
        <v>0</v>
      </c>
      <c r="J427" s="1">
        <f>IF(B427="", "", "655179")</f>
        <v>0</v>
      </c>
    </row>
    <row r="428" spans="1:10">
      <c r="A428">
        <f>IF(COUNTBLANK(B428:J428)&lt;&gt;COLUMNS(B428:J428),427,"")</f>
        <v>0</v>
      </c>
      <c r="D428" s="1">
        <f>IF(B428="", "", "m")</f>
        <v>0</v>
      </c>
      <c r="F428" s="1">
        <f>IF(B428="", "", "air")</f>
        <v>0</v>
      </c>
      <c r="G428" s="1">
        <f>IF(B428="", "", "air")</f>
        <v>0</v>
      </c>
      <c r="H428" s="1">
        <f>IF(B428="", "", "air")</f>
        <v>0</v>
      </c>
      <c r="I428" s="1">
        <f>IF(B428="", "", "air metagenome")</f>
        <v>0</v>
      </c>
      <c r="J428" s="1">
        <f>IF(B428="", "", "655179")</f>
        <v>0</v>
      </c>
    </row>
    <row r="429" spans="1:10">
      <c r="A429">
        <f>IF(COUNTBLANK(B429:J429)&lt;&gt;COLUMNS(B429:J429),428,"")</f>
        <v>0</v>
      </c>
      <c r="D429" s="1">
        <f>IF(B429="", "", "m")</f>
        <v>0</v>
      </c>
      <c r="F429" s="1">
        <f>IF(B429="", "", "air")</f>
        <v>0</v>
      </c>
      <c r="G429" s="1">
        <f>IF(B429="", "", "air")</f>
        <v>0</v>
      </c>
      <c r="H429" s="1">
        <f>IF(B429="", "", "air")</f>
        <v>0</v>
      </c>
      <c r="I429" s="1">
        <f>IF(B429="", "", "air metagenome")</f>
        <v>0</v>
      </c>
      <c r="J429" s="1">
        <f>IF(B429="", "", "655179")</f>
        <v>0</v>
      </c>
    </row>
    <row r="430" spans="1:10">
      <c r="A430">
        <f>IF(COUNTBLANK(B430:J430)&lt;&gt;COLUMNS(B430:J430),429,"")</f>
        <v>0</v>
      </c>
      <c r="D430" s="1">
        <f>IF(B430="", "", "m")</f>
        <v>0</v>
      </c>
      <c r="F430" s="1">
        <f>IF(B430="", "", "air")</f>
        <v>0</v>
      </c>
      <c r="G430" s="1">
        <f>IF(B430="", "", "air")</f>
        <v>0</v>
      </c>
      <c r="H430" s="1">
        <f>IF(B430="", "", "air")</f>
        <v>0</v>
      </c>
      <c r="I430" s="1">
        <f>IF(B430="", "", "air metagenome")</f>
        <v>0</v>
      </c>
      <c r="J430" s="1">
        <f>IF(B430="", "", "655179")</f>
        <v>0</v>
      </c>
    </row>
    <row r="431" spans="1:10">
      <c r="A431">
        <f>IF(COUNTBLANK(B431:J431)&lt;&gt;COLUMNS(B431:J431),430,"")</f>
        <v>0</v>
      </c>
      <c r="D431" s="1">
        <f>IF(B431="", "", "m")</f>
        <v>0</v>
      </c>
      <c r="F431" s="1">
        <f>IF(B431="", "", "air")</f>
        <v>0</v>
      </c>
      <c r="G431" s="1">
        <f>IF(B431="", "", "air")</f>
        <v>0</v>
      </c>
      <c r="H431" s="1">
        <f>IF(B431="", "", "air")</f>
        <v>0</v>
      </c>
      <c r="I431" s="1">
        <f>IF(B431="", "", "air metagenome")</f>
        <v>0</v>
      </c>
      <c r="J431" s="1">
        <f>IF(B431="", "", "655179")</f>
        <v>0</v>
      </c>
    </row>
    <row r="432" spans="1:10">
      <c r="A432">
        <f>IF(COUNTBLANK(B432:J432)&lt;&gt;COLUMNS(B432:J432),431,"")</f>
        <v>0</v>
      </c>
      <c r="D432" s="1">
        <f>IF(B432="", "", "m")</f>
        <v>0</v>
      </c>
      <c r="F432" s="1">
        <f>IF(B432="", "", "air")</f>
        <v>0</v>
      </c>
      <c r="G432" s="1">
        <f>IF(B432="", "", "air")</f>
        <v>0</v>
      </c>
      <c r="H432" s="1">
        <f>IF(B432="", "", "air")</f>
        <v>0</v>
      </c>
      <c r="I432" s="1">
        <f>IF(B432="", "", "air metagenome")</f>
        <v>0</v>
      </c>
      <c r="J432" s="1">
        <f>IF(B432="", "", "655179")</f>
        <v>0</v>
      </c>
    </row>
    <row r="433" spans="1:10">
      <c r="A433">
        <f>IF(COUNTBLANK(B433:J433)&lt;&gt;COLUMNS(B433:J433),432,"")</f>
        <v>0</v>
      </c>
      <c r="D433" s="1">
        <f>IF(B433="", "", "m")</f>
        <v>0</v>
      </c>
      <c r="F433" s="1">
        <f>IF(B433="", "", "air")</f>
        <v>0</v>
      </c>
      <c r="G433" s="1">
        <f>IF(B433="", "", "air")</f>
        <v>0</v>
      </c>
      <c r="H433" s="1">
        <f>IF(B433="", "", "air")</f>
        <v>0</v>
      </c>
      <c r="I433" s="1">
        <f>IF(B433="", "", "air metagenome")</f>
        <v>0</v>
      </c>
      <c r="J433" s="1">
        <f>IF(B433="", "", "655179")</f>
        <v>0</v>
      </c>
    </row>
    <row r="434" spans="1:10">
      <c r="A434">
        <f>IF(COUNTBLANK(B434:J434)&lt;&gt;COLUMNS(B434:J434),433,"")</f>
        <v>0</v>
      </c>
      <c r="D434" s="1">
        <f>IF(B434="", "", "m")</f>
        <v>0</v>
      </c>
      <c r="F434" s="1">
        <f>IF(B434="", "", "air")</f>
        <v>0</v>
      </c>
      <c r="G434" s="1">
        <f>IF(B434="", "", "air")</f>
        <v>0</v>
      </c>
      <c r="H434" s="1">
        <f>IF(B434="", "", "air")</f>
        <v>0</v>
      </c>
      <c r="I434" s="1">
        <f>IF(B434="", "", "air metagenome")</f>
        <v>0</v>
      </c>
      <c r="J434" s="1">
        <f>IF(B434="", "", "655179")</f>
        <v>0</v>
      </c>
    </row>
    <row r="435" spans="1:10">
      <c r="A435">
        <f>IF(COUNTBLANK(B435:J435)&lt;&gt;COLUMNS(B435:J435),434,"")</f>
        <v>0</v>
      </c>
      <c r="D435" s="1">
        <f>IF(B435="", "", "m")</f>
        <v>0</v>
      </c>
      <c r="F435" s="1">
        <f>IF(B435="", "", "air")</f>
        <v>0</v>
      </c>
      <c r="G435" s="1">
        <f>IF(B435="", "", "air")</f>
        <v>0</v>
      </c>
      <c r="H435" s="1">
        <f>IF(B435="", "", "air")</f>
        <v>0</v>
      </c>
      <c r="I435" s="1">
        <f>IF(B435="", "", "air metagenome")</f>
        <v>0</v>
      </c>
      <c r="J435" s="1">
        <f>IF(B435="", "", "655179")</f>
        <v>0</v>
      </c>
    </row>
    <row r="436" spans="1:10">
      <c r="A436">
        <f>IF(COUNTBLANK(B436:J436)&lt;&gt;COLUMNS(B436:J436),435,"")</f>
        <v>0</v>
      </c>
      <c r="D436" s="1">
        <f>IF(B436="", "", "m")</f>
        <v>0</v>
      </c>
      <c r="F436" s="1">
        <f>IF(B436="", "", "air")</f>
        <v>0</v>
      </c>
      <c r="G436" s="1">
        <f>IF(B436="", "", "air")</f>
        <v>0</v>
      </c>
      <c r="H436" s="1">
        <f>IF(B436="", "", "air")</f>
        <v>0</v>
      </c>
      <c r="I436" s="1">
        <f>IF(B436="", "", "air metagenome")</f>
        <v>0</v>
      </c>
      <c r="J436" s="1">
        <f>IF(B436="", "", "655179")</f>
        <v>0</v>
      </c>
    </row>
    <row r="437" spans="1:10">
      <c r="A437">
        <f>IF(COUNTBLANK(B437:J437)&lt;&gt;COLUMNS(B437:J437),436,"")</f>
        <v>0</v>
      </c>
      <c r="D437" s="1">
        <f>IF(B437="", "", "m")</f>
        <v>0</v>
      </c>
      <c r="F437" s="1">
        <f>IF(B437="", "", "air")</f>
        <v>0</v>
      </c>
      <c r="G437" s="1">
        <f>IF(B437="", "", "air")</f>
        <v>0</v>
      </c>
      <c r="H437" s="1">
        <f>IF(B437="", "", "air")</f>
        <v>0</v>
      </c>
      <c r="I437" s="1">
        <f>IF(B437="", "", "air metagenome")</f>
        <v>0</v>
      </c>
      <c r="J437" s="1">
        <f>IF(B437="", "", "655179")</f>
        <v>0</v>
      </c>
    </row>
    <row r="438" spans="1:10">
      <c r="A438">
        <f>IF(COUNTBLANK(B438:J438)&lt;&gt;COLUMNS(B438:J438),437,"")</f>
        <v>0</v>
      </c>
      <c r="D438" s="1">
        <f>IF(B438="", "", "m")</f>
        <v>0</v>
      </c>
      <c r="F438" s="1">
        <f>IF(B438="", "", "air")</f>
        <v>0</v>
      </c>
      <c r="G438" s="1">
        <f>IF(B438="", "", "air")</f>
        <v>0</v>
      </c>
      <c r="H438" s="1">
        <f>IF(B438="", "", "air")</f>
        <v>0</v>
      </c>
      <c r="I438" s="1">
        <f>IF(B438="", "", "air metagenome")</f>
        <v>0</v>
      </c>
      <c r="J438" s="1">
        <f>IF(B438="", "", "655179")</f>
        <v>0</v>
      </c>
    </row>
    <row r="439" spans="1:10">
      <c r="A439">
        <f>IF(COUNTBLANK(B439:J439)&lt;&gt;COLUMNS(B439:J439),438,"")</f>
        <v>0</v>
      </c>
      <c r="D439" s="1">
        <f>IF(B439="", "", "m")</f>
        <v>0</v>
      </c>
      <c r="F439" s="1">
        <f>IF(B439="", "", "air")</f>
        <v>0</v>
      </c>
      <c r="G439" s="1">
        <f>IF(B439="", "", "air")</f>
        <v>0</v>
      </c>
      <c r="H439" s="1">
        <f>IF(B439="", "", "air")</f>
        <v>0</v>
      </c>
      <c r="I439" s="1">
        <f>IF(B439="", "", "air metagenome")</f>
        <v>0</v>
      </c>
      <c r="J439" s="1">
        <f>IF(B439="", "", "655179")</f>
        <v>0</v>
      </c>
    </row>
    <row r="440" spans="1:10">
      <c r="A440">
        <f>IF(COUNTBLANK(B440:J440)&lt;&gt;COLUMNS(B440:J440),439,"")</f>
        <v>0</v>
      </c>
      <c r="D440" s="1">
        <f>IF(B440="", "", "m")</f>
        <v>0</v>
      </c>
      <c r="F440" s="1">
        <f>IF(B440="", "", "air")</f>
        <v>0</v>
      </c>
      <c r="G440" s="1">
        <f>IF(B440="", "", "air")</f>
        <v>0</v>
      </c>
      <c r="H440" s="1">
        <f>IF(B440="", "", "air")</f>
        <v>0</v>
      </c>
      <c r="I440" s="1">
        <f>IF(B440="", "", "air metagenome")</f>
        <v>0</v>
      </c>
      <c r="J440" s="1">
        <f>IF(B440="", "", "655179")</f>
        <v>0</v>
      </c>
    </row>
    <row r="441" spans="1:10">
      <c r="A441">
        <f>IF(COUNTBLANK(B441:J441)&lt;&gt;COLUMNS(B441:J441),440,"")</f>
        <v>0</v>
      </c>
      <c r="D441" s="1">
        <f>IF(B441="", "", "m")</f>
        <v>0</v>
      </c>
      <c r="F441" s="1">
        <f>IF(B441="", "", "air")</f>
        <v>0</v>
      </c>
      <c r="G441" s="1">
        <f>IF(B441="", "", "air")</f>
        <v>0</v>
      </c>
      <c r="H441" s="1">
        <f>IF(B441="", "", "air")</f>
        <v>0</v>
      </c>
      <c r="I441" s="1">
        <f>IF(B441="", "", "air metagenome")</f>
        <v>0</v>
      </c>
      <c r="J441" s="1">
        <f>IF(B441="", "", "655179")</f>
        <v>0</v>
      </c>
    </row>
    <row r="442" spans="1:10">
      <c r="A442">
        <f>IF(COUNTBLANK(B442:J442)&lt;&gt;COLUMNS(B442:J442),441,"")</f>
        <v>0</v>
      </c>
      <c r="D442" s="1">
        <f>IF(B442="", "", "m")</f>
        <v>0</v>
      </c>
      <c r="F442" s="1">
        <f>IF(B442="", "", "air")</f>
        <v>0</v>
      </c>
      <c r="G442" s="1">
        <f>IF(B442="", "", "air")</f>
        <v>0</v>
      </c>
      <c r="H442" s="1">
        <f>IF(B442="", "", "air")</f>
        <v>0</v>
      </c>
      <c r="I442" s="1">
        <f>IF(B442="", "", "air metagenome")</f>
        <v>0</v>
      </c>
      <c r="J442" s="1">
        <f>IF(B442="", "", "655179")</f>
        <v>0</v>
      </c>
    </row>
    <row r="443" spans="1:10">
      <c r="A443">
        <f>IF(COUNTBLANK(B443:J443)&lt;&gt;COLUMNS(B443:J443),442,"")</f>
        <v>0</v>
      </c>
      <c r="D443" s="1">
        <f>IF(B443="", "", "m")</f>
        <v>0</v>
      </c>
      <c r="F443" s="1">
        <f>IF(B443="", "", "air")</f>
        <v>0</v>
      </c>
      <c r="G443" s="1">
        <f>IF(B443="", "", "air")</f>
        <v>0</v>
      </c>
      <c r="H443" s="1">
        <f>IF(B443="", "", "air")</f>
        <v>0</v>
      </c>
      <c r="I443" s="1">
        <f>IF(B443="", "", "air metagenome")</f>
        <v>0</v>
      </c>
      <c r="J443" s="1">
        <f>IF(B443="", "", "655179")</f>
        <v>0</v>
      </c>
    </row>
    <row r="444" spans="1:10">
      <c r="A444">
        <f>IF(COUNTBLANK(B444:J444)&lt;&gt;COLUMNS(B444:J444),443,"")</f>
        <v>0</v>
      </c>
      <c r="D444" s="1">
        <f>IF(B444="", "", "m")</f>
        <v>0</v>
      </c>
      <c r="F444" s="1">
        <f>IF(B444="", "", "air")</f>
        <v>0</v>
      </c>
      <c r="G444" s="1">
        <f>IF(B444="", "", "air")</f>
        <v>0</v>
      </c>
      <c r="H444" s="1">
        <f>IF(B444="", "", "air")</f>
        <v>0</v>
      </c>
      <c r="I444" s="1">
        <f>IF(B444="", "", "air metagenome")</f>
        <v>0</v>
      </c>
      <c r="J444" s="1">
        <f>IF(B444="", "", "655179")</f>
        <v>0</v>
      </c>
    </row>
    <row r="445" spans="1:10">
      <c r="A445">
        <f>IF(COUNTBLANK(B445:J445)&lt;&gt;COLUMNS(B445:J445),444,"")</f>
        <v>0</v>
      </c>
      <c r="D445" s="1">
        <f>IF(B445="", "", "m")</f>
        <v>0</v>
      </c>
      <c r="F445" s="1">
        <f>IF(B445="", "", "air")</f>
        <v>0</v>
      </c>
      <c r="G445" s="1">
        <f>IF(B445="", "", "air")</f>
        <v>0</v>
      </c>
      <c r="H445" s="1">
        <f>IF(B445="", "", "air")</f>
        <v>0</v>
      </c>
      <c r="I445" s="1">
        <f>IF(B445="", "", "air metagenome")</f>
        <v>0</v>
      </c>
      <c r="J445" s="1">
        <f>IF(B445="", "", "655179")</f>
        <v>0</v>
      </c>
    </row>
    <row r="446" spans="1:10">
      <c r="A446">
        <f>IF(COUNTBLANK(B446:J446)&lt;&gt;COLUMNS(B446:J446),445,"")</f>
        <v>0</v>
      </c>
      <c r="D446" s="1">
        <f>IF(B446="", "", "m")</f>
        <v>0</v>
      </c>
      <c r="F446" s="1">
        <f>IF(B446="", "", "air")</f>
        <v>0</v>
      </c>
      <c r="G446" s="1">
        <f>IF(B446="", "", "air")</f>
        <v>0</v>
      </c>
      <c r="H446" s="1">
        <f>IF(B446="", "", "air")</f>
        <v>0</v>
      </c>
      <c r="I446" s="1">
        <f>IF(B446="", "", "air metagenome")</f>
        <v>0</v>
      </c>
      <c r="J446" s="1">
        <f>IF(B446="", "", "655179")</f>
        <v>0</v>
      </c>
    </row>
    <row r="447" spans="1:10">
      <c r="A447">
        <f>IF(COUNTBLANK(B447:J447)&lt;&gt;COLUMNS(B447:J447),446,"")</f>
        <v>0</v>
      </c>
      <c r="D447" s="1">
        <f>IF(B447="", "", "m")</f>
        <v>0</v>
      </c>
      <c r="F447" s="1">
        <f>IF(B447="", "", "air")</f>
        <v>0</v>
      </c>
      <c r="G447" s="1">
        <f>IF(B447="", "", "air")</f>
        <v>0</v>
      </c>
      <c r="H447" s="1">
        <f>IF(B447="", "", "air")</f>
        <v>0</v>
      </c>
      <c r="I447" s="1">
        <f>IF(B447="", "", "air metagenome")</f>
        <v>0</v>
      </c>
      <c r="J447" s="1">
        <f>IF(B447="", "", "655179")</f>
        <v>0</v>
      </c>
    </row>
    <row r="448" spans="1:10">
      <c r="A448">
        <f>IF(COUNTBLANK(B448:J448)&lt;&gt;COLUMNS(B448:J448),447,"")</f>
        <v>0</v>
      </c>
      <c r="D448" s="1">
        <f>IF(B448="", "", "m")</f>
        <v>0</v>
      </c>
      <c r="F448" s="1">
        <f>IF(B448="", "", "air")</f>
        <v>0</v>
      </c>
      <c r="G448" s="1">
        <f>IF(B448="", "", "air")</f>
        <v>0</v>
      </c>
      <c r="H448" s="1">
        <f>IF(B448="", "", "air")</f>
        <v>0</v>
      </c>
      <c r="I448" s="1">
        <f>IF(B448="", "", "air metagenome")</f>
        <v>0</v>
      </c>
      <c r="J448" s="1">
        <f>IF(B448="", "", "655179")</f>
        <v>0</v>
      </c>
    </row>
    <row r="449" spans="1:10">
      <c r="A449">
        <f>IF(COUNTBLANK(B449:J449)&lt;&gt;COLUMNS(B449:J449),448,"")</f>
        <v>0</v>
      </c>
      <c r="D449" s="1">
        <f>IF(B449="", "", "m")</f>
        <v>0</v>
      </c>
      <c r="F449" s="1">
        <f>IF(B449="", "", "air")</f>
        <v>0</v>
      </c>
      <c r="G449" s="1">
        <f>IF(B449="", "", "air")</f>
        <v>0</v>
      </c>
      <c r="H449" s="1">
        <f>IF(B449="", "", "air")</f>
        <v>0</v>
      </c>
      <c r="I449" s="1">
        <f>IF(B449="", "", "air metagenome")</f>
        <v>0</v>
      </c>
      <c r="J449" s="1">
        <f>IF(B449="", "", "655179")</f>
        <v>0</v>
      </c>
    </row>
    <row r="450" spans="1:10">
      <c r="A450">
        <f>IF(COUNTBLANK(B450:J450)&lt;&gt;COLUMNS(B450:J450),449,"")</f>
        <v>0</v>
      </c>
      <c r="D450" s="1">
        <f>IF(B450="", "", "m")</f>
        <v>0</v>
      </c>
      <c r="F450" s="1">
        <f>IF(B450="", "", "air")</f>
        <v>0</v>
      </c>
      <c r="G450" s="1">
        <f>IF(B450="", "", "air")</f>
        <v>0</v>
      </c>
      <c r="H450" s="1">
        <f>IF(B450="", "", "air")</f>
        <v>0</v>
      </c>
      <c r="I450" s="1">
        <f>IF(B450="", "", "air metagenome")</f>
        <v>0</v>
      </c>
      <c r="J450" s="1">
        <f>IF(B450="", "", "655179")</f>
        <v>0</v>
      </c>
    </row>
    <row r="451" spans="1:10">
      <c r="A451">
        <f>IF(COUNTBLANK(B451:J451)&lt;&gt;COLUMNS(B451:J451),450,"")</f>
        <v>0</v>
      </c>
      <c r="D451" s="1">
        <f>IF(B451="", "", "m")</f>
        <v>0</v>
      </c>
      <c r="F451" s="1">
        <f>IF(B451="", "", "air")</f>
        <v>0</v>
      </c>
      <c r="G451" s="1">
        <f>IF(B451="", "", "air")</f>
        <v>0</v>
      </c>
      <c r="H451" s="1">
        <f>IF(B451="", "", "air")</f>
        <v>0</v>
      </c>
      <c r="I451" s="1">
        <f>IF(B451="", "", "air metagenome")</f>
        <v>0</v>
      </c>
      <c r="J451" s="1">
        <f>IF(B451="", "", "655179")</f>
        <v>0</v>
      </c>
    </row>
    <row r="452" spans="1:10">
      <c r="A452">
        <f>IF(COUNTBLANK(B452:J452)&lt;&gt;COLUMNS(B452:J452),451,"")</f>
        <v>0</v>
      </c>
      <c r="D452" s="1">
        <f>IF(B452="", "", "m")</f>
        <v>0</v>
      </c>
      <c r="F452" s="1">
        <f>IF(B452="", "", "air")</f>
        <v>0</v>
      </c>
      <c r="G452" s="1">
        <f>IF(B452="", "", "air")</f>
        <v>0</v>
      </c>
      <c r="H452" s="1">
        <f>IF(B452="", "", "air")</f>
        <v>0</v>
      </c>
      <c r="I452" s="1">
        <f>IF(B452="", "", "air metagenome")</f>
        <v>0</v>
      </c>
      <c r="J452" s="1">
        <f>IF(B452="", "", "655179")</f>
        <v>0</v>
      </c>
    </row>
    <row r="453" spans="1:10">
      <c r="A453">
        <f>IF(COUNTBLANK(B453:J453)&lt;&gt;COLUMNS(B453:J453),452,"")</f>
        <v>0</v>
      </c>
      <c r="D453" s="1">
        <f>IF(B453="", "", "m")</f>
        <v>0</v>
      </c>
      <c r="F453" s="1">
        <f>IF(B453="", "", "air")</f>
        <v>0</v>
      </c>
      <c r="G453" s="1">
        <f>IF(B453="", "", "air")</f>
        <v>0</v>
      </c>
      <c r="H453" s="1">
        <f>IF(B453="", "", "air")</f>
        <v>0</v>
      </c>
      <c r="I453" s="1">
        <f>IF(B453="", "", "air metagenome")</f>
        <v>0</v>
      </c>
      <c r="J453" s="1">
        <f>IF(B453="", "", "655179")</f>
        <v>0</v>
      </c>
    </row>
    <row r="454" spans="1:10">
      <c r="A454">
        <f>IF(COUNTBLANK(B454:J454)&lt;&gt;COLUMNS(B454:J454),453,"")</f>
        <v>0</v>
      </c>
      <c r="D454" s="1">
        <f>IF(B454="", "", "m")</f>
        <v>0</v>
      </c>
      <c r="F454" s="1">
        <f>IF(B454="", "", "air")</f>
        <v>0</v>
      </c>
      <c r="G454" s="1">
        <f>IF(B454="", "", "air")</f>
        <v>0</v>
      </c>
      <c r="H454" s="1">
        <f>IF(B454="", "", "air")</f>
        <v>0</v>
      </c>
      <c r="I454" s="1">
        <f>IF(B454="", "", "air metagenome")</f>
        <v>0</v>
      </c>
      <c r="J454" s="1">
        <f>IF(B454="", "", "655179")</f>
        <v>0</v>
      </c>
    </row>
    <row r="455" spans="1:10">
      <c r="A455">
        <f>IF(COUNTBLANK(B455:J455)&lt;&gt;COLUMNS(B455:J455),454,"")</f>
        <v>0</v>
      </c>
      <c r="D455" s="1">
        <f>IF(B455="", "", "m")</f>
        <v>0</v>
      </c>
      <c r="F455" s="1">
        <f>IF(B455="", "", "air")</f>
        <v>0</v>
      </c>
      <c r="G455" s="1">
        <f>IF(B455="", "", "air")</f>
        <v>0</v>
      </c>
      <c r="H455" s="1">
        <f>IF(B455="", "", "air")</f>
        <v>0</v>
      </c>
      <c r="I455" s="1">
        <f>IF(B455="", "", "air metagenome")</f>
        <v>0</v>
      </c>
      <c r="J455" s="1">
        <f>IF(B455="", "", "655179")</f>
        <v>0</v>
      </c>
    </row>
    <row r="456" spans="1:10">
      <c r="A456">
        <f>IF(COUNTBLANK(B456:J456)&lt;&gt;COLUMNS(B456:J456),455,"")</f>
        <v>0</v>
      </c>
      <c r="D456" s="1">
        <f>IF(B456="", "", "m")</f>
        <v>0</v>
      </c>
      <c r="F456" s="1">
        <f>IF(B456="", "", "air")</f>
        <v>0</v>
      </c>
      <c r="G456" s="1">
        <f>IF(B456="", "", "air")</f>
        <v>0</v>
      </c>
      <c r="H456" s="1">
        <f>IF(B456="", "", "air")</f>
        <v>0</v>
      </c>
      <c r="I456" s="1">
        <f>IF(B456="", "", "air metagenome")</f>
        <v>0</v>
      </c>
      <c r="J456" s="1">
        <f>IF(B456="", "", "655179")</f>
        <v>0</v>
      </c>
    </row>
    <row r="457" spans="1:10">
      <c r="A457">
        <f>IF(COUNTBLANK(B457:J457)&lt;&gt;COLUMNS(B457:J457),456,"")</f>
        <v>0</v>
      </c>
      <c r="D457" s="1">
        <f>IF(B457="", "", "m")</f>
        <v>0</v>
      </c>
      <c r="F457" s="1">
        <f>IF(B457="", "", "air")</f>
        <v>0</v>
      </c>
      <c r="G457" s="1">
        <f>IF(B457="", "", "air")</f>
        <v>0</v>
      </c>
      <c r="H457" s="1">
        <f>IF(B457="", "", "air")</f>
        <v>0</v>
      </c>
      <c r="I457" s="1">
        <f>IF(B457="", "", "air metagenome")</f>
        <v>0</v>
      </c>
      <c r="J457" s="1">
        <f>IF(B457="", "", "655179")</f>
        <v>0</v>
      </c>
    </row>
    <row r="458" spans="1:10">
      <c r="A458">
        <f>IF(COUNTBLANK(B458:J458)&lt;&gt;COLUMNS(B458:J458),457,"")</f>
        <v>0</v>
      </c>
      <c r="D458" s="1">
        <f>IF(B458="", "", "m")</f>
        <v>0</v>
      </c>
      <c r="F458" s="1">
        <f>IF(B458="", "", "air")</f>
        <v>0</v>
      </c>
      <c r="G458" s="1">
        <f>IF(B458="", "", "air")</f>
        <v>0</v>
      </c>
      <c r="H458" s="1">
        <f>IF(B458="", "", "air")</f>
        <v>0</v>
      </c>
      <c r="I458" s="1">
        <f>IF(B458="", "", "air metagenome")</f>
        <v>0</v>
      </c>
      <c r="J458" s="1">
        <f>IF(B458="", "", "655179")</f>
        <v>0</v>
      </c>
    </row>
    <row r="459" spans="1:10">
      <c r="A459">
        <f>IF(COUNTBLANK(B459:J459)&lt;&gt;COLUMNS(B459:J459),458,"")</f>
        <v>0</v>
      </c>
      <c r="D459" s="1">
        <f>IF(B459="", "", "m")</f>
        <v>0</v>
      </c>
      <c r="F459" s="1">
        <f>IF(B459="", "", "air")</f>
        <v>0</v>
      </c>
      <c r="G459" s="1">
        <f>IF(B459="", "", "air")</f>
        <v>0</v>
      </c>
      <c r="H459" s="1">
        <f>IF(B459="", "", "air")</f>
        <v>0</v>
      </c>
      <c r="I459" s="1">
        <f>IF(B459="", "", "air metagenome")</f>
        <v>0</v>
      </c>
      <c r="J459" s="1">
        <f>IF(B459="", "", "655179")</f>
        <v>0</v>
      </c>
    </row>
    <row r="460" spans="1:10">
      <c r="A460">
        <f>IF(COUNTBLANK(B460:J460)&lt;&gt;COLUMNS(B460:J460),459,"")</f>
        <v>0</v>
      </c>
      <c r="D460" s="1">
        <f>IF(B460="", "", "m")</f>
        <v>0</v>
      </c>
      <c r="F460" s="1">
        <f>IF(B460="", "", "air")</f>
        <v>0</v>
      </c>
      <c r="G460" s="1">
        <f>IF(B460="", "", "air")</f>
        <v>0</v>
      </c>
      <c r="H460" s="1">
        <f>IF(B460="", "", "air")</f>
        <v>0</v>
      </c>
      <c r="I460" s="1">
        <f>IF(B460="", "", "air metagenome")</f>
        <v>0</v>
      </c>
      <c r="J460" s="1">
        <f>IF(B460="", "", "655179")</f>
        <v>0</v>
      </c>
    </row>
    <row r="461" spans="1:10">
      <c r="A461">
        <f>IF(COUNTBLANK(B461:J461)&lt;&gt;COLUMNS(B461:J461),460,"")</f>
        <v>0</v>
      </c>
      <c r="D461" s="1">
        <f>IF(B461="", "", "m")</f>
        <v>0</v>
      </c>
      <c r="F461" s="1">
        <f>IF(B461="", "", "air")</f>
        <v>0</v>
      </c>
      <c r="G461" s="1">
        <f>IF(B461="", "", "air")</f>
        <v>0</v>
      </c>
      <c r="H461" s="1">
        <f>IF(B461="", "", "air")</f>
        <v>0</v>
      </c>
      <c r="I461" s="1">
        <f>IF(B461="", "", "air metagenome")</f>
        <v>0</v>
      </c>
      <c r="J461" s="1">
        <f>IF(B461="", "", "655179")</f>
        <v>0</v>
      </c>
    </row>
    <row r="462" spans="1:10">
      <c r="A462">
        <f>IF(COUNTBLANK(B462:J462)&lt;&gt;COLUMNS(B462:J462),461,"")</f>
        <v>0</v>
      </c>
      <c r="D462" s="1">
        <f>IF(B462="", "", "m")</f>
        <v>0</v>
      </c>
      <c r="F462" s="1">
        <f>IF(B462="", "", "air")</f>
        <v>0</v>
      </c>
      <c r="G462" s="1">
        <f>IF(B462="", "", "air")</f>
        <v>0</v>
      </c>
      <c r="H462" s="1">
        <f>IF(B462="", "", "air")</f>
        <v>0</v>
      </c>
      <c r="I462" s="1">
        <f>IF(B462="", "", "air metagenome")</f>
        <v>0</v>
      </c>
      <c r="J462" s="1">
        <f>IF(B462="", "", "655179")</f>
        <v>0</v>
      </c>
    </row>
    <row r="463" spans="1:10">
      <c r="A463">
        <f>IF(COUNTBLANK(B463:J463)&lt;&gt;COLUMNS(B463:J463),462,"")</f>
        <v>0</v>
      </c>
      <c r="D463" s="1">
        <f>IF(B463="", "", "m")</f>
        <v>0</v>
      </c>
      <c r="F463" s="1">
        <f>IF(B463="", "", "air")</f>
        <v>0</v>
      </c>
      <c r="G463" s="1">
        <f>IF(B463="", "", "air")</f>
        <v>0</v>
      </c>
      <c r="H463" s="1">
        <f>IF(B463="", "", "air")</f>
        <v>0</v>
      </c>
      <c r="I463" s="1">
        <f>IF(B463="", "", "air metagenome")</f>
        <v>0</v>
      </c>
      <c r="J463" s="1">
        <f>IF(B463="", "", "655179")</f>
        <v>0</v>
      </c>
    </row>
    <row r="464" spans="1:10">
      <c r="A464">
        <f>IF(COUNTBLANK(B464:J464)&lt;&gt;COLUMNS(B464:J464),463,"")</f>
        <v>0</v>
      </c>
      <c r="D464" s="1">
        <f>IF(B464="", "", "m")</f>
        <v>0</v>
      </c>
      <c r="F464" s="1">
        <f>IF(B464="", "", "air")</f>
        <v>0</v>
      </c>
      <c r="G464" s="1">
        <f>IF(B464="", "", "air")</f>
        <v>0</v>
      </c>
      <c r="H464" s="1">
        <f>IF(B464="", "", "air")</f>
        <v>0</v>
      </c>
      <c r="I464" s="1">
        <f>IF(B464="", "", "air metagenome")</f>
        <v>0</v>
      </c>
      <c r="J464" s="1">
        <f>IF(B464="", "", "655179")</f>
        <v>0</v>
      </c>
    </row>
    <row r="465" spans="1:10">
      <c r="A465">
        <f>IF(COUNTBLANK(B465:J465)&lt;&gt;COLUMNS(B465:J465),464,"")</f>
        <v>0</v>
      </c>
      <c r="D465" s="1">
        <f>IF(B465="", "", "m")</f>
        <v>0</v>
      </c>
      <c r="F465" s="1">
        <f>IF(B465="", "", "air")</f>
        <v>0</v>
      </c>
      <c r="G465" s="1">
        <f>IF(B465="", "", "air")</f>
        <v>0</v>
      </c>
      <c r="H465" s="1">
        <f>IF(B465="", "", "air")</f>
        <v>0</v>
      </c>
      <c r="I465" s="1">
        <f>IF(B465="", "", "air metagenome")</f>
        <v>0</v>
      </c>
      <c r="J465" s="1">
        <f>IF(B465="", "", "655179")</f>
        <v>0</v>
      </c>
    </row>
    <row r="466" spans="1:10">
      <c r="A466">
        <f>IF(COUNTBLANK(B466:J466)&lt;&gt;COLUMNS(B466:J466),465,"")</f>
        <v>0</v>
      </c>
      <c r="D466" s="1">
        <f>IF(B466="", "", "m")</f>
        <v>0</v>
      </c>
      <c r="F466" s="1">
        <f>IF(B466="", "", "air")</f>
        <v>0</v>
      </c>
      <c r="G466" s="1">
        <f>IF(B466="", "", "air")</f>
        <v>0</v>
      </c>
      <c r="H466" s="1">
        <f>IF(B466="", "", "air")</f>
        <v>0</v>
      </c>
      <c r="I466" s="1">
        <f>IF(B466="", "", "air metagenome")</f>
        <v>0</v>
      </c>
      <c r="J466" s="1">
        <f>IF(B466="", "", "655179")</f>
        <v>0</v>
      </c>
    </row>
    <row r="467" spans="1:10">
      <c r="A467">
        <f>IF(COUNTBLANK(B467:J467)&lt;&gt;COLUMNS(B467:J467),466,"")</f>
        <v>0</v>
      </c>
      <c r="D467" s="1">
        <f>IF(B467="", "", "m")</f>
        <v>0</v>
      </c>
      <c r="F467" s="1">
        <f>IF(B467="", "", "air")</f>
        <v>0</v>
      </c>
      <c r="G467" s="1">
        <f>IF(B467="", "", "air")</f>
        <v>0</v>
      </c>
      <c r="H467" s="1">
        <f>IF(B467="", "", "air")</f>
        <v>0</v>
      </c>
      <c r="I467" s="1">
        <f>IF(B467="", "", "air metagenome")</f>
        <v>0</v>
      </c>
      <c r="J467" s="1">
        <f>IF(B467="", "", "655179")</f>
        <v>0</v>
      </c>
    </row>
    <row r="468" spans="1:10">
      <c r="A468">
        <f>IF(COUNTBLANK(B468:J468)&lt;&gt;COLUMNS(B468:J468),467,"")</f>
        <v>0</v>
      </c>
      <c r="D468" s="1">
        <f>IF(B468="", "", "m")</f>
        <v>0</v>
      </c>
      <c r="F468" s="1">
        <f>IF(B468="", "", "air")</f>
        <v>0</v>
      </c>
      <c r="G468" s="1">
        <f>IF(B468="", "", "air")</f>
        <v>0</v>
      </c>
      <c r="H468" s="1">
        <f>IF(B468="", "", "air")</f>
        <v>0</v>
      </c>
      <c r="I468" s="1">
        <f>IF(B468="", "", "air metagenome")</f>
        <v>0</v>
      </c>
      <c r="J468" s="1">
        <f>IF(B468="", "", "655179")</f>
        <v>0</v>
      </c>
    </row>
    <row r="469" spans="1:10">
      <c r="A469">
        <f>IF(COUNTBLANK(B469:J469)&lt;&gt;COLUMNS(B469:J469),468,"")</f>
        <v>0</v>
      </c>
      <c r="D469" s="1">
        <f>IF(B469="", "", "m")</f>
        <v>0</v>
      </c>
      <c r="F469" s="1">
        <f>IF(B469="", "", "air")</f>
        <v>0</v>
      </c>
      <c r="G469" s="1">
        <f>IF(B469="", "", "air")</f>
        <v>0</v>
      </c>
      <c r="H469" s="1">
        <f>IF(B469="", "", "air")</f>
        <v>0</v>
      </c>
      <c r="I469" s="1">
        <f>IF(B469="", "", "air metagenome")</f>
        <v>0</v>
      </c>
      <c r="J469" s="1">
        <f>IF(B469="", "", "655179")</f>
        <v>0</v>
      </c>
    </row>
    <row r="470" spans="1:10">
      <c r="A470">
        <f>IF(COUNTBLANK(B470:J470)&lt;&gt;COLUMNS(B470:J470),469,"")</f>
        <v>0</v>
      </c>
      <c r="D470" s="1">
        <f>IF(B470="", "", "m")</f>
        <v>0</v>
      </c>
      <c r="F470" s="1">
        <f>IF(B470="", "", "air")</f>
        <v>0</v>
      </c>
      <c r="G470" s="1">
        <f>IF(B470="", "", "air")</f>
        <v>0</v>
      </c>
      <c r="H470" s="1">
        <f>IF(B470="", "", "air")</f>
        <v>0</v>
      </c>
      <c r="I470" s="1">
        <f>IF(B470="", "", "air metagenome")</f>
        <v>0</v>
      </c>
      <c r="J470" s="1">
        <f>IF(B470="", "", "655179")</f>
        <v>0</v>
      </c>
    </row>
    <row r="471" spans="1:10">
      <c r="A471">
        <f>IF(COUNTBLANK(B471:J471)&lt;&gt;COLUMNS(B471:J471),470,"")</f>
        <v>0</v>
      </c>
      <c r="D471" s="1">
        <f>IF(B471="", "", "m")</f>
        <v>0</v>
      </c>
      <c r="F471" s="1">
        <f>IF(B471="", "", "air")</f>
        <v>0</v>
      </c>
      <c r="G471" s="1">
        <f>IF(B471="", "", "air")</f>
        <v>0</v>
      </c>
      <c r="H471" s="1">
        <f>IF(B471="", "", "air")</f>
        <v>0</v>
      </c>
      <c r="I471" s="1">
        <f>IF(B471="", "", "air metagenome")</f>
        <v>0</v>
      </c>
      <c r="J471" s="1">
        <f>IF(B471="", "", "655179")</f>
        <v>0</v>
      </c>
    </row>
    <row r="472" spans="1:10">
      <c r="A472">
        <f>IF(COUNTBLANK(B472:J472)&lt;&gt;COLUMNS(B472:J472),471,"")</f>
        <v>0</v>
      </c>
      <c r="D472" s="1">
        <f>IF(B472="", "", "m")</f>
        <v>0</v>
      </c>
      <c r="F472" s="1">
        <f>IF(B472="", "", "air")</f>
        <v>0</v>
      </c>
      <c r="G472" s="1">
        <f>IF(B472="", "", "air")</f>
        <v>0</v>
      </c>
      <c r="H472" s="1">
        <f>IF(B472="", "", "air")</f>
        <v>0</v>
      </c>
      <c r="I472" s="1">
        <f>IF(B472="", "", "air metagenome")</f>
        <v>0</v>
      </c>
      <c r="J472" s="1">
        <f>IF(B472="", "", "655179")</f>
        <v>0</v>
      </c>
    </row>
    <row r="473" spans="1:10">
      <c r="A473">
        <f>IF(COUNTBLANK(B473:J473)&lt;&gt;COLUMNS(B473:J473),472,"")</f>
        <v>0</v>
      </c>
      <c r="D473" s="1">
        <f>IF(B473="", "", "m")</f>
        <v>0</v>
      </c>
      <c r="F473" s="1">
        <f>IF(B473="", "", "air")</f>
        <v>0</v>
      </c>
      <c r="G473" s="1">
        <f>IF(B473="", "", "air")</f>
        <v>0</v>
      </c>
      <c r="H473" s="1">
        <f>IF(B473="", "", "air")</f>
        <v>0</v>
      </c>
      <c r="I473" s="1">
        <f>IF(B473="", "", "air metagenome")</f>
        <v>0</v>
      </c>
      <c r="J473" s="1">
        <f>IF(B473="", "", "655179")</f>
        <v>0</v>
      </c>
    </row>
    <row r="474" spans="1:10">
      <c r="A474">
        <f>IF(COUNTBLANK(B474:J474)&lt;&gt;COLUMNS(B474:J474),473,"")</f>
        <v>0</v>
      </c>
      <c r="D474" s="1">
        <f>IF(B474="", "", "m")</f>
        <v>0</v>
      </c>
      <c r="F474" s="1">
        <f>IF(B474="", "", "air")</f>
        <v>0</v>
      </c>
      <c r="G474" s="1">
        <f>IF(B474="", "", "air")</f>
        <v>0</v>
      </c>
      <c r="H474" s="1">
        <f>IF(B474="", "", "air")</f>
        <v>0</v>
      </c>
      <c r="I474" s="1">
        <f>IF(B474="", "", "air metagenome")</f>
        <v>0</v>
      </c>
      <c r="J474" s="1">
        <f>IF(B474="", "", "655179")</f>
        <v>0</v>
      </c>
    </row>
    <row r="475" spans="1:10">
      <c r="A475">
        <f>IF(COUNTBLANK(B475:J475)&lt;&gt;COLUMNS(B475:J475),474,"")</f>
        <v>0</v>
      </c>
      <c r="D475" s="1">
        <f>IF(B475="", "", "m")</f>
        <v>0</v>
      </c>
      <c r="F475" s="1">
        <f>IF(B475="", "", "air")</f>
        <v>0</v>
      </c>
      <c r="G475" s="1">
        <f>IF(B475="", "", "air")</f>
        <v>0</v>
      </c>
      <c r="H475" s="1">
        <f>IF(B475="", "", "air")</f>
        <v>0</v>
      </c>
      <c r="I475" s="1">
        <f>IF(B475="", "", "air metagenome")</f>
        <v>0</v>
      </c>
      <c r="J475" s="1">
        <f>IF(B475="", "", "655179")</f>
        <v>0</v>
      </c>
    </row>
    <row r="476" spans="1:10">
      <c r="A476">
        <f>IF(COUNTBLANK(B476:J476)&lt;&gt;COLUMNS(B476:J476),475,"")</f>
        <v>0</v>
      </c>
      <c r="D476" s="1">
        <f>IF(B476="", "", "m")</f>
        <v>0</v>
      </c>
      <c r="F476" s="1">
        <f>IF(B476="", "", "air")</f>
        <v>0</v>
      </c>
      <c r="G476" s="1">
        <f>IF(B476="", "", "air")</f>
        <v>0</v>
      </c>
      <c r="H476" s="1">
        <f>IF(B476="", "", "air")</f>
        <v>0</v>
      </c>
      <c r="I476" s="1">
        <f>IF(B476="", "", "air metagenome")</f>
        <v>0</v>
      </c>
      <c r="J476" s="1">
        <f>IF(B476="", "", "655179")</f>
        <v>0</v>
      </c>
    </row>
    <row r="477" spans="1:10">
      <c r="A477">
        <f>IF(COUNTBLANK(B477:J477)&lt;&gt;COLUMNS(B477:J477),476,"")</f>
        <v>0</v>
      </c>
      <c r="D477" s="1">
        <f>IF(B477="", "", "m")</f>
        <v>0</v>
      </c>
      <c r="F477" s="1">
        <f>IF(B477="", "", "air")</f>
        <v>0</v>
      </c>
      <c r="G477" s="1">
        <f>IF(B477="", "", "air")</f>
        <v>0</v>
      </c>
      <c r="H477" s="1">
        <f>IF(B477="", "", "air")</f>
        <v>0</v>
      </c>
      <c r="I477" s="1">
        <f>IF(B477="", "", "air metagenome")</f>
        <v>0</v>
      </c>
      <c r="J477" s="1">
        <f>IF(B477="", "", "655179")</f>
        <v>0</v>
      </c>
    </row>
    <row r="478" spans="1:10">
      <c r="A478">
        <f>IF(COUNTBLANK(B478:J478)&lt;&gt;COLUMNS(B478:J478),477,"")</f>
        <v>0</v>
      </c>
      <c r="D478" s="1">
        <f>IF(B478="", "", "m")</f>
        <v>0</v>
      </c>
      <c r="F478" s="1">
        <f>IF(B478="", "", "air")</f>
        <v>0</v>
      </c>
      <c r="G478" s="1">
        <f>IF(B478="", "", "air")</f>
        <v>0</v>
      </c>
      <c r="H478" s="1">
        <f>IF(B478="", "", "air")</f>
        <v>0</v>
      </c>
      <c r="I478" s="1">
        <f>IF(B478="", "", "air metagenome")</f>
        <v>0</v>
      </c>
      <c r="J478" s="1">
        <f>IF(B478="", "", "655179")</f>
        <v>0</v>
      </c>
    </row>
    <row r="479" spans="1:10">
      <c r="A479">
        <f>IF(COUNTBLANK(B479:J479)&lt;&gt;COLUMNS(B479:J479),478,"")</f>
        <v>0</v>
      </c>
      <c r="D479" s="1">
        <f>IF(B479="", "", "m")</f>
        <v>0</v>
      </c>
      <c r="F479" s="1">
        <f>IF(B479="", "", "air")</f>
        <v>0</v>
      </c>
      <c r="G479" s="1">
        <f>IF(B479="", "", "air")</f>
        <v>0</v>
      </c>
      <c r="H479" s="1">
        <f>IF(B479="", "", "air")</f>
        <v>0</v>
      </c>
      <c r="I479" s="1">
        <f>IF(B479="", "", "air metagenome")</f>
        <v>0</v>
      </c>
      <c r="J479" s="1">
        <f>IF(B479="", "", "655179")</f>
        <v>0</v>
      </c>
    </row>
    <row r="480" spans="1:10">
      <c r="A480">
        <f>IF(COUNTBLANK(B480:J480)&lt;&gt;COLUMNS(B480:J480),479,"")</f>
        <v>0</v>
      </c>
      <c r="D480" s="1">
        <f>IF(B480="", "", "m")</f>
        <v>0</v>
      </c>
      <c r="F480" s="1">
        <f>IF(B480="", "", "air")</f>
        <v>0</v>
      </c>
      <c r="G480" s="1">
        <f>IF(B480="", "", "air")</f>
        <v>0</v>
      </c>
      <c r="H480" s="1">
        <f>IF(B480="", "", "air")</f>
        <v>0</v>
      </c>
      <c r="I480" s="1">
        <f>IF(B480="", "", "air metagenome")</f>
        <v>0</v>
      </c>
      <c r="J480" s="1">
        <f>IF(B480="", "", "655179")</f>
        <v>0</v>
      </c>
    </row>
    <row r="481" spans="1:10">
      <c r="A481">
        <f>IF(COUNTBLANK(B481:J481)&lt;&gt;COLUMNS(B481:J481),480,"")</f>
        <v>0</v>
      </c>
      <c r="D481" s="1">
        <f>IF(B481="", "", "m")</f>
        <v>0</v>
      </c>
      <c r="F481" s="1">
        <f>IF(B481="", "", "air")</f>
        <v>0</v>
      </c>
      <c r="G481" s="1">
        <f>IF(B481="", "", "air")</f>
        <v>0</v>
      </c>
      <c r="H481" s="1">
        <f>IF(B481="", "", "air")</f>
        <v>0</v>
      </c>
      <c r="I481" s="1">
        <f>IF(B481="", "", "air metagenome")</f>
        <v>0</v>
      </c>
      <c r="J481" s="1">
        <f>IF(B481="", "", "655179")</f>
        <v>0</v>
      </c>
    </row>
    <row r="482" spans="1:10">
      <c r="A482">
        <f>IF(COUNTBLANK(B482:J482)&lt;&gt;COLUMNS(B482:J482),481,"")</f>
        <v>0</v>
      </c>
      <c r="D482" s="1">
        <f>IF(B482="", "", "m")</f>
        <v>0</v>
      </c>
      <c r="F482" s="1">
        <f>IF(B482="", "", "air")</f>
        <v>0</v>
      </c>
      <c r="G482" s="1">
        <f>IF(B482="", "", "air")</f>
        <v>0</v>
      </c>
      <c r="H482" s="1">
        <f>IF(B482="", "", "air")</f>
        <v>0</v>
      </c>
      <c r="I482" s="1">
        <f>IF(B482="", "", "air metagenome")</f>
        <v>0</v>
      </c>
      <c r="J482" s="1">
        <f>IF(B482="", "", "655179")</f>
        <v>0</v>
      </c>
    </row>
    <row r="483" spans="1:10">
      <c r="A483">
        <f>IF(COUNTBLANK(B483:J483)&lt;&gt;COLUMNS(B483:J483),482,"")</f>
        <v>0</v>
      </c>
      <c r="D483" s="1">
        <f>IF(B483="", "", "m")</f>
        <v>0</v>
      </c>
      <c r="F483" s="1">
        <f>IF(B483="", "", "air")</f>
        <v>0</v>
      </c>
      <c r="G483" s="1">
        <f>IF(B483="", "", "air")</f>
        <v>0</v>
      </c>
      <c r="H483" s="1">
        <f>IF(B483="", "", "air")</f>
        <v>0</v>
      </c>
      <c r="I483" s="1">
        <f>IF(B483="", "", "air metagenome")</f>
        <v>0</v>
      </c>
      <c r="J483" s="1">
        <f>IF(B483="", "", "655179")</f>
        <v>0</v>
      </c>
    </row>
    <row r="484" spans="1:10">
      <c r="A484">
        <f>IF(COUNTBLANK(B484:J484)&lt;&gt;COLUMNS(B484:J484),483,"")</f>
        <v>0</v>
      </c>
      <c r="D484" s="1">
        <f>IF(B484="", "", "m")</f>
        <v>0</v>
      </c>
      <c r="F484" s="1">
        <f>IF(B484="", "", "air")</f>
        <v>0</v>
      </c>
      <c r="G484" s="1">
        <f>IF(B484="", "", "air")</f>
        <v>0</v>
      </c>
      <c r="H484" s="1">
        <f>IF(B484="", "", "air")</f>
        <v>0</v>
      </c>
      <c r="I484" s="1">
        <f>IF(B484="", "", "air metagenome")</f>
        <v>0</v>
      </c>
      <c r="J484" s="1">
        <f>IF(B484="", "", "655179")</f>
        <v>0</v>
      </c>
    </row>
    <row r="485" spans="1:10">
      <c r="A485">
        <f>IF(COUNTBLANK(B485:J485)&lt;&gt;COLUMNS(B485:J485),484,"")</f>
        <v>0</v>
      </c>
      <c r="D485" s="1">
        <f>IF(B485="", "", "m")</f>
        <v>0</v>
      </c>
      <c r="F485" s="1">
        <f>IF(B485="", "", "air")</f>
        <v>0</v>
      </c>
      <c r="G485" s="1">
        <f>IF(B485="", "", "air")</f>
        <v>0</v>
      </c>
      <c r="H485" s="1">
        <f>IF(B485="", "", "air")</f>
        <v>0</v>
      </c>
      <c r="I485" s="1">
        <f>IF(B485="", "", "air metagenome")</f>
        <v>0</v>
      </c>
      <c r="J485" s="1">
        <f>IF(B485="", "", "655179")</f>
        <v>0</v>
      </c>
    </row>
    <row r="486" spans="1:10">
      <c r="A486">
        <f>IF(COUNTBLANK(B486:J486)&lt;&gt;COLUMNS(B486:J486),485,"")</f>
        <v>0</v>
      </c>
      <c r="D486" s="1">
        <f>IF(B486="", "", "m")</f>
        <v>0</v>
      </c>
      <c r="F486" s="1">
        <f>IF(B486="", "", "air")</f>
        <v>0</v>
      </c>
      <c r="G486" s="1">
        <f>IF(B486="", "", "air")</f>
        <v>0</v>
      </c>
      <c r="H486" s="1">
        <f>IF(B486="", "", "air")</f>
        <v>0</v>
      </c>
      <c r="I486" s="1">
        <f>IF(B486="", "", "air metagenome")</f>
        <v>0</v>
      </c>
      <c r="J486" s="1">
        <f>IF(B486="", "", "655179")</f>
        <v>0</v>
      </c>
    </row>
    <row r="487" spans="1:10">
      <c r="A487">
        <f>IF(COUNTBLANK(B487:J487)&lt;&gt;COLUMNS(B487:J487),486,"")</f>
        <v>0</v>
      </c>
      <c r="D487" s="1">
        <f>IF(B487="", "", "m")</f>
        <v>0</v>
      </c>
      <c r="F487" s="1">
        <f>IF(B487="", "", "air")</f>
        <v>0</v>
      </c>
      <c r="G487" s="1">
        <f>IF(B487="", "", "air")</f>
        <v>0</v>
      </c>
      <c r="H487" s="1">
        <f>IF(B487="", "", "air")</f>
        <v>0</v>
      </c>
      <c r="I487" s="1">
        <f>IF(B487="", "", "air metagenome")</f>
        <v>0</v>
      </c>
      <c r="J487" s="1">
        <f>IF(B487="", "", "655179")</f>
        <v>0</v>
      </c>
    </row>
    <row r="488" spans="1:10">
      <c r="A488">
        <f>IF(COUNTBLANK(B488:J488)&lt;&gt;COLUMNS(B488:J488),487,"")</f>
        <v>0</v>
      </c>
      <c r="D488" s="1">
        <f>IF(B488="", "", "m")</f>
        <v>0</v>
      </c>
      <c r="F488" s="1">
        <f>IF(B488="", "", "air")</f>
        <v>0</v>
      </c>
      <c r="G488" s="1">
        <f>IF(B488="", "", "air")</f>
        <v>0</v>
      </c>
      <c r="H488" s="1">
        <f>IF(B488="", "", "air")</f>
        <v>0</v>
      </c>
      <c r="I488" s="1">
        <f>IF(B488="", "", "air metagenome")</f>
        <v>0</v>
      </c>
      <c r="J488" s="1">
        <f>IF(B488="", "", "655179")</f>
        <v>0</v>
      </c>
    </row>
    <row r="489" spans="1:10">
      <c r="A489">
        <f>IF(COUNTBLANK(B489:J489)&lt;&gt;COLUMNS(B489:J489),488,"")</f>
        <v>0</v>
      </c>
      <c r="D489" s="1">
        <f>IF(B489="", "", "m")</f>
        <v>0</v>
      </c>
      <c r="F489" s="1">
        <f>IF(B489="", "", "air")</f>
        <v>0</v>
      </c>
      <c r="G489" s="1">
        <f>IF(B489="", "", "air")</f>
        <v>0</v>
      </c>
      <c r="H489" s="1">
        <f>IF(B489="", "", "air")</f>
        <v>0</v>
      </c>
      <c r="I489" s="1">
        <f>IF(B489="", "", "air metagenome")</f>
        <v>0</v>
      </c>
      <c r="J489" s="1">
        <f>IF(B489="", "", "655179")</f>
        <v>0</v>
      </c>
    </row>
    <row r="490" spans="1:10">
      <c r="A490">
        <f>IF(COUNTBLANK(B490:J490)&lt;&gt;COLUMNS(B490:J490),489,"")</f>
        <v>0</v>
      </c>
      <c r="D490" s="1">
        <f>IF(B490="", "", "m")</f>
        <v>0</v>
      </c>
      <c r="F490" s="1">
        <f>IF(B490="", "", "air")</f>
        <v>0</v>
      </c>
      <c r="G490" s="1">
        <f>IF(B490="", "", "air")</f>
        <v>0</v>
      </c>
      <c r="H490" s="1">
        <f>IF(B490="", "", "air")</f>
        <v>0</v>
      </c>
      <c r="I490" s="1">
        <f>IF(B490="", "", "air metagenome")</f>
        <v>0</v>
      </c>
      <c r="J490" s="1">
        <f>IF(B490="", "", "655179")</f>
        <v>0</v>
      </c>
    </row>
    <row r="491" spans="1:10">
      <c r="A491">
        <f>IF(COUNTBLANK(B491:J491)&lt;&gt;COLUMNS(B491:J491),490,"")</f>
        <v>0</v>
      </c>
      <c r="D491" s="1">
        <f>IF(B491="", "", "m")</f>
        <v>0</v>
      </c>
      <c r="F491" s="1">
        <f>IF(B491="", "", "air")</f>
        <v>0</v>
      </c>
      <c r="G491" s="1">
        <f>IF(B491="", "", "air")</f>
        <v>0</v>
      </c>
      <c r="H491" s="1">
        <f>IF(B491="", "", "air")</f>
        <v>0</v>
      </c>
      <c r="I491" s="1">
        <f>IF(B491="", "", "air metagenome")</f>
        <v>0</v>
      </c>
      <c r="J491" s="1">
        <f>IF(B491="", "", "655179")</f>
        <v>0</v>
      </c>
    </row>
    <row r="492" spans="1:10">
      <c r="A492">
        <f>IF(COUNTBLANK(B492:J492)&lt;&gt;COLUMNS(B492:J492),491,"")</f>
        <v>0</v>
      </c>
      <c r="D492" s="1">
        <f>IF(B492="", "", "m")</f>
        <v>0</v>
      </c>
      <c r="F492" s="1">
        <f>IF(B492="", "", "air")</f>
        <v>0</v>
      </c>
      <c r="G492" s="1">
        <f>IF(B492="", "", "air")</f>
        <v>0</v>
      </c>
      <c r="H492" s="1">
        <f>IF(B492="", "", "air")</f>
        <v>0</v>
      </c>
      <c r="I492" s="1">
        <f>IF(B492="", "", "air metagenome")</f>
        <v>0</v>
      </c>
      <c r="J492" s="1">
        <f>IF(B492="", "", "655179")</f>
        <v>0</v>
      </c>
    </row>
    <row r="493" spans="1:10">
      <c r="A493">
        <f>IF(COUNTBLANK(B493:J493)&lt;&gt;COLUMNS(B493:J493),492,"")</f>
        <v>0</v>
      </c>
      <c r="D493" s="1">
        <f>IF(B493="", "", "m")</f>
        <v>0</v>
      </c>
      <c r="F493" s="1">
        <f>IF(B493="", "", "air")</f>
        <v>0</v>
      </c>
      <c r="G493" s="1">
        <f>IF(B493="", "", "air")</f>
        <v>0</v>
      </c>
      <c r="H493" s="1">
        <f>IF(B493="", "", "air")</f>
        <v>0</v>
      </c>
      <c r="I493" s="1">
        <f>IF(B493="", "", "air metagenome")</f>
        <v>0</v>
      </c>
      <c r="J493" s="1">
        <f>IF(B493="", "", "655179")</f>
        <v>0</v>
      </c>
    </row>
    <row r="494" spans="1:10">
      <c r="A494">
        <f>IF(COUNTBLANK(B494:J494)&lt;&gt;COLUMNS(B494:J494),493,"")</f>
        <v>0</v>
      </c>
      <c r="D494" s="1">
        <f>IF(B494="", "", "m")</f>
        <v>0</v>
      </c>
      <c r="F494" s="1">
        <f>IF(B494="", "", "air")</f>
        <v>0</v>
      </c>
      <c r="G494" s="1">
        <f>IF(B494="", "", "air")</f>
        <v>0</v>
      </c>
      <c r="H494" s="1">
        <f>IF(B494="", "", "air")</f>
        <v>0</v>
      </c>
      <c r="I494" s="1">
        <f>IF(B494="", "", "air metagenome")</f>
        <v>0</v>
      </c>
      <c r="J494" s="1">
        <f>IF(B494="", "", "655179")</f>
        <v>0</v>
      </c>
    </row>
    <row r="495" spans="1:10">
      <c r="A495">
        <f>IF(COUNTBLANK(B495:J495)&lt;&gt;COLUMNS(B495:J495),494,"")</f>
        <v>0</v>
      </c>
      <c r="D495" s="1">
        <f>IF(B495="", "", "m")</f>
        <v>0</v>
      </c>
      <c r="F495" s="1">
        <f>IF(B495="", "", "air")</f>
        <v>0</v>
      </c>
      <c r="G495" s="1">
        <f>IF(B495="", "", "air")</f>
        <v>0</v>
      </c>
      <c r="H495" s="1">
        <f>IF(B495="", "", "air")</f>
        <v>0</v>
      </c>
      <c r="I495" s="1">
        <f>IF(B495="", "", "air metagenome")</f>
        <v>0</v>
      </c>
      <c r="J495" s="1">
        <f>IF(B495="", "", "655179")</f>
        <v>0</v>
      </c>
    </row>
    <row r="496" spans="1:10">
      <c r="A496">
        <f>IF(COUNTBLANK(B496:J496)&lt;&gt;COLUMNS(B496:J496),495,"")</f>
        <v>0</v>
      </c>
      <c r="D496" s="1">
        <f>IF(B496="", "", "m")</f>
        <v>0</v>
      </c>
      <c r="F496" s="1">
        <f>IF(B496="", "", "air")</f>
        <v>0</v>
      </c>
      <c r="G496" s="1">
        <f>IF(B496="", "", "air")</f>
        <v>0</v>
      </c>
      <c r="H496" s="1">
        <f>IF(B496="", "", "air")</f>
        <v>0</v>
      </c>
      <c r="I496" s="1">
        <f>IF(B496="", "", "air metagenome")</f>
        <v>0</v>
      </c>
      <c r="J496" s="1">
        <f>IF(B496="", "", "655179")</f>
        <v>0</v>
      </c>
    </row>
    <row r="497" spans="1:10">
      <c r="A497">
        <f>IF(COUNTBLANK(B497:J497)&lt;&gt;COLUMNS(B497:J497),496,"")</f>
        <v>0</v>
      </c>
      <c r="D497" s="1">
        <f>IF(B497="", "", "m")</f>
        <v>0</v>
      </c>
      <c r="F497" s="1">
        <f>IF(B497="", "", "air")</f>
        <v>0</v>
      </c>
      <c r="G497" s="1">
        <f>IF(B497="", "", "air")</f>
        <v>0</v>
      </c>
      <c r="H497" s="1">
        <f>IF(B497="", "", "air")</f>
        <v>0</v>
      </c>
      <c r="I497" s="1">
        <f>IF(B497="", "", "air metagenome")</f>
        <v>0</v>
      </c>
      <c r="J497" s="1">
        <f>IF(B497="", "", "655179")</f>
        <v>0</v>
      </c>
    </row>
    <row r="498" spans="1:10">
      <c r="A498">
        <f>IF(COUNTBLANK(B498:J498)&lt;&gt;COLUMNS(B498:J498),497,"")</f>
        <v>0</v>
      </c>
      <c r="D498" s="1">
        <f>IF(B498="", "", "m")</f>
        <v>0</v>
      </c>
      <c r="F498" s="1">
        <f>IF(B498="", "", "air")</f>
        <v>0</v>
      </c>
      <c r="G498" s="1">
        <f>IF(B498="", "", "air")</f>
        <v>0</v>
      </c>
      <c r="H498" s="1">
        <f>IF(B498="", "", "air")</f>
        <v>0</v>
      </c>
      <c r="I498" s="1">
        <f>IF(B498="", "", "air metagenome")</f>
        <v>0</v>
      </c>
      <c r="J498" s="1">
        <f>IF(B498="", "", "655179")</f>
        <v>0</v>
      </c>
    </row>
    <row r="499" spans="1:10">
      <c r="A499">
        <f>IF(COUNTBLANK(B499:J499)&lt;&gt;COLUMNS(B499:J499),498,"")</f>
        <v>0</v>
      </c>
      <c r="D499" s="1">
        <f>IF(B499="", "", "m")</f>
        <v>0</v>
      </c>
      <c r="F499" s="1">
        <f>IF(B499="", "", "air")</f>
        <v>0</v>
      </c>
      <c r="G499" s="1">
        <f>IF(B499="", "", "air")</f>
        <v>0</v>
      </c>
      <c r="H499" s="1">
        <f>IF(B499="", "", "air")</f>
        <v>0</v>
      </c>
      <c r="I499" s="1">
        <f>IF(B499="", "", "air metagenome")</f>
        <v>0</v>
      </c>
      <c r="J499" s="1">
        <f>IF(B499="", "", "655179")</f>
        <v>0</v>
      </c>
    </row>
    <row r="500" spans="1:10">
      <c r="A500">
        <f>IF(COUNTBLANK(B500:J500)&lt;&gt;COLUMNS(B500:J500),499,"")</f>
        <v>0</v>
      </c>
      <c r="D500" s="1">
        <f>IF(B500="", "", "m")</f>
        <v>0</v>
      </c>
      <c r="F500" s="1">
        <f>IF(B500="", "", "air")</f>
        <v>0</v>
      </c>
      <c r="G500" s="1">
        <f>IF(B500="", "", "air")</f>
        <v>0</v>
      </c>
      <c r="H500" s="1">
        <f>IF(B500="", "", "air")</f>
        <v>0</v>
      </c>
      <c r="I500" s="1">
        <f>IF(B500="", "", "air metagenome")</f>
        <v>0</v>
      </c>
      <c r="J500" s="1">
        <f>IF(B500="", "", "655179")</f>
        <v>0</v>
      </c>
    </row>
    <row r="501" spans="1:10">
      <c r="A501">
        <f>IF(COUNTBLANK(B501:J501)&lt;&gt;COLUMNS(B501:J501),500,"")</f>
        <v>0</v>
      </c>
      <c r="D501" s="1">
        <f>IF(B501="", "", "m")</f>
        <v>0</v>
      </c>
      <c r="F501" s="1">
        <f>IF(B501="", "", "air")</f>
        <v>0</v>
      </c>
      <c r="G501" s="1">
        <f>IF(B501="", "", "air")</f>
        <v>0</v>
      </c>
      <c r="H501" s="1">
        <f>IF(B501="", "", "air")</f>
        <v>0</v>
      </c>
      <c r="I501" s="1">
        <f>IF(B501="", "", "air metagenome")</f>
        <v>0</v>
      </c>
      <c r="J501" s="1">
        <f>IF(B501="", "", "655179")</f>
        <v>0</v>
      </c>
    </row>
    <row r="502" spans="1:10">
      <c r="A502">
        <f>IF(COUNTBLANK(B502:J502)&lt;&gt;COLUMNS(B502:J502),501,"")</f>
        <v>0</v>
      </c>
      <c r="D502" s="1">
        <f>IF(B502="", "", "m")</f>
        <v>0</v>
      </c>
      <c r="F502" s="1">
        <f>IF(B502="", "", "air")</f>
        <v>0</v>
      </c>
      <c r="G502" s="1">
        <f>IF(B502="", "", "air")</f>
        <v>0</v>
      </c>
      <c r="H502" s="1">
        <f>IF(B502="", "", "air")</f>
        <v>0</v>
      </c>
      <c r="I502" s="1">
        <f>IF(B502="", "", "air metagenome")</f>
        <v>0</v>
      </c>
      <c r="J502" s="1">
        <f>IF(B502="", "", "655179")</f>
        <v>0</v>
      </c>
    </row>
    <row r="503" spans="1:10">
      <c r="A503">
        <f>IF(COUNTBLANK(B503:J503)&lt;&gt;COLUMNS(B503:J503),502,"")</f>
        <v>0</v>
      </c>
      <c r="D503" s="1">
        <f>IF(B503="", "", "m")</f>
        <v>0</v>
      </c>
      <c r="F503" s="1">
        <f>IF(B503="", "", "air")</f>
        <v>0</v>
      </c>
      <c r="G503" s="1">
        <f>IF(B503="", "", "air")</f>
        <v>0</v>
      </c>
      <c r="H503" s="1">
        <f>IF(B503="", "", "air")</f>
        <v>0</v>
      </c>
      <c r="I503" s="1">
        <f>IF(B503="", "", "air metagenome")</f>
        <v>0</v>
      </c>
      <c r="J503" s="1">
        <f>IF(B503="", "", "655179")</f>
        <v>0</v>
      </c>
    </row>
    <row r="504" spans="1:10">
      <c r="A504">
        <f>IF(COUNTBLANK(B504:J504)&lt;&gt;COLUMNS(B504:J504),503,"")</f>
        <v>0</v>
      </c>
      <c r="D504" s="1">
        <f>IF(B504="", "", "m")</f>
        <v>0</v>
      </c>
      <c r="F504" s="1">
        <f>IF(B504="", "", "air")</f>
        <v>0</v>
      </c>
      <c r="G504" s="1">
        <f>IF(B504="", "", "air")</f>
        <v>0</v>
      </c>
      <c r="H504" s="1">
        <f>IF(B504="", "", "air")</f>
        <v>0</v>
      </c>
      <c r="I504" s="1">
        <f>IF(B504="", "", "air metagenome")</f>
        <v>0</v>
      </c>
      <c r="J504" s="1">
        <f>IF(B504="", "", "655179")</f>
        <v>0</v>
      </c>
    </row>
    <row r="505" spans="1:10">
      <c r="A505">
        <f>IF(COUNTBLANK(B505:J505)&lt;&gt;COLUMNS(B505:J505),504,"")</f>
        <v>0</v>
      </c>
      <c r="D505" s="1">
        <f>IF(B505="", "", "m")</f>
        <v>0</v>
      </c>
      <c r="F505" s="1">
        <f>IF(B505="", "", "air")</f>
        <v>0</v>
      </c>
      <c r="G505" s="1">
        <f>IF(B505="", "", "air")</f>
        <v>0</v>
      </c>
      <c r="H505" s="1">
        <f>IF(B505="", "", "air")</f>
        <v>0</v>
      </c>
      <c r="I505" s="1">
        <f>IF(B505="", "", "air metagenome")</f>
        <v>0</v>
      </c>
      <c r="J505" s="1">
        <f>IF(B505="", "", "655179")</f>
        <v>0</v>
      </c>
    </row>
    <row r="506" spans="1:10">
      <c r="A506">
        <f>IF(COUNTBLANK(B506:J506)&lt;&gt;COLUMNS(B506:J506),505,"")</f>
        <v>0</v>
      </c>
      <c r="D506" s="1">
        <f>IF(B506="", "", "m")</f>
        <v>0</v>
      </c>
      <c r="F506" s="1">
        <f>IF(B506="", "", "air")</f>
        <v>0</v>
      </c>
      <c r="G506" s="1">
        <f>IF(B506="", "", "air")</f>
        <v>0</v>
      </c>
      <c r="H506" s="1">
        <f>IF(B506="", "", "air")</f>
        <v>0</v>
      </c>
      <c r="I506" s="1">
        <f>IF(B506="", "", "air metagenome")</f>
        <v>0</v>
      </c>
      <c r="J506" s="1">
        <f>IF(B506="", "", "655179")</f>
        <v>0</v>
      </c>
    </row>
    <row r="507" spans="1:10">
      <c r="A507">
        <f>IF(COUNTBLANK(B507:J507)&lt;&gt;COLUMNS(B507:J507),506,"")</f>
        <v>0</v>
      </c>
      <c r="D507" s="1">
        <f>IF(B507="", "", "m")</f>
        <v>0</v>
      </c>
      <c r="F507" s="1">
        <f>IF(B507="", "", "air")</f>
        <v>0</v>
      </c>
      <c r="G507" s="1">
        <f>IF(B507="", "", "air")</f>
        <v>0</v>
      </c>
      <c r="H507" s="1">
        <f>IF(B507="", "", "air")</f>
        <v>0</v>
      </c>
      <c r="I507" s="1">
        <f>IF(B507="", "", "air metagenome")</f>
        <v>0</v>
      </c>
      <c r="J507" s="1">
        <f>IF(B507="", "", "655179")</f>
        <v>0</v>
      </c>
    </row>
    <row r="508" spans="1:10">
      <c r="A508">
        <f>IF(COUNTBLANK(B508:J508)&lt;&gt;COLUMNS(B508:J508),507,"")</f>
        <v>0</v>
      </c>
      <c r="D508" s="1">
        <f>IF(B508="", "", "m")</f>
        <v>0</v>
      </c>
      <c r="F508" s="1">
        <f>IF(B508="", "", "air")</f>
        <v>0</v>
      </c>
      <c r="G508" s="1">
        <f>IF(B508="", "", "air")</f>
        <v>0</v>
      </c>
      <c r="H508" s="1">
        <f>IF(B508="", "", "air")</f>
        <v>0</v>
      </c>
      <c r="I508" s="1">
        <f>IF(B508="", "", "air metagenome")</f>
        <v>0</v>
      </c>
      <c r="J508" s="1">
        <f>IF(B508="", "", "655179")</f>
        <v>0</v>
      </c>
    </row>
    <row r="509" spans="1:10">
      <c r="A509">
        <f>IF(COUNTBLANK(B509:J509)&lt;&gt;COLUMNS(B509:J509),508,"")</f>
        <v>0</v>
      </c>
      <c r="D509" s="1">
        <f>IF(B509="", "", "m")</f>
        <v>0</v>
      </c>
      <c r="F509" s="1">
        <f>IF(B509="", "", "air")</f>
        <v>0</v>
      </c>
      <c r="G509" s="1">
        <f>IF(B509="", "", "air")</f>
        <v>0</v>
      </c>
      <c r="H509" s="1">
        <f>IF(B509="", "", "air")</f>
        <v>0</v>
      </c>
      <c r="I509" s="1">
        <f>IF(B509="", "", "air metagenome")</f>
        <v>0</v>
      </c>
      <c r="J509" s="1">
        <f>IF(B509="", "", "655179")</f>
        <v>0</v>
      </c>
    </row>
    <row r="510" spans="1:10">
      <c r="A510">
        <f>IF(COUNTBLANK(B510:J510)&lt;&gt;COLUMNS(B510:J510),509,"")</f>
        <v>0</v>
      </c>
      <c r="D510" s="1">
        <f>IF(B510="", "", "m")</f>
        <v>0</v>
      </c>
      <c r="F510" s="1">
        <f>IF(B510="", "", "air")</f>
        <v>0</v>
      </c>
      <c r="G510" s="1">
        <f>IF(B510="", "", "air")</f>
        <v>0</v>
      </c>
      <c r="H510" s="1">
        <f>IF(B510="", "", "air")</f>
        <v>0</v>
      </c>
      <c r="I510" s="1">
        <f>IF(B510="", "", "air metagenome")</f>
        <v>0</v>
      </c>
      <c r="J510" s="1">
        <f>IF(B510="", "", "655179")</f>
        <v>0</v>
      </c>
    </row>
    <row r="511" spans="1:10">
      <c r="A511">
        <f>IF(COUNTBLANK(B511:J511)&lt;&gt;COLUMNS(B511:J511),510,"")</f>
        <v>0</v>
      </c>
      <c r="D511" s="1">
        <f>IF(B511="", "", "m")</f>
        <v>0</v>
      </c>
      <c r="F511" s="1">
        <f>IF(B511="", "", "air")</f>
        <v>0</v>
      </c>
      <c r="G511" s="1">
        <f>IF(B511="", "", "air")</f>
        <v>0</v>
      </c>
      <c r="H511" s="1">
        <f>IF(B511="", "", "air")</f>
        <v>0</v>
      </c>
      <c r="I511" s="1">
        <f>IF(B511="", "", "air metagenome")</f>
        <v>0</v>
      </c>
      <c r="J511" s="1">
        <f>IF(B511="", "", "655179")</f>
        <v>0</v>
      </c>
    </row>
    <row r="512" spans="1:10">
      <c r="A512">
        <f>IF(COUNTBLANK(B512:J512)&lt;&gt;COLUMNS(B512:J512),511,"")</f>
        <v>0</v>
      </c>
      <c r="D512" s="1">
        <f>IF(B512="", "", "m")</f>
        <v>0</v>
      </c>
      <c r="F512" s="1">
        <f>IF(B512="", "", "air")</f>
        <v>0</v>
      </c>
      <c r="G512" s="1">
        <f>IF(B512="", "", "air")</f>
        <v>0</v>
      </c>
      <c r="H512" s="1">
        <f>IF(B512="", "", "air")</f>
        <v>0</v>
      </c>
      <c r="I512" s="1">
        <f>IF(B512="", "", "air metagenome")</f>
        <v>0</v>
      </c>
      <c r="J512" s="1">
        <f>IF(B512="", "", "655179")</f>
        <v>0</v>
      </c>
    </row>
    <row r="513" spans="1:10">
      <c r="A513">
        <f>IF(COUNTBLANK(B513:J513)&lt;&gt;COLUMNS(B513:J513),512,"")</f>
        <v>0</v>
      </c>
      <c r="D513" s="1">
        <f>IF(B513="", "", "m")</f>
        <v>0</v>
      </c>
      <c r="F513" s="1">
        <f>IF(B513="", "", "air")</f>
        <v>0</v>
      </c>
      <c r="G513" s="1">
        <f>IF(B513="", "", "air")</f>
        <v>0</v>
      </c>
      <c r="H513" s="1">
        <f>IF(B513="", "", "air")</f>
        <v>0</v>
      </c>
      <c r="I513" s="1">
        <f>IF(B513="", "", "air metagenome")</f>
        <v>0</v>
      </c>
      <c r="J513" s="1">
        <f>IF(B513="", "", "655179")</f>
        <v>0</v>
      </c>
    </row>
    <row r="514" spans="1:10">
      <c r="A514">
        <f>IF(COUNTBLANK(B514:J514)&lt;&gt;COLUMNS(B514:J514),513,"")</f>
        <v>0</v>
      </c>
      <c r="D514" s="1">
        <f>IF(B514="", "", "m")</f>
        <v>0</v>
      </c>
      <c r="F514" s="1">
        <f>IF(B514="", "", "air")</f>
        <v>0</v>
      </c>
      <c r="G514" s="1">
        <f>IF(B514="", "", "air")</f>
        <v>0</v>
      </c>
      <c r="H514" s="1">
        <f>IF(B514="", "", "air")</f>
        <v>0</v>
      </c>
      <c r="I514" s="1">
        <f>IF(B514="", "", "air metagenome")</f>
        <v>0</v>
      </c>
      <c r="J514" s="1">
        <f>IF(B514="", "", "655179")</f>
        <v>0</v>
      </c>
    </row>
    <row r="515" spans="1:10">
      <c r="A515">
        <f>IF(COUNTBLANK(B515:J515)&lt;&gt;COLUMNS(B515:J515),514,"")</f>
        <v>0</v>
      </c>
      <c r="D515" s="1">
        <f>IF(B515="", "", "m")</f>
        <v>0</v>
      </c>
      <c r="F515" s="1">
        <f>IF(B515="", "", "air")</f>
        <v>0</v>
      </c>
      <c r="G515" s="1">
        <f>IF(B515="", "", "air")</f>
        <v>0</v>
      </c>
      <c r="H515" s="1">
        <f>IF(B515="", "", "air")</f>
        <v>0</v>
      </c>
      <c r="I515" s="1">
        <f>IF(B515="", "", "air metagenome")</f>
        <v>0</v>
      </c>
      <c r="J515" s="1">
        <f>IF(B515="", "", "655179")</f>
        <v>0</v>
      </c>
    </row>
    <row r="516" spans="1:10">
      <c r="A516">
        <f>IF(COUNTBLANK(B516:J516)&lt;&gt;COLUMNS(B516:J516),515,"")</f>
        <v>0</v>
      </c>
      <c r="D516" s="1">
        <f>IF(B516="", "", "m")</f>
        <v>0</v>
      </c>
      <c r="F516" s="1">
        <f>IF(B516="", "", "air")</f>
        <v>0</v>
      </c>
      <c r="G516" s="1">
        <f>IF(B516="", "", "air")</f>
        <v>0</v>
      </c>
      <c r="H516" s="1">
        <f>IF(B516="", "", "air")</f>
        <v>0</v>
      </c>
      <c r="I516" s="1">
        <f>IF(B516="", "", "air metagenome")</f>
        <v>0</v>
      </c>
      <c r="J516" s="1">
        <f>IF(B516="", "", "655179")</f>
        <v>0</v>
      </c>
    </row>
    <row r="517" spans="1:10">
      <c r="A517">
        <f>IF(COUNTBLANK(B517:J517)&lt;&gt;COLUMNS(B517:J517),516,"")</f>
        <v>0</v>
      </c>
      <c r="D517" s="1">
        <f>IF(B517="", "", "m")</f>
        <v>0</v>
      </c>
      <c r="F517" s="1">
        <f>IF(B517="", "", "air")</f>
        <v>0</v>
      </c>
      <c r="G517" s="1">
        <f>IF(B517="", "", "air")</f>
        <v>0</v>
      </c>
      <c r="H517" s="1">
        <f>IF(B517="", "", "air")</f>
        <v>0</v>
      </c>
      <c r="I517" s="1">
        <f>IF(B517="", "", "air metagenome")</f>
        <v>0</v>
      </c>
      <c r="J517" s="1">
        <f>IF(B517="", "", "655179")</f>
        <v>0</v>
      </c>
    </row>
    <row r="518" spans="1:10">
      <c r="A518">
        <f>IF(COUNTBLANK(B518:J518)&lt;&gt;COLUMNS(B518:J518),517,"")</f>
        <v>0</v>
      </c>
      <c r="D518" s="1">
        <f>IF(B518="", "", "m")</f>
        <v>0</v>
      </c>
      <c r="F518" s="1">
        <f>IF(B518="", "", "air")</f>
        <v>0</v>
      </c>
      <c r="G518" s="1">
        <f>IF(B518="", "", "air")</f>
        <v>0</v>
      </c>
      <c r="H518" s="1">
        <f>IF(B518="", "", "air")</f>
        <v>0</v>
      </c>
      <c r="I518" s="1">
        <f>IF(B518="", "", "air metagenome")</f>
        <v>0</v>
      </c>
      <c r="J518" s="1">
        <f>IF(B518="", "", "655179")</f>
        <v>0</v>
      </c>
    </row>
    <row r="519" spans="1:10">
      <c r="A519">
        <f>IF(COUNTBLANK(B519:J519)&lt;&gt;COLUMNS(B519:J519),518,"")</f>
        <v>0</v>
      </c>
      <c r="D519" s="1">
        <f>IF(B519="", "", "m")</f>
        <v>0</v>
      </c>
      <c r="F519" s="1">
        <f>IF(B519="", "", "air")</f>
        <v>0</v>
      </c>
      <c r="G519" s="1">
        <f>IF(B519="", "", "air")</f>
        <v>0</v>
      </c>
      <c r="H519" s="1">
        <f>IF(B519="", "", "air")</f>
        <v>0</v>
      </c>
      <c r="I519" s="1">
        <f>IF(B519="", "", "air metagenome")</f>
        <v>0</v>
      </c>
      <c r="J519" s="1">
        <f>IF(B519="", "", "655179")</f>
        <v>0</v>
      </c>
    </row>
    <row r="520" spans="1:10">
      <c r="A520">
        <f>IF(COUNTBLANK(B520:J520)&lt;&gt;COLUMNS(B520:J520),519,"")</f>
        <v>0</v>
      </c>
      <c r="D520" s="1">
        <f>IF(B520="", "", "m")</f>
        <v>0</v>
      </c>
      <c r="F520" s="1">
        <f>IF(B520="", "", "air")</f>
        <v>0</v>
      </c>
      <c r="G520" s="1">
        <f>IF(B520="", "", "air")</f>
        <v>0</v>
      </c>
      <c r="H520" s="1">
        <f>IF(B520="", "", "air")</f>
        <v>0</v>
      </c>
      <c r="I520" s="1">
        <f>IF(B520="", "", "air metagenome")</f>
        <v>0</v>
      </c>
      <c r="J520" s="1">
        <f>IF(B520="", "", "655179")</f>
        <v>0</v>
      </c>
    </row>
    <row r="521" spans="1:10">
      <c r="A521">
        <f>IF(COUNTBLANK(B521:J521)&lt;&gt;COLUMNS(B521:J521),520,"")</f>
        <v>0</v>
      </c>
      <c r="D521" s="1">
        <f>IF(B521="", "", "m")</f>
        <v>0</v>
      </c>
      <c r="F521" s="1">
        <f>IF(B521="", "", "air")</f>
        <v>0</v>
      </c>
      <c r="G521" s="1">
        <f>IF(B521="", "", "air")</f>
        <v>0</v>
      </c>
      <c r="H521" s="1">
        <f>IF(B521="", "", "air")</f>
        <v>0</v>
      </c>
      <c r="I521" s="1">
        <f>IF(B521="", "", "air metagenome")</f>
        <v>0</v>
      </c>
      <c r="J521" s="1">
        <f>IF(B521="", "", "655179")</f>
        <v>0</v>
      </c>
    </row>
    <row r="522" spans="1:10">
      <c r="A522">
        <f>IF(COUNTBLANK(B522:J522)&lt;&gt;COLUMNS(B522:J522),521,"")</f>
        <v>0</v>
      </c>
      <c r="D522" s="1">
        <f>IF(B522="", "", "m")</f>
        <v>0</v>
      </c>
      <c r="F522" s="1">
        <f>IF(B522="", "", "air")</f>
        <v>0</v>
      </c>
      <c r="G522" s="1">
        <f>IF(B522="", "", "air")</f>
        <v>0</v>
      </c>
      <c r="H522" s="1">
        <f>IF(B522="", "", "air")</f>
        <v>0</v>
      </c>
      <c r="I522" s="1">
        <f>IF(B522="", "", "air metagenome")</f>
        <v>0</v>
      </c>
      <c r="J522" s="1">
        <f>IF(B522="", "", "655179")</f>
        <v>0</v>
      </c>
    </row>
    <row r="523" spans="1:10">
      <c r="A523">
        <f>IF(COUNTBLANK(B523:J523)&lt;&gt;COLUMNS(B523:J523),522,"")</f>
        <v>0</v>
      </c>
      <c r="D523" s="1">
        <f>IF(B523="", "", "m")</f>
        <v>0</v>
      </c>
      <c r="F523" s="1">
        <f>IF(B523="", "", "air")</f>
        <v>0</v>
      </c>
      <c r="G523" s="1">
        <f>IF(B523="", "", "air")</f>
        <v>0</v>
      </c>
      <c r="H523" s="1">
        <f>IF(B523="", "", "air")</f>
        <v>0</v>
      </c>
      <c r="I523" s="1">
        <f>IF(B523="", "", "air metagenome")</f>
        <v>0</v>
      </c>
      <c r="J523" s="1">
        <f>IF(B523="", "", "655179")</f>
        <v>0</v>
      </c>
    </row>
    <row r="524" spans="1:10">
      <c r="A524">
        <f>IF(COUNTBLANK(B524:J524)&lt;&gt;COLUMNS(B524:J524),523,"")</f>
        <v>0</v>
      </c>
      <c r="D524" s="1">
        <f>IF(B524="", "", "m")</f>
        <v>0</v>
      </c>
      <c r="F524" s="1">
        <f>IF(B524="", "", "air")</f>
        <v>0</v>
      </c>
      <c r="G524" s="1">
        <f>IF(B524="", "", "air")</f>
        <v>0</v>
      </c>
      <c r="H524" s="1">
        <f>IF(B524="", "", "air")</f>
        <v>0</v>
      </c>
      <c r="I524" s="1">
        <f>IF(B524="", "", "air metagenome")</f>
        <v>0</v>
      </c>
      <c r="J524" s="1">
        <f>IF(B524="", "", "655179")</f>
        <v>0</v>
      </c>
    </row>
    <row r="525" spans="1:10">
      <c r="A525">
        <f>IF(COUNTBLANK(B525:J525)&lt;&gt;COLUMNS(B525:J525),524,"")</f>
        <v>0</v>
      </c>
      <c r="D525" s="1">
        <f>IF(B525="", "", "m")</f>
        <v>0</v>
      </c>
      <c r="F525" s="1">
        <f>IF(B525="", "", "air")</f>
        <v>0</v>
      </c>
      <c r="G525" s="1">
        <f>IF(B525="", "", "air")</f>
        <v>0</v>
      </c>
      <c r="H525" s="1">
        <f>IF(B525="", "", "air")</f>
        <v>0</v>
      </c>
      <c r="I525" s="1">
        <f>IF(B525="", "", "air metagenome")</f>
        <v>0</v>
      </c>
      <c r="J525" s="1">
        <f>IF(B525="", "", "655179")</f>
        <v>0</v>
      </c>
    </row>
    <row r="526" spans="1:10">
      <c r="A526">
        <f>IF(COUNTBLANK(B526:J526)&lt;&gt;COLUMNS(B526:J526),525,"")</f>
        <v>0</v>
      </c>
      <c r="D526" s="1">
        <f>IF(B526="", "", "m")</f>
        <v>0</v>
      </c>
      <c r="F526" s="1">
        <f>IF(B526="", "", "air")</f>
        <v>0</v>
      </c>
      <c r="G526" s="1">
        <f>IF(B526="", "", "air")</f>
        <v>0</v>
      </c>
      <c r="H526" s="1">
        <f>IF(B526="", "", "air")</f>
        <v>0</v>
      </c>
      <c r="I526" s="1">
        <f>IF(B526="", "", "air metagenome")</f>
        <v>0</v>
      </c>
      <c r="J526" s="1">
        <f>IF(B526="", "", "655179")</f>
        <v>0</v>
      </c>
    </row>
    <row r="527" spans="1:10">
      <c r="A527">
        <f>IF(COUNTBLANK(B527:J527)&lt;&gt;COLUMNS(B527:J527),526,"")</f>
        <v>0</v>
      </c>
      <c r="D527" s="1">
        <f>IF(B527="", "", "m")</f>
        <v>0</v>
      </c>
      <c r="F527" s="1">
        <f>IF(B527="", "", "air")</f>
        <v>0</v>
      </c>
      <c r="G527" s="1">
        <f>IF(B527="", "", "air")</f>
        <v>0</v>
      </c>
      <c r="H527" s="1">
        <f>IF(B527="", "", "air")</f>
        <v>0</v>
      </c>
      <c r="I527" s="1">
        <f>IF(B527="", "", "air metagenome")</f>
        <v>0</v>
      </c>
      <c r="J527" s="1">
        <f>IF(B527="", "", "655179")</f>
        <v>0</v>
      </c>
    </row>
    <row r="528" spans="1:10">
      <c r="A528">
        <f>IF(COUNTBLANK(B528:J528)&lt;&gt;COLUMNS(B528:J528),527,"")</f>
        <v>0</v>
      </c>
      <c r="D528" s="1">
        <f>IF(B528="", "", "m")</f>
        <v>0</v>
      </c>
      <c r="F528" s="1">
        <f>IF(B528="", "", "air")</f>
        <v>0</v>
      </c>
      <c r="G528" s="1">
        <f>IF(B528="", "", "air")</f>
        <v>0</v>
      </c>
      <c r="H528" s="1">
        <f>IF(B528="", "", "air")</f>
        <v>0</v>
      </c>
      <c r="I528" s="1">
        <f>IF(B528="", "", "air metagenome")</f>
        <v>0</v>
      </c>
      <c r="J528" s="1">
        <f>IF(B528="", "", "655179")</f>
        <v>0</v>
      </c>
    </row>
    <row r="529" spans="1:10">
      <c r="A529">
        <f>IF(COUNTBLANK(B529:J529)&lt;&gt;COLUMNS(B529:J529),528,"")</f>
        <v>0</v>
      </c>
      <c r="D529" s="1">
        <f>IF(B529="", "", "m")</f>
        <v>0</v>
      </c>
      <c r="F529" s="1">
        <f>IF(B529="", "", "air")</f>
        <v>0</v>
      </c>
      <c r="G529" s="1">
        <f>IF(B529="", "", "air")</f>
        <v>0</v>
      </c>
      <c r="H529" s="1">
        <f>IF(B529="", "", "air")</f>
        <v>0</v>
      </c>
      <c r="I529" s="1">
        <f>IF(B529="", "", "air metagenome")</f>
        <v>0</v>
      </c>
      <c r="J529" s="1">
        <f>IF(B529="", "", "655179")</f>
        <v>0</v>
      </c>
    </row>
    <row r="530" spans="1:10">
      <c r="A530">
        <f>IF(COUNTBLANK(B530:J530)&lt;&gt;COLUMNS(B530:J530),529,"")</f>
        <v>0</v>
      </c>
      <c r="D530" s="1">
        <f>IF(B530="", "", "m")</f>
        <v>0</v>
      </c>
      <c r="F530" s="1">
        <f>IF(B530="", "", "air")</f>
        <v>0</v>
      </c>
      <c r="G530" s="1">
        <f>IF(B530="", "", "air")</f>
        <v>0</v>
      </c>
      <c r="H530" s="1">
        <f>IF(B530="", "", "air")</f>
        <v>0</v>
      </c>
      <c r="I530" s="1">
        <f>IF(B530="", "", "air metagenome")</f>
        <v>0</v>
      </c>
      <c r="J530" s="1">
        <f>IF(B530="", "", "655179")</f>
        <v>0</v>
      </c>
    </row>
    <row r="531" spans="1:10">
      <c r="A531">
        <f>IF(COUNTBLANK(B531:J531)&lt;&gt;COLUMNS(B531:J531),530,"")</f>
        <v>0</v>
      </c>
      <c r="D531" s="1">
        <f>IF(B531="", "", "m")</f>
        <v>0</v>
      </c>
      <c r="F531" s="1">
        <f>IF(B531="", "", "air")</f>
        <v>0</v>
      </c>
      <c r="G531" s="1">
        <f>IF(B531="", "", "air")</f>
        <v>0</v>
      </c>
      <c r="H531" s="1">
        <f>IF(B531="", "", "air")</f>
        <v>0</v>
      </c>
      <c r="I531" s="1">
        <f>IF(B531="", "", "air metagenome")</f>
        <v>0</v>
      </c>
      <c r="J531" s="1">
        <f>IF(B531="", "", "655179")</f>
        <v>0</v>
      </c>
    </row>
    <row r="532" spans="1:10">
      <c r="A532">
        <f>IF(COUNTBLANK(B532:J532)&lt;&gt;COLUMNS(B532:J532),531,"")</f>
        <v>0</v>
      </c>
      <c r="D532" s="1">
        <f>IF(B532="", "", "m")</f>
        <v>0</v>
      </c>
      <c r="F532" s="1">
        <f>IF(B532="", "", "air")</f>
        <v>0</v>
      </c>
      <c r="G532" s="1">
        <f>IF(B532="", "", "air")</f>
        <v>0</v>
      </c>
      <c r="H532" s="1">
        <f>IF(B532="", "", "air")</f>
        <v>0</v>
      </c>
      <c r="I532" s="1">
        <f>IF(B532="", "", "air metagenome")</f>
        <v>0</v>
      </c>
      <c r="J532" s="1">
        <f>IF(B532="", "", "655179")</f>
        <v>0</v>
      </c>
    </row>
    <row r="533" spans="1:10">
      <c r="A533">
        <f>IF(COUNTBLANK(B533:J533)&lt;&gt;COLUMNS(B533:J533),532,"")</f>
        <v>0</v>
      </c>
      <c r="D533" s="1">
        <f>IF(B533="", "", "m")</f>
        <v>0</v>
      </c>
      <c r="F533" s="1">
        <f>IF(B533="", "", "air")</f>
        <v>0</v>
      </c>
      <c r="G533" s="1">
        <f>IF(B533="", "", "air")</f>
        <v>0</v>
      </c>
      <c r="H533" s="1">
        <f>IF(B533="", "", "air")</f>
        <v>0</v>
      </c>
      <c r="I533" s="1">
        <f>IF(B533="", "", "air metagenome")</f>
        <v>0</v>
      </c>
      <c r="J533" s="1">
        <f>IF(B533="", "", "655179")</f>
        <v>0</v>
      </c>
    </row>
    <row r="534" spans="1:10">
      <c r="A534">
        <f>IF(COUNTBLANK(B534:J534)&lt;&gt;COLUMNS(B534:J534),533,"")</f>
        <v>0</v>
      </c>
      <c r="D534" s="1">
        <f>IF(B534="", "", "m")</f>
        <v>0</v>
      </c>
      <c r="F534" s="1">
        <f>IF(B534="", "", "air")</f>
        <v>0</v>
      </c>
      <c r="G534" s="1">
        <f>IF(B534="", "", "air")</f>
        <v>0</v>
      </c>
      <c r="H534" s="1">
        <f>IF(B534="", "", "air")</f>
        <v>0</v>
      </c>
      <c r="I534" s="1">
        <f>IF(B534="", "", "air metagenome")</f>
        <v>0</v>
      </c>
      <c r="J534" s="1">
        <f>IF(B534="", "", "655179")</f>
        <v>0</v>
      </c>
    </row>
    <row r="535" spans="1:10">
      <c r="A535">
        <f>IF(COUNTBLANK(B535:J535)&lt;&gt;COLUMNS(B535:J535),534,"")</f>
        <v>0</v>
      </c>
      <c r="D535" s="1">
        <f>IF(B535="", "", "m")</f>
        <v>0</v>
      </c>
      <c r="F535" s="1">
        <f>IF(B535="", "", "air")</f>
        <v>0</v>
      </c>
      <c r="G535" s="1">
        <f>IF(B535="", "", "air")</f>
        <v>0</v>
      </c>
      <c r="H535" s="1">
        <f>IF(B535="", "", "air")</f>
        <v>0</v>
      </c>
      <c r="I535" s="1">
        <f>IF(B535="", "", "air metagenome")</f>
        <v>0</v>
      </c>
      <c r="J535" s="1">
        <f>IF(B535="", "", "655179")</f>
        <v>0</v>
      </c>
    </row>
    <row r="536" spans="1:10">
      <c r="A536">
        <f>IF(COUNTBLANK(B536:J536)&lt;&gt;COLUMNS(B536:J536),535,"")</f>
        <v>0</v>
      </c>
      <c r="D536" s="1">
        <f>IF(B536="", "", "m")</f>
        <v>0</v>
      </c>
      <c r="F536" s="1">
        <f>IF(B536="", "", "air")</f>
        <v>0</v>
      </c>
      <c r="G536" s="1">
        <f>IF(B536="", "", "air")</f>
        <v>0</v>
      </c>
      <c r="H536" s="1">
        <f>IF(B536="", "", "air")</f>
        <v>0</v>
      </c>
      <c r="I536" s="1">
        <f>IF(B536="", "", "air metagenome")</f>
        <v>0</v>
      </c>
      <c r="J536" s="1">
        <f>IF(B536="", "", "655179")</f>
        <v>0</v>
      </c>
    </row>
    <row r="537" spans="1:10">
      <c r="A537">
        <f>IF(COUNTBLANK(B537:J537)&lt;&gt;COLUMNS(B537:J537),536,"")</f>
        <v>0</v>
      </c>
      <c r="D537" s="1">
        <f>IF(B537="", "", "m")</f>
        <v>0</v>
      </c>
      <c r="F537" s="1">
        <f>IF(B537="", "", "air")</f>
        <v>0</v>
      </c>
      <c r="G537" s="1">
        <f>IF(B537="", "", "air")</f>
        <v>0</v>
      </c>
      <c r="H537" s="1">
        <f>IF(B537="", "", "air")</f>
        <v>0</v>
      </c>
      <c r="I537" s="1">
        <f>IF(B537="", "", "air metagenome")</f>
        <v>0</v>
      </c>
      <c r="J537" s="1">
        <f>IF(B537="", "", "655179")</f>
        <v>0</v>
      </c>
    </row>
    <row r="538" spans="1:10">
      <c r="A538">
        <f>IF(COUNTBLANK(B538:J538)&lt;&gt;COLUMNS(B538:J538),537,"")</f>
        <v>0</v>
      </c>
      <c r="D538" s="1">
        <f>IF(B538="", "", "m")</f>
        <v>0</v>
      </c>
      <c r="F538" s="1">
        <f>IF(B538="", "", "air")</f>
        <v>0</v>
      </c>
      <c r="G538" s="1">
        <f>IF(B538="", "", "air")</f>
        <v>0</v>
      </c>
      <c r="H538" s="1">
        <f>IF(B538="", "", "air")</f>
        <v>0</v>
      </c>
      <c r="I538" s="1">
        <f>IF(B538="", "", "air metagenome")</f>
        <v>0</v>
      </c>
      <c r="J538" s="1">
        <f>IF(B538="", "", "655179")</f>
        <v>0</v>
      </c>
    </row>
    <row r="539" spans="1:10">
      <c r="A539">
        <f>IF(COUNTBLANK(B539:J539)&lt;&gt;COLUMNS(B539:J539),538,"")</f>
        <v>0</v>
      </c>
      <c r="D539" s="1">
        <f>IF(B539="", "", "m")</f>
        <v>0</v>
      </c>
      <c r="F539" s="1">
        <f>IF(B539="", "", "air")</f>
        <v>0</v>
      </c>
      <c r="G539" s="1">
        <f>IF(B539="", "", "air")</f>
        <v>0</v>
      </c>
      <c r="H539" s="1">
        <f>IF(B539="", "", "air")</f>
        <v>0</v>
      </c>
      <c r="I539" s="1">
        <f>IF(B539="", "", "air metagenome")</f>
        <v>0</v>
      </c>
      <c r="J539" s="1">
        <f>IF(B539="", "", "655179")</f>
        <v>0</v>
      </c>
    </row>
    <row r="540" spans="1:10">
      <c r="A540">
        <f>IF(COUNTBLANK(B540:J540)&lt;&gt;COLUMNS(B540:J540),539,"")</f>
        <v>0</v>
      </c>
      <c r="D540" s="1">
        <f>IF(B540="", "", "m")</f>
        <v>0</v>
      </c>
      <c r="F540" s="1">
        <f>IF(B540="", "", "air")</f>
        <v>0</v>
      </c>
      <c r="G540" s="1">
        <f>IF(B540="", "", "air")</f>
        <v>0</v>
      </c>
      <c r="H540" s="1">
        <f>IF(B540="", "", "air")</f>
        <v>0</v>
      </c>
      <c r="I540" s="1">
        <f>IF(B540="", "", "air metagenome")</f>
        <v>0</v>
      </c>
      <c r="J540" s="1">
        <f>IF(B540="", "", "655179")</f>
        <v>0</v>
      </c>
    </row>
    <row r="541" spans="1:10">
      <c r="A541">
        <f>IF(COUNTBLANK(B541:J541)&lt;&gt;COLUMNS(B541:J541),540,"")</f>
        <v>0</v>
      </c>
      <c r="D541" s="1">
        <f>IF(B541="", "", "m")</f>
        <v>0</v>
      </c>
      <c r="F541" s="1">
        <f>IF(B541="", "", "air")</f>
        <v>0</v>
      </c>
      <c r="G541" s="1">
        <f>IF(B541="", "", "air")</f>
        <v>0</v>
      </c>
      <c r="H541" s="1">
        <f>IF(B541="", "", "air")</f>
        <v>0</v>
      </c>
      <c r="I541" s="1">
        <f>IF(B541="", "", "air metagenome")</f>
        <v>0</v>
      </c>
      <c r="J541" s="1">
        <f>IF(B541="", "", "655179")</f>
        <v>0</v>
      </c>
    </row>
    <row r="542" spans="1:10">
      <c r="A542">
        <f>IF(COUNTBLANK(B542:J542)&lt;&gt;COLUMNS(B542:J542),541,"")</f>
        <v>0</v>
      </c>
      <c r="D542" s="1">
        <f>IF(B542="", "", "m")</f>
        <v>0</v>
      </c>
      <c r="F542" s="1">
        <f>IF(B542="", "", "air")</f>
        <v>0</v>
      </c>
      <c r="G542" s="1">
        <f>IF(B542="", "", "air")</f>
        <v>0</v>
      </c>
      <c r="H542" s="1">
        <f>IF(B542="", "", "air")</f>
        <v>0</v>
      </c>
      <c r="I542" s="1">
        <f>IF(B542="", "", "air metagenome")</f>
        <v>0</v>
      </c>
      <c r="J542" s="1">
        <f>IF(B542="", "", "655179")</f>
        <v>0</v>
      </c>
    </row>
    <row r="543" spans="1:10">
      <c r="A543">
        <f>IF(COUNTBLANK(B543:J543)&lt;&gt;COLUMNS(B543:J543),542,"")</f>
        <v>0</v>
      </c>
      <c r="D543" s="1">
        <f>IF(B543="", "", "m")</f>
        <v>0</v>
      </c>
      <c r="F543" s="1">
        <f>IF(B543="", "", "air")</f>
        <v>0</v>
      </c>
      <c r="G543" s="1">
        <f>IF(B543="", "", "air")</f>
        <v>0</v>
      </c>
      <c r="H543" s="1">
        <f>IF(B543="", "", "air")</f>
        <v>0</v>
      </c>
      <c r="I543" s="1">
        <f>IF(B543="", "", "air metagenome")</f>
        <v>0</v>
      </c>
      <c r="J543" s="1">
        <f>IF(B543="", "", "655179")</f>
        <v>0</v>
      </c>
    </row>
    <row r="544" spans="1:10">
      <c r="A544">
        <f>IF(COUNTBLANK(B544:J544)&lt;&gt;COLUMNS(B544:J544),543,"")</f>
        <v>0</v>
      </c>
      <c r="D544" s="1">
        <f>IF(B544="", "", "m")</f>
        <v>0</v>
      </c>
      <c r="F544" s="1">
        <f>IF(B544="", "", "air")</f>
        <v>0</v>
      </c>
      <c r="G544" s="1">
        <f>IF(B544="", "", "air")</f>
        <v>0</v>
      </c>
      <c r="H544" s="1">
        <f>IF(B544="", "", "air")</f>
        <v>0</v>
      </c>
      <c r="I544" s="1">
        <f>IF(B544="", "", "air metagenome")</f>
        <v>0</v>
      </c>
      <c r="J544" s="1">
        <f>IF(B544="", "", "655179")</f>
        <v>0</v>
      </c>
    </row>
    <row r="545" spans="1:10">
      <c r="A545">
        <f>IF(COUNTBLANK(B545:J545)&lt;&gt;COLUMNS(B545:J545),544,"")</f>
        <v>0</v>
      </c>
      <c r="D545" s="1">
        <f>IF(B545="", "", "m")</f>
        <v>0</v>
      </c>
      <c r="F545" s="1">
        <f>IF(B545="", "", "air")</f>
        <v>0</v>
      </c>
      <c r="G545" s="1">
        <f>IF(B545="", "", "air")</f>
        <v>0</v>
      </c>
      <c r="H545" s="1">
        <f>IF(B545="", "", "air")</f>
        <v>0</v>
      </c>
      <c r="I545" s="1">
        <f>IF(B545="", "", "air metagenome")</f>
        <v>0</v>
      </c>
      <c r="J545" s="1">
        <f>IF(B545="", "", "655179")</f>
        <v>0</v>
      </c>
    </row>
    <row r="546" spans="1:10">
      <c r="A546">
        <f>IF(COUNTBLANK(B546:J546)&lt;&gt;COLUMNS(B546:J546),545,"")</f>
        <v>0</v>
      </c>
      <c r="D546" s="1">
        <f>IF(B546="", "", "m")</f>
        <v>0</v>
      </c>
      <c r="F546" s="1">
        <f>IF(B546="", "", "air")</f>
        <v>0</v>
      </c>
      <c r="G546" s="1">
        <f>IF(B546="", "", "air")</f>
        <v>0</v>
      </c>
      <c r="H546" s="1">
        <f>IF(B546="", "", "air")</f>
        <v>0</v>
      </c>
      <c r="I546" s="1">
        <f>IF(B546="", "", "air metagenome")</f>
        <v>0</v>
      </c>
      <c r="J546" s="1">
        <f>IF(B546="", "", "655179")</f>
        <v>0</v>
      </c>
    </row>
    <row r="547" spans="1:10">
      <c r="A547">
        <f>IF(COUNTBLANK(B547:J547)&lt;&gt;COLUMNS(B547:J547),546,"")</f>
        <v>0</v>
      </c>
      <c r="D547" s="1">
        <f>IF(B547="", "", "m")</f>
        <v>0</v>
      </c>
      <c r="F547" s="1">
        <f>IF(B547="", "", "air")</f>
        <v>0</v>
      </c>
      <c r="G547" s="1">
        <f>IF(B547="", "", "air")</f>
        <v>0</v>
      </c>
      <c r="H547" s="1">
        <f>IF(B547="", "", "air")</f>
        <v>0</v>
      </c>
      <c r="I547" s="1">
        <f>IF(B547="", "", "air metagenome")</f>
        <v>0</v>
      </c>
      <c r="J547" s="1">
        <f>IF(B547="", "", "655179")</f>
        <v>0</v>
      </c>
    </row>
    <row r="548" spans="1:10">
      <c r="A548">
        <f>IF(COUNTBLANK(B548:J548)&lt;&gt;COLUMNS(B548:J548),547,"")</f>
        <v>0</v>
      </c>
      <c r="D548" s="1">
        <f>IF(B548="", "", "m")</f>
        <v>0</v>
      </c>
      <c r="F548" s="1">
        <f>IF(B548="", "", "air")</f>
        <v>0</v>
      </c>
      <c r="G548" s="1">
        <f>IF(B548="", "", "air")</f>
        <v>0</v>
      </c>
      <c r="H548" s="1">
        <f>IF(B548="", "", "air")</f>
        <v>0</v>
      </c>
      <c r="I548" s="1">
        <f>IF(B548="", "", "air metagenome")</f>
        <v>0</v>
      </c>
      <c r="J548" s="1">
        <f>IF(B548="", "", "655179")</f>
        <v>0</v>
      </c>
    </row>
    <row r="549" spans="1:10">
      <c r="A549">
        <f>IF(COUNTBLANK(B549:J549)&lt;&gt;COLUMNS(B549:J549),548,"")</f>
        <v>0</v>
      </c>
      <c r="D549" s="1">
        <f>IF(B549="", "", "m")</f>
        <v>0</v>
      </c>
      <c r="F549" s="1">
        <f>IF(B549="", "", "air")</f>
        <v>0</v>
      </c>
      <c r="G549" s="1">
        <f>IF(B549="", "", "air")</f>
        <v>0</v>
      </c>
      <c r="H549" s="1">
        <f>IF(B549="", "", "air")</f>
        <v>0</v>
      </c>
      <c r="I549" s="1">
        <f>IF(B549="", "", "air metagenome")</f>
        <v>0</v>
      </c>
      <c r="J549" s="1">
        <f>IF(B549="", "", "655179")</f>
        <v>0</v>
      </c>
    </row>
    <row r="550" spans="1:10">
      <c r="A550">
        <f>IF(COUNTBLANK(B550:J550)&lt;&gt;COLUMNS(B550:J550),549,"")</f>
        <v>0</v>
      </c>
      <c r="D550" s="1">
        <f>IF(B550="", "", "m")</f>
        <v>0</v>
      </c>
      <c r="F550" s="1">
        <f>IF(B550="", "", "air")</f>
        <v>0</v>
      </c>
      <c r="G550" s="1">
        <f>IF(B550="", "", "air")</f>
        <v>0</v>
      </c>
      <c r="H550" s="1">
        <f>IF(B550="", "", "air")</f>
        <v>0</v>
      </c>
      <c r="I550" s="1">
        <f>IF(B550="", "", "air metagenome")</f>
        <v>0</v>
      </c>
      <c r="J550" s="1">
        <f>IF(B550="", "", "655179")</f>
        <v>0</v>
      </c>
    </row>
    <row r="551" spans="1:10">
      <c r="A551">
        <f>IF(COUNTBLANK(B551:J551)&lt;&gt;COLUMNS(B551:J551),550,"")</f>
        <v>0</v>
      </c>
      <c r="D551" s="1">
        <f>IF(B551="", "", "m")</f>
        <v>0</v>
      </c>
      <c r="F551" s="1">
        <f>IF(B551="", "", "air")</f>
        <v>0</v>
      </c>
      <c r="G551" s="1">
        <f>IF(B551="", "", "air")</f>
        <v>0</v>
      </c>
      <c r="H551" s="1">
        <f>IF(B551="", "", "air")</f>
        <v>0</v>
      </c>
      <c r="I551" s="1">
        <f>IF(B551="", "", "air metagenome")</f>
        <v>0</v>
      </c>
      <c r="J551" s="1">
        <f>IF(B551="", "", "655179")</f>
        <v>0</v>
      </c>
    </row>
    <row r="552" spans="1:10">
      <c r="A552">
        <f>IF(COUNTBLANK(B552:J552)&lt;&gt;COLUMNS(B552:J552),551,"")</f>
        <v>0</v>
      </c>
      <c r="D552" s="1">
        <f>IF(B552="", "", "m")</f>
        <v>0</v>
      </c>
      <c r="F552" s="1">
        <f>IF(B552="", "", "air")</f>
        <v>0</v>
      </c>
      <c r="G552" s="1">
        <f>IF(B552="", "", "air")</f>
        <v>0</v>
      </c>
      <c r="H552" s="1">
        <f>IF(B552="", "", "air")</f>
        <v>0</v>
      </c>
      <c r="I552" s="1">
        <f>IF(B552="", "", "air metagenome")</f>
        <v>0</v>
      </c>
      <c r="J552" s="1">
        <f>IF(B552="", "", "655179")</f>
        <v>0</v>
      </c>
    </row>
    <row r="553" spans="1:10">
      <c r="A553">
        <f>IF(COUNTBLANK(B553:J553)&lt;&gt;COLUMNS(B553:J553),552,"")</f>
        <v>0</v>
      </c>
      <c r="D553" s="1">
        <f>IF(B553="", "", "m")</f>
        <v>0</v>
      </c>
      <c r="F553" s="1">
        <f>IF(B553="", "", "air")</f>
        <v>0</v>
      </c>
      <c r="G553" s="1">
        <f>IF(B553="", "", "air")</f>
        <v>0</v>
      </c>
      <c r="H553" s="1">
        <f>IF(B553="", "", "air")</f>
        <v>0</v>
      </c>
      <c r="I553" s="1">
        <f>IF(B553="", "", "air metagenome")</f>
        <v>0</v>
      </c>
      <c r="J553" s="1">
        <f>IF(B553="", "", "655179")</f>
        <v>0</v>
      </c>
    </row>
    <row r="554" spans="1:10">
      <c r="A554">
        <f>IF(COUNTBLANK(B554:J554)&lt;&gt;COLUMNS(B554:J554),553,"")</f>
        <v>0</v>
      </c>
      <c r="D554" s="1">
        <f>IF(B554="", "", "m")</f>
        <v>0</v>
      </c>
      <c r="F554" s="1">
        <f>IF(B554="", "", "air")</f>
        <v>0</v>
      </c>
      <c r="G554" s="1">
        <f>IF(B554="", "", "air")</f>
        <v>0</v>
      </c>
      <c r="H554" s="1">
        <f>IF(B554="", "", "air")</f>
        <v>0</v>
      </c>
      <c r="I554" s="1">
        <f>IF(B554="", "", "air metagenome")</f>
        <v>0</v>
      </c>
      <c r="J554" s="1">
        <f>IF(B554="", "", "655179")</f>
        <v>0</v>
      </c>
    </row>
    <row r="555" spans="1:10">
      <c r="A555">
        <f>IF(COUNTBLANK(B555:J555)&lt;&gt;COLUMNS(B555:J555),554,"")</f>
        <v>0</v>
      </c>
      <c r="D555" s="1">
        <f>IF(B555="", "", "m")</f>
        <v>0</v>
      </c>
      <c r="F555" s="1">
        <f>IF(B555="", "", "air")</f>
        <v>0</v>
      </c>
      <c r="G555" s="1">
        <f>IF(B555="", "", "air")</f>
        <v>0</v>
      </c>
      <c r="H555" s="1">
        <f>IF(B555="", "", "air")</f>
        <v>0</v>
      </c>
      <c r="I555" s="1">
        <f>IF(B555="", "", "air metagenome")</f>
        <v>0</v>
      </c>
      <c r="J555" s="1">
        <f>IF(B555="", "", "655179")</f>
        <v>0</v>
      </c>
    </row>
    <row r="556" spans="1:10">
      <c r="A556">
        <f>IF(COUNTBLANK(B556:J556)&lt;&gt;COLUMNS(B556:J556),555,"")</f>
        <v>0</v>
      </c>
      <c r="D556" s="1">
        <f>IF(B556="", "", "m")</f>
        <v>0</v>
      </c>
      <c r="F556" s="1">
        <f>IF(B556="", "", "air")</f>
        <v>0</v>
      </c>
      <c r="G556" s="1">
        <f>IF(B556="", "", "air")</f>
        <v>0</v>
      </c>
      <c r="H556" s="1">
        <f>IF(B556="", "", "air")</f>
        <v>0</v>
      </c>
      <c r="I556" s="1">
        <f>IF(B556="", "", "air metagenome")</f>
        <v>0</v>
      </c>
      <c r="J556" s="1">
        <f>IF(B556="", "", "655179")</f>
        <v>0</v>
      </c>
    </row>
    <row r="557" spans="1:10">
      <c r="A557">
        <f>IF(COUNTBLANK(B557:J557)&lt;&gt;COLUMNS(B557:J557),556,"")</f>
        <v>0</v>
      </c>
      <c r="D557" s="1">
        <f>IF(B557="", "", "m")</f>
        <v>0</v>
      </c>
      <c r="F557" s="1">
        <f>IF(B557="", "", "air")</f>
        <v>0</v>
      </c>
      <c r="G557" s="1">
        <f>IF(B557="", "", "air")</f>
        <v>0</v>
      </c>
      <c r="H557" s="1">
        <f>IF(B557="", "", "air")</f>
        <v>0</v>
      </c>
      <c r="I557" s="1">
        <f>IF(B557="", "", "air metagenome")</f>
        <v>0</v>
      </c>
      <c r="J557" s="1">
        <f>IF(B557="", "", "655179")</f>
        <v>0</v>
      </c>
    </row>
    <row r="558" spans="1:10">
      <c r="A558">
        <f>IF(COUNTBLANK(B558:J558)&lt;&gt;COLUMNS(B558:J558),557,"")</f>
        <v>0</v>
      </c>
      <c r="D558" s="1">
        <f>IF(B558="", "", "m")</f>
        <v>0</v>
      </c>
      <c r="F558" s="1">
        <f>IF(B558="", "", "air")</f>
        <v>0</v>
      </c>
      <c r="G558" s="1">
        <f>IF(B558="", "", "air")</f>
        <v>0</v>
      </c>
      <c r="H558" s="1">
        <f>IF(B558="", "", "air")</f>
        <v>0</v>
      </c>
      <c r="I558" s="1">
        <f>IF(B558="", "", "air metagenome")</f>
        <v>0</v>
      </c>
      <c r="J558" s="1">
        <f>IF(B558="", "", "655179")</f>
        <v>0</v>
      </c>
    </row>
    <row r="559" spans="1:10">
      <c r="A559">
        <f>IF(COUNTBLANK(B559:J559)&lt;&gt;COLUMNS(B559:J559),558,"")</f>
        <v>0</v>
      </c>
      <c r="D559" s="1">
        <f>IF(B559="", "", "m")</f>
        <v>0</v>
      </c>
      <c r="F559" s="1">
        <f>IF(B559="", "", "air")</f>
        <v>0</v>
      </c>
      <c r="G559" s="1">
        <f>IF(B559="", "", "air")</f>
        <v>0</v>
      </c>
      <c r="H559" s="1">
        <f>IF(B559="", "", "air")</f>
        <v>0</v>
      </c>
      <c r="I559" s="1">
        <f>IF(B559="", "", "air metagenome")</f>
        <v>0</v>
      </c>
      <c r="J559" s="1">
        <f>IF(B559="", "", "655179")</f>
        <v>0</v>
      </c>
    </row>
    <row r="560" spans="1:10">
      <c r="A560">
        <f>IF(COUNTBLANK(B560:J560)&lt;&gt;COLUMNS(B560:J560),559,"")</f>
        <v>0</v>
      </c>
      <c r="D560" s="1">
        <f>IF(B560="", "", "m")</f>
        <v>0</v>
      </c>
      <c r="F560" s="1">
        <f>IF(B560="", "", "air")</f>
        <v>0</v>
      </c>
      <c r="G560" s="1">
        <f>IF(B560="", "", "air")</f>
        <v>0</v>
      </c>
      <c r="H560" s="1">
        <f>IF(B560="", "", "air")</f>
        <v>0</v>
      </c>
      <c r="I560" s="1">
        <f>IF(B560="", "", "air metagenome")</f>
        <v>0</v>
      </c>
      <c r="J560" s="1">
        <f>IF(B560="", "", "655179")</f>
        <v>0</v>
      </c>
    </row>
    <row r="561" spans="1:10">
      <c r="A561">
        <f>IF(COUNTBLANK(B561:J561)&lt;&gt;COLUMNS(B561:J561),560,"")</f>
        <v>0</v>
      </c>
      <c r="D561" s="1">
        <f>IF(B561="", "", "m")</f>
        <v>0</v>
      </c>
      <c r="F561" s="1">
        <f>IF(B561="", "", "air")</f>
        <v>0</v>
      </c>
      <c r="G561" s="1">
        <f>IF(B561="", "", "air")</f>
        <v>0</v>
      </c>
      <c r="H561" s="1">
        <f>IF(B561="", "", "air")</f>
        <v>0</v>
      </c>
      <c r="I561" s="1">
        <f>IF(B561="", "", "air metagenome")</f>
        <v>0</v>
      </c>
      <c r="J561" s="1">
        <f>IF(B561="", "", "655179")</f>
        <v>0</v>
      </c>
    </row>
    <row r="562" spans="1:10">
      <c r="A562">
        <f>IF(COUNTBLANK(B562:J562)&lt;&gt;COLUMNS(B562:J562),561,"")</f>
        <v>0</v>
      </c>
      <c r="D562" s="1">
        <f>IF(B562="", "", "m")</f>
        <v>0</v>
      </c>
      <c r="F562" s="1">
        <f>IF(B562="", "", "air")</f>
        <v>0</v>
      </c>
      <c r="G562" s="1">
        <f>IF(B562="", "", "air")</f>
        <v>0</v>
      </c>
      <c r="H562" s="1">
        <f>IF(B562="", "", "air")</f>
        <v>0</v>
      </c>
      <c r="I562" s="1">
        <f>IF(B562="", "", "air metagenome")</f>
        <v>0</v>
      </c>
      <c r="J562" s="1">
        <f>IF(B562="", "", "655179")</f>
        <v>0</v>
      </c>
    </row>
    <row r="563" spans="1:10">
      <c r="A563">
        <f>IF(COUNTBLANK(B563:J563)&lt;&gt;COLUMNS(B563:J563),562,"")</f>
        <v>0</v>
      </c>
      <c r="D563" s="1">
        <f>IF(B563="", "", "m")</f>
        <v>0</v>
      </c>
      <c r="F563" s="1">
        <f>IF(B563="", "", "air")</f>
        <v>0</v>
      </c>
      <c r="G563" s="1">
        <f>IF(B563="", "", "air")</f>
        <v>0</v>
      </c>
      <c r="H563" s="1">
        <f>IF(B563="", "", "air")</f>
        <v>0</v>
      </c>
      <c r="I563" s="1">
        <f>IF(B563="", "", "air metagenome")</f>
        <v>0</v>
      </c>
      <c r="J563" s="1">
        <f>IF(B563="", "", "655179")</f>
        <v>0</v>
      </c>
    </row>
    <row r="564" spans="1:10">
      <c r="A564">
        <f>IF(COUNTBLANK(B564:J564)&lt;&gt;COLUMNS(B564:J564),563,"")</f>
        <v>0</v>
      </c>
      <c r="D564" s="1">
        <f>IF(B564="", "", "m")</f>
        <v>0</v>
      </c>
      <c r="F564" s="1">
        <f>IF(B564="", "", "air")</f>
        <v>0</v>
      </c>
      <c r="G564" s="1">
        <f>IF(B564="", "", "air")</f>
        <v>0</v>
      </c>
      <c r="H564" s="1">
        <f>IF(B564="", "", "air")</f>
        <v>0</v>
      </c>
      <c r="I564" s="1">
        <f>IF(B564="", "", "air metagenome")</f>
        <v>0</v>
      </c>
      <c r="J564" s="1">
        <f>IF(B564="", "", "655179")</f>
        <v>0</v>
      </c>
    </row>
    <row r="565" spans="1:10">
      <c r="A565">
        <f>IF(COUNTBLANK(B565:J565)&lt;&gt;COLUMNS(B565:J565),564,"")</f>
        <v>0</v>
      </c>
      <c r="D565" s="1">
        <f>IF(B565="", "", "m")</f>
        <v>0</v>
      </c>
      <c r="F565" s="1">
        <f>IF(B565="", "", "air")</f>
        <v>0</v>
      </c>
      <c r="G565" s="1">
        <f>IF(B565="", "", "air")</f>
        <v>0</v>
      </c>
      <c r="H565" s="1">
        <f>IF(B565="", "", "air")</f>
        <v>0</v>
      </c>
      <c r="I565" s="1">
        <f>IF(B565="", "", "air metagenome")</f>
        <v>0</v>
      </c>
      <c r="J565" s="1">
        <f>IF(B565="", "", "655179")</f>
        <v>0</v>
      </c>
    </row>
    <row r="566" spans="1:10">
      <c r="A566">
        <f>IF(COUNTBLANK(B566:J566)&lt;&gt;COLUMNS(B566:J566),565,"")</f>
        <v>0</v>
      </c>
      <c r="D566" s="1">
        <f>IF(B566="", "", "m")</f>
        <v>0</v>
      </c>
      <c r="F566" s="1">
        <f>IF(B566="", "", "air")</f>
        <v>0</v>
      </c>
      <c r="G566" s="1">
        <f>IF(B566="", "", "air")</f>
        <v>0</v>
      </c>
      <c r="H566" s="1">
        <f>IF(B566="", "", "air")</f>
        <v>0</v>
      </c>
      <c r="I566" s="1">
        <f>IF(B566="", "", "air metagenome")</f>
        <v>0</v>
      </c>
      <c r="J566" s="1">
        <f>IF(B566="", "", "655179")</f>
        <v>0</v>
      </c>
    </row>
    <row r="567" spans="1:10">
      <c r="A567">
        <f>IF(COUNTBLANK(B567:J567)&lt;&gt;COLUMNS(B567:J567),566,"")</f>
        <v>0</v>
      </c>
      <c r="D567" s="1">
        <f>IF(B567="", "", "m")</f>
        <v>0</v>
      </c>
      <c r="F567" s="1">
        <f>IF(B567="", "", "air")</f>
        <v>0</v>
      </c>
      <c r="G567" s="1">
        <f>IF(B567="", "", "air")</f>
        <v>0</v>
      </c>
      <c r="H567" s="1">
        <f>IF(B567="", "", "air")</f>
        <v>0</v>
      </c>
      <c r="I567" s="1">
        <f>IF(B567="", "", "air metagenome")</f>
        <v>0</v>
      </c>
      <c r="J567" s="1">
        <f>IF(B567="", "", "655179")</f>
        <v>0</v>
      </c>
    </row>
    <row r="568" spans="1:10">
      <c r="A568">
        <f>IF(COUNTBLANK(B568:J568)&lt;&gt;COLUMNS(B568:J568),567,"")</f>
        <v>0</v>
      </c>
      <c r="D568" s="1">
        <f>IF(B568="", "", "m")</f>
        <v>0</v>
      </c>
      <c r="F568" s="1">
        <f>IF(B568="", "", "air")</f>
        <v>0</v>
      </c>
      <c r="G568" s="1">
        <f>IF(B568="", "", "air")</f>
        <v>0</v>
      </c>
      <c r="H568" s="1">
        <f>IF(B568="", "", "air")</f>
        <v>0</v>
      </c>
      <c r="I568" s="1">
        <f>IF(B568="", "", "air metagenome")</f>
        <v>0</v>
      </c>
      <c r="J568" s="1">
        <f>IF(B568="", "", "655179")</f>
        <v>0</v>
      </c>
    </row>
    <row r="569" spans="1:10">
      <c r="A569">
        <f>IF(COUNTBLANK(B569:J569)&lt;&gt;COLUMNS(B569:J569),568,"")</f>
        <v>0</v>
      </c>
      <c r="D569" s="1">
        <f>IF(B569="", "", "m")</f>
        <v>0</v>
      </c>
      <c r="F569" s="1">
        <f>IF(B569="", "", "air")</f>
        <v>0</v>
      </c>
      <c r="G569" s="1">
        <f>IF(B569="", "", "air")</f>
        <v>0</v>
      </c>
      <c r="H569" s="1">
        <f>IF(B569="", "", "air")</f>
        <v>0</v>
      </c>
      <c r="I569" s="1">
        <f>IF(B569="", "", "air metagenome")</f>
        <v>0</v>
      </c>
      <c r="J569" s="1">
        <f>IF(B569="", "", "655179")</f>
        <v>0</v>
      </c>
    </row>
    <row r="570" spans="1:10">
      <c r="A570">
        <f>IF(COUNTBLANK(B570:J570)&lt;&gt;COLUMNS(B570:J570),569,"")</f>
        <v>0</v>
      </c>
      <c r="D570" s="1">
        <f>IF(B570="", "", "m")</f>
        <v>0</v>
      </c>
      <c r="F570" s="1">
        <f>IF(B570="", "", "air")</f>
        <v>0</v>
      </c>
      <c r="G570" s="1">
        <f>IF(B570="", "", "air")</f>
        <v>0</v>
      </c>
      <c r="H570" s="1">
        <f>IF(B570="", "", "air")</f>
        <v>0</v>
      </c>
      <c r="I570" s="1">
        <f>IF(B570="", "", "air metagenome")</f>
        <v>0</v>
      </c>
      <c r="J570" s="1">
        <f>IF(B570="", "", "655179")</f>
        <v>0</v>
      </c>
    </row>
    <row r="571" spans="1:10">
      <c r="A571">
        <f>IF(COUNTBLANK(B571:J571)&lt;&gt;COLUMNS(B571:J571),570,"")</f>
        <v>0</v>
      </c>
      <c r="D571" s="1">
        <f>IF(B571="", "", "m")</f>
        <v>0</v>
      </c>
      <c r="F571" s="1">
        <f>IF(B571="", "", "air")</f>
        <v>0</v>
      </c>
      <c r="G571" s="1">
        <f>IF(B571="", "", "air")</f>
        <v>0</v>
      </c>
      <c r="H571" s="1">
        <f>IF(B571="", "", "air")</f>
        <v>0</v>
      </c>
      <c r="I571" s="1">
        <f>IF(B571="", "", "air metagenome")</f>
        <v>0</v>
      </c>
      <c r="J571" s="1">
        <f>IF(B571="", "", "655179")</f>
        <v>0</v>
      </c>
    </row>
    <row r="572" spans="1:10">
      <c r="A572">
        <f>IF(COUNTBLANK(B572:J572)&lt;&gt;COLUMNS(B572:J572),571,"")</f>
        <v>0</v>
      </c>
      <c r="D572" s="1">
        <f>IF(B572="", "", "m")</f>
        <v>0</v>
      </c>
      <c r="F572" s="1">
        <f>IF(B572="", "", "air")</f>
        <v>0</v>
      </c>
      <c r="G572" s="1">
        <f>IF(B572="", "", "air")</f>
        <v>0</v>
      </c>
      <c r="H572" s="1">
        <f>IF(B572="", "", "air")</f>
        <v>0</v>
      </c>
      <c r="I572" s="1">
        <f>IF(B572="", "", "air metagenome")</f>
        <v>0</v>
      </c>
      <c r="J572" s="1">
        <f>IF(B572="", "", "655179")</f>
        <v>0</v>
      </c>
    </row>
    <row r="573" spans="1:10">
      <c r="A573">
        <f>IF(COUNTBLANK(B573:J573)&lt;&gt;COLUMNS(B573:J573),572,"")</f>
        <v>0</v>
      </c>
      <c r="D573" s="1">
        <f>IF(B573="", "", "m")</f>
        <v>0</v>
      </c>
      <c r="F573" s="1">
        <f>IF(B573="", "", "air")</f>
        <v>0</v>
      </c>
      <c r="G573" s="1">
        <f>IF(B573="", "", "air")</f>
        <v>0</v>
      </c>
      <c r="H573" s="1">
        <f>IF(B573="", "", "air")</f>
        <v>0</v>
      </c>
      <c r="I573" s="1">
        <f>IF(B573="", "", "air metagenome")</f>
        <v>0</v>
      </c>
      <c r="J573" s="1">
        <f>IF(B573="", "", "655179")</f>
        <v>0</v>
      </c>
    </row>
    <row r="574" spans="1:10">
      <c r="A574">
        <f>IF(COUNTBLANK(B574:J574)&lt;&gt;COLUMNS(B574:J574),573,"")</f>
        <v>0</v>
      </c>
      <c r="D574" s="1">
        <f>IF(B574="", "", "m")</f>
        <v>0</v>
      </c>
      <c r="F574" s="1">
        <f>IF(B574="", "", "air")</f>
        <v>0</v>
      </c>
      <c r="G574" s="1">
        <f>IF(B574="", "", "air")</f>
        <v>0</v>
      </c>
      <c r="H574" s="1">
        <f>IF(B574="", "", "air")</f>
        <v>0</v>
      </c>
      <c r="I574" s="1">
        <f>IF(B574="", "", "air metagenome")</f>
        <v>0</v>
      </c>
      <c r="J574" s="1">
        <f>IF(B574="", "", "655179")</f>
        <v>0</v>
      </c>
    </row>
    <row r="575" spans="1:10">
      <c r="A575">
        <f>IF(COUNTBLANK(B575:J575)&lt;&gt;COLUMNS(B575:J575),574,"")</f>
        <v>0</v>
      </c>
      <c r="D575" s="1">
        <f>IF(B575="", "", "m")</f>
        <v>0</v>
      </c>
      <c r="F575" s="1">
        <f>IF(B575="", "", "air")</f>
        <v>0</v>
      </c>
      <c r="G575" s="1">
        <f>IF(B575="", "", "air")</f>
        <v>0</v>
      </c>
      <c r="H575" s="1">
        <f>IF(B575="", "", "air")</f>
        <v>0</v>
      </c>
      <c r="I575" s="1">
        <f>IF(B575="", "", "air metagenome")</f>
        <v>0</v>
      </c>
      <c r="J575" s="1">
        <f>IF(B575="", "", "655179")</f>
        <v>0</v>
      </c>
    </row>
    <row r="576" spans="1:10">
      <c r="A576">
        <f>IF(COUNTBLANK(B576:J576)&lt;&gt;COLUMNS(B576:J576),575,"")</f>
        <v>0</v>
      </c>
      <c r="D576" s="1">
        <f>IF(B576="", "", "m")</f>
        <v>0</v>
      </c>
      <c r="F576" s="1">
        <f>IF(B576="", "", "air")</f>
        <v>0</v>
      </c>
      <c r="G576" s="1">
        <f>IF(B576="", "", "air")</f>
        <v>0</v>
      </c>
      <c r="H576" s="1">
        <f>IF(B576="", "", "air")</f>
        <v>0</v>
      </c>
      <c r="I576" s="1">
        <f>IF(B576="", "", "air metagenome")</f>
        <v>0</v>
      </c>
      <c r="J576" s="1">
        <f>IF(B576="", "", "655179")</f>
        <v>0</v>
      </c>
    </row>
    <row r="577" spans="1:10">
      <c r="A577">
        <f>IF(COUNTBLANK(B577:J577)&lt;&gt;COLUMNS(B577:J577),576,"")</f>
        <v>0</v>
      </c>
      <c r="D577" s="1">
        <f>IF(B577="", "", "m")</f>
        <v>0</v>
      </c>
      <c r="F577" s="1">
        <f>IF(B577="", "", "air")</f>
        <v>0</v>
      </c>
      <c r="G577" s="1">
        <f>IF(B577="", "", "air")</f>
        <v>0</v>
      </c>
      <c r="H577" s="1">
        <f>IF(B577="", "", "air")</f>
        <v>0</v>
      </c>
      <c r="I577" s="1">
        <f>IF(B577="", "", "air metagenome")</f>
        <v>0</v>
      </c>
      <c r="J577" s="1">
        <f>IF(B577="", "", "655179")</f>
        <v>0</v>
      </c>
    </row>
    <row r="578" spans="1:10">
      <c r="A578">
        <f>IF(COUNTBLANK(B578:J578)&lt;&gt;COLUMNS(B578:J578),577,"")</f>
        <v>0</v>
      </c>
      <c r="D578" s="1">
        <f>IF(B578="", "", "m")</f>
        <v>0</v>
      </c>
      <c r="F578" s="1">
        <f>IF(B578="", "", "air")</f>
        <v>0</v>
      </c>
      <c r="G578" s="1">
        <f>IF(B578="", "", "air")</f>
        <v>0</v>
      </c>
      <c r="H578" s="1">
        <f>IF(B578="", "", "air")</f>
        <v>0</v>
      </c>
      <c r="I578" s="1">
        <f>IF(B578="", "", "air metagenome")</f>
        <v>0</v>
      </c>
      <c r="J578" s="1">
        <f>IF(B578="", "", "655179")</f>
        <v>0</v>
      </c>
    </row>
    <row r="579" spans="1:10">
      <c r="A579">
        <f>IF(COUNTBLANK(B579:J579)&lt;&gt;COLUMNS(B579:J579),578,"")</f>
        <v>0</v>
      </c>
      <c r="D579" s="1">
        <f>IF(B579="", "", "m")</f>
        <v>0</v>
      </c>
      <c r="F579" s="1">
        <f>IF(B579="", "", "air")</f>
        <v>0</v>
      </c>
      <c r="G579" s="1">
        <f>IF(B579="", "", "air")</f>
        <v>0</v>
      </c>
      <c r="H579" s="1">
        <f>IF(B579="", "", "air")</f>
        <v>0</v>
      </c>
      <c r="I579" s="1">
        <f>IF(B579="", "", "air metagenome")</f>
        <v>0</v>
      </c>
      <c r="J579" s="1">
        <f>IF(B579="", "", "655179")</f>
        <v>0</v>
      </c>
    </row>
    <row r="580" spans="1:10">
      <c r="A580">
        <f>IF(COUNTBLANK(B580:J580)&lt;&gt;COLUMNS(B580:J580),579,"")</f>
        <v>0</v>
      </c>
      <c r="D580" s="1">
        <f>IF(B580="", "", "m")</f>
        <v>0</v>
      </c>
      <c r="F580" s="1">
        <f>IF(B580="", "", "air")</f>
        <v>0</v>
      </c>
      <c r="G580" s="1">
        <f>IF(B580="", "", "air")</f>
        <v>0</v>
      </c>
      <c r="H580" s="1">
        <f>IF(B580="", "", "air")</f>
        <v>0</v>
      </c>
      <c r="I580" s="1">
        <f>IF(B580="", "", "air metagenome")</f>
        <v>0</v>
      </c>
      <c r="J580" s="1">
        <f>IF(B580="", "", "655179")</f>
        <v>0</v>
      </c>
    </row>
    <row r="581" spans="1:10">
      <c r="A581">
        <f>IF(COUNTBLANK(B581:J581)&lt;&gt;COLUMNS(B581:J581),580,"")</f>
        <v>0</v>
      </c>
      <c r="D581" s="1">
        <f>IF(B581="", "", "m")</f>
        <v>0</v>
      </c>
      <c r="F581" s="1">
        <f>IF(B581="", "", "air")</f>
        <v>0</v>
      </c>
      <c r="G581" s="1">
        <f>IF(B581="", "", "air")</f>
        <v>0</v>
      </c>
      <c r="H581" s="1">
        <f>IF(B581="", "", "air")</f>
        <v>0</v>
      </c>
      <c r="I581" s="1">
        <f>IF(B581="", "", "air metagenome")</f>
        <v>0</v>
      </c>
      <c r="J581" s="1">
        <f>IF(B581="", "", "655179")</f>
        <v>0</v>
      </c>
    </row>
    <row r="582" spans="1:10">
      <c r="A582">
        <f>IF(COUNTBLANK(B582:J582)&lt;&gt;COLUMNS(B582:J582),581,"")</f>
        <v>0</v>
      </c>
      <c r="D582" s="1">
        <f>IF(B582="", "", "m")</f>
        <v>0</v>
      </c>
      <c r="F582" s="1">
        <f>IF(B582="", "", "air")</f>
        <v>0</v>
      </c>
      <c r="G582" s="1">
        <f>IF(B582="", "", "air")</f>
        <v>0</v>
      </c>
      <c r="H582" s="1">
        <f>IF(B582="", "", "air")</f>
        <v>0</v>
      </c>
      <c r="I582" s="1">
        <f>IF(B582="", "", "air metagenome")</f>
        <v>0</v>
      </c>
      <c r="J582" s="1">
        <f>IF(B582="", "", "655179")</f>
        <v>0</v>
      </c>
    </row>
    <row r="583" spans="1:10">
      <c r="A583">
        <f>IF(COUNTBLANK(B583:J583)&lt;&gt;COLUMNS(B583:J583),582,"")</f>
        <v>0</v>
      </c>
      <c r="D583" s="1">
        <f>IF(B583="", "", "m")</f>
        <v>0</v>
      </c>
      <c r="F583" s="1">
        <f>IF(B583="", "", "air")</f>
        <v>0</v>
      </c>
      <c r="G583" s="1">
        <f>IF(B583="", "", "air")</f>
        <v>0</v>
      </c>
      <c r="H583" s="1">
        <f>IF(B583="", "", "air")</f>
        <v>0</v>
      </c>
      <c r="I583" s="1">
        <f>IF(B583="", "", "air metagenome")</f>
        <v>0</v>
      </c>
      <c r="J583" s="1">
        <f>IF(B583="", "", "655179")</f>
        <v>0</v>
      </c>
    </row>
    <row r="584" spans="1:10">
      <c r="A584">
        <f>IF(COUNTBLANK(B584:J584)&lt;&gt;COLUMNS(B584:J584),583,"")</f>
        <v>0</v>
      </c>
      <c r="D584" s="1">
        <f>IF(B584="", "", "m")</f>
        <v>0</v>
      </c>
      <c r="F584" s="1">
        <f>IF(B584="", "", "air")</f>
        <v>0</v>
      </c>
      <c r="G584" s="1">
        <f>IF(B584="", "", "air")</f>
        <v>0</v>
      </c>
      <c r="H584" s="1">
        <f>IF(B584="", "", "air")</f>
        <v>0</v>
      </c>
      <c r="I584" s="1">
        <f>IF(B584="", "", "air metagenome")</f>
        <v>0</v>
      </c>
      <c r="J584" s="1">
        <f>IF(B584="", "", "655179")</f>
        <v>0</v>
      </c>
    </row>
    <row r="585" spans="1:10">
      <c r="A585">
        <f>IF(COUNTBLANK(B585:J585)&lt;&gt;COLUMNS(B585:J585),584,"")</f>
        <v>0</v>
      </c>
      <c r="D585" s="1">
        <f>IF(B585="", "", "m")</f>
        <v>0</v>
      </c>
      <c r="F585" s="1">
        <f>IF(B585="", "", "air")</f>
        <v>0</v>
      </c>
      <c r="G585" s="1">
        <f>IF(B585="", "", "air")</f>
        <v>0</v>
      </c>
      <c r="H585" s="1">
        <f>IF(B585="", "", "air")</f>
        <v>0</v>
      </c>
      <c r="I585" s="1">
        <f>IF(B585="", "", "air metagenome")</f>
        <v>0</v>
      </c>
      <c r="J585" s="1">
        <f>IF(B585="", "", "655179")</f>
        <v>0</v>
      </c>
    </row>
    <row r="586" spans="1:10">
      <c r="A586">
        <f>IF(COUNTBLANK(B586:J586)&lt;&gt;COLUMNS(B586:J586),585,"")</f>
        <v>0</v>
      </c>
      <c r="D586" s="1">
        <f>IF(B586="", "", "m")</f>
        <v>0</v>
      </c>
      <c r="F586" s="1">
        <f>IF(B586="", "", "air")</f>
        <v>0</v>
      </c>
      <c r="G586" s="1">
        <f>IF(B586="", "", "air")</f>
        <v>0</v>
      </c>
      <c r="H586" s="1">
        <f>IF(B586="", "", "air")</f>
        <v>0</v>
      </c>
      <c r="I586" s="1">
        <f>IF(B586="", "", "air metagenome")</f>
        <v>0</v>
      </c>
      <c r="J586" s="1">
        <f>IF(B586="", "", "655179")</f>
        <v>0</v>
      </c>
    </row>
    <row r="587" spans="1:10">
      <c r="A587">
        <f>IF(COUNTBLANK(B587:J587)&lt;&gt;COLUMNS(B587:J587),586,"")</f>
        <v>0</v>
      </c>
      <c r="D587" s="1">
        <f>IF(B587="", "", "m")</f>
        <v>0</v>
      </c>
      <c r="F587" s="1">
        <f>IF(B587="", "", "air")</f>
        <v>0</v>
      </c>
      <c r="G587" s="1">
        <f>IF(B587="", "", "air")</f>
        <v>0</v>
      </c>
      <c r="H587" s="1">
        <f>IF(B587="", "", "air")</f>
        <v>0</v>
      </c>
      <c r="I587" s="1">
        <f>IF(B587="", "", "air metagenome")</f>
        <v>0</v>
      </c>
      <c r="J587" s="1">
        <f>IF(B587="", "", "655179")</f>
        <v>0</v>
      </c>
    </row>
    <row r="588" spans="1:10">
      <c r="A588">
        <f>IF(COUNTBLANK(B588:J588)&lt;&gt;COLUMNS(B588:J588),587,"")</f>
        <v>0</v>
      </c>
      <c r="D588" s="1">
        <f>IF(B588="", "", "m")</f>
        <v>0</v>
      </c>
      <c r="F588" s="1">
        <f>IF(B588="", "", "air")</f>
        <v>0</v>
      </c>
      <c r="G588" s="1">
        <f>IF(B588="", "", "air")</f>
        <v>0</v>
      </c>
      <c r="H588" s="1">
        <f>IF(B588="", "", "air")</f>
        <v>0</v>
      </c>
      <c r="I588" s="1">
        <f>IF(B588="", "", "air metagenome")</f>
        <v>0</v>
      </c>
      <c r="J588" s="1">
        <f>IF(B588="", "", "655179")</f>
        <v>0</v>
      </c>
    </row>
    <row r="589" spans="1:10">
      <c r="A589">
        <f>IF(COUNTBLANK(B589:J589)&lt;&gt;COLUMNS(B589:J589),588,"")</f>
        <v>0</v>
      </c>
      <c r="D589" s="1">
        <f>IF(B589="", "", "m")</f>
        <v>0</v>
      </c>
      <c r="F589" s="1">
        <f>IF(B589="", "", "air")</f>
        <v>0</v>
      </c>
      <c r="G589" s="1">
        <f>IF(B589="", "", "air")</f>
        <v>0</v>
      </c>
      <c r="H589" s="1">
        <f>IF(B589="", "", "air")</f>
        <v>0</v>
      </c>
      <c r="I589" s="1">
        <f>IF(B589="", "", "air metagenome")</f>
        <v>0</v>
      </c>
      <c r="J589" s="1">
        <f>IF(B589="", "", "655179")</f>
        <v>0</v>
      </c>
    </row>
    <row r="590" spans="1:10">
      <c r="A590">
        <f>IF(COUNTBLANK(B590:J590)&lt;&gt;COLUMNS(B590:J590),589,"")</f>
        <v>0</v>
      </c>
      <c r="D590" s="1">
        <f>IF(B590="", "", "m")</f>
        <v>0</v>
      </c>
      <c r="F590" s="1">
        <f>IF(B590="", "", "air")</f>
        <v>0</v>
      </c>
      <c r="G590" s="1">
        <f>IF(B590="", "", "air")</f>
        <v>0</v>
      </c>
      <c r="H590" s="1">
        <f>IF(B590="", "", "air")</f>
        <v>0</v>
      </c>
      <c r="I590" s="1">
        <f>IF(B590="", "", "air metagenome")</f>
        <v>0</v>
      </c>
      <c r="J590" s="1">
        <f>IF(B590="", "", "655179")</f>
        <v>0</v>
      </c>
    </row>
    <row r="591" spans="1:10">
      <c r="A591">
        <f>IF(COUNTBLANK(B591:J591)&lt;&gt;COLUMNS(B591:J591),590,"")</f>
        <v>0</v>
      </c>
      <c r="D591" s="1">
        <f>IF(B591="", "", "m")</f>
        <v>0</v>
      </c>
      <c r="F591" s="1">
        <f>IF(B591="", "", "air")</f>
        <v>0</v>
      </c>
      <c r="G591" s="1">
        <f>IF(B591="", "", "air")</f>
        <v>0</v>
      </c>
      <c r="H591" s="1">
        <f>IF(B591="", "", "air")</f>
        <v>0</v>
      </c>
      <c r="I591" s="1">
        <f>IF(B591="", "", "air metagenome")</f>
        <v>0</v>
      </c>
      <c r="J591" s="1">
        <f>IF(B591="", "", "655179")</f>
        <v>0</v>
      </c>
    </row>
    <row r="592" spans="1:10">
      <c r="A592">
        <f>IF(COUNTBLANK(B592:J592)&lt;&gt;COLUMNS(B592:J592),591,"")</f>
        <v>0</v>
      </c>
      <c r="D592" s="1">
        <f>IF(B592="", "", "m")</f>
        <v>0</v>
      </c>
      <c r="F592" s="1">
        <f>IF(B592="", "", "air")</f>
        <v>0</v>
      </c>
      <c r="G592" s="1">
        <f>IF(B592="", "", "air")</f>
        <v>0</v>
      </c>
      <c r="H592" s="1">
        <f>IF(B592="", "", "air")</f>
        <v>0</v>
      </c>
      <c r="I592" s="1">
        <f>IF(B592="", "", "air metagenome")</f>
        <v>0</v>
      </c>
      <c r="J592" s="1">
        <f>IF(B592="", "", "655179")</f>
        <v>0</v>
      </c>
    </row>
    <row r="593" spans="1:10">
      <c r="A593">
        <f>IF(COUNTBLANK(B593:J593)&lt;&gt;COLUMNS(B593:J593),592,"")</f>
        <v>0</v>
      </c>
      <c r="D593" s="1">
        <f>IF(B593="", "", "m")</f>
        <v>0</v>
      </c>
      <c r="F593" s="1">
        <f>IF(B593="", "", "air")</f>
        <v>0</v>
      </c>
      <c r="G593" s="1">
        <f>IF(B593="", "", "air")</f>
        <v>0</v>
      </c>
      <c r="H593" s="1">
        <f>IF(B593="", "", "air")</f>
        <v>0</v>
      </c>
      <c r="I593" s="1">
        <f>IF(B593="", "", "air metagenome")</f>
        <v>0</v>
      </c>
      <c r="J593" s="1">
        <f>IF(B593="", "", "655179")</f>
        <v>0</v>
      </c>
    </row>
    <row r="594" spans="1:10">
      <c r="A594">
        <f>IF(COUNTBLANK(B594:J594)&lt;&gt;COLUMNS(B594:J594),593,"")</f>
        <v>0</v>
      </c>
      <c r="D594" s="1">
        <f>IF(B594="", "", "m")</f>
        <v>0</v>
      </c>
      <c r="F594" s="1">
        <f>IF(B594="", "", "air")</f>
        <v>0</v>
      </c>
      <c r="G594" s="1">
        <f>IF(B594="", "", "air")</f>
        <v>0</v>
      </c>
      <c r="H594" s="1">
        <f>IF(B594="", "", "air")</f>
        <v>0</v>
      </c>
      <c r="I594" s="1">
        <f>IF(B594="", "", "air metagenome")</f>
        <v>0</v>
      </c>
      <c r="J594" s="1">
        <f>IF(B594="", "", "655179")</f>
        <v>0</v>
      </c>
    </row>
    <row r="595" spans="1:10">
      <c r="A595">
        <f>IF(COUNTBLANK(B595:J595)&lt;&gt;COLUMNS(B595:J595),594,"")</f>
        <v>0</v>
      </c>
      <c r="D595" s="1">
        <f>IF(B595="", "", "m")</f>
        <v>0</v>
      </c>
      <c r="F595" s="1">
        <f>IF(B595="", "", "air")</f>
        <v>0</v>
      </c>
      <c r="G595" s="1">
        <f>IF(B595="", "", "air")</f>
        <v>0</v>
      </c>
      <c r="H595" s="1">
        <f>IF(B595="", "", "air")</f>
        <v>0</v>
      </c>
      <c r="I595" s="1">
        <f>IF(B595="", "", "air metagenome")</f>
        <v>0</v>
      </c>
      <c r="J595" s="1">
        <f>IF(B595="", "", "655179")</f>
        <v>0</v>
      </c>
    </row>
    <row r="596" spans="1:10">
      <c r="A596">
        <f>IF(COUNTBLANK(B596:J596)&lt;&gt;COLUMNS(B596:J596),595,"")</f>
        <v>0</v>
      </c>
      <c r="D596" s="1">
        <f>IF(B596="", "", "m")</f>
        <v>0</v>
      </c>
      <c r="F596" s="1">
        <f>IF(B596="", "", "air")</f>
        <v>0</v>
      </c>
      <c r="G596" s="1">
        <f>IF(B596="", "", "air")</f>
        <v>0</v>
      </c>
      <c r="H596" s="1">
        <f>IF(B596="", "", "air")</f>
        <v>0</v>
      </c>
      <c r="I596" s="1">
        <f>IF(B596="", "", "air metagenome")</f>
        <v>0</v>
      </c>
      <c r="J596" s="1">
        <f>IF(B596="", "", "655179")</f>
        <v>0</v>
      </c>
    </row>
    <row r="597" spans="1:10">
      <c r="A597">
        <f>IF(COUNTBLANK(B597:J597)&lt;&gt;COLUMNS(B597:J597),596,"")</f>
        <v>0</v>
      </c>
      <c r="D597" s="1">
        <f>IF(B597="", "", "m")</f>
        <v>0</v>
      </c>
      <c r="F597" s="1">
        <f>IF(B597="", "", "air")</f>
        <v>0</v>
      </c>
      <c r="G597" s="1">
        <f>IF(B597="", "", "air")</f>
        <v>0</v>
      </c>
      <c r="H597" s="1">
        <f>IF(B597="", "", "air")</f>
        <v>0</v>
      </c>
      <c r="I597" s="1">
        <f>IF(B597="", "", "air metagenome")</f>
        <v>0</v>
      </c>
      <c r="J597" s="1">
        <f>IF(B597="", "", "655179")</f>
        <v>0</v>
      </c>
    </row>
    <row r="598" spans="1:10">
      <c r="A598">
        <f>IF(COUNTBLANK(B598:J598)&lt;&gt;COLUMNS(B598:J598),597,"")</f>
        <v>0</v>
      </c>
      <c r="D598" s="1">
        <f>IF(B598="", "", "m")</f>
        <v>0</v>
      </c>
      <c r="F598" s="1">
        <f>IF(B598="", "", "air")</f>
        <v>0</v>
      </c>
      <c r="G598" s="1">
        <f>IF(B598="", "", "air")</f>
        <v>0</v>
      </c>
      <c r="H598" s="1">
        <f>IF(B598="", "", "air")</f>
        <v>0</v>
      </c>
      <c r="I598" s="1">
        <f>IF(B598="", "", "air metagenome")</f>
        <v>0</v>
      </c>
      <c r="J598" s="1">
        <f>IF(B598="", "", "655179")</f>
        <v>0</v>
      </c>
    </row>
    <row r="599" spans="1:10">
      <c r="A599">
        <f>IF(COUNTBLANK(B599:J599)&lt;&gt;COLUMNS(B599:J599),598,"")</f>
        <v>0</v>
      </c>
      <c r="D599" s="1">
        <f>IF(B599="", "", "m")</f>
        <v>0</v>
      </c>
      <c r="F599" s="1">
        <f>IF(B599="", "", "air")</f>
        <v>0</v>
      </c>
      <c r="G599" s="1">
        <f>IF(B599="", "", "air")</f>
        <v>0</v>
      </c>
      <c r="H599" s="1">
        <f>IF(B599="", "", "air")</f>
        <v>0</v>
      </c>
      <c r="I599" s="1">
        <f>IF(B599="", "", "air metagenome")</f>
        <v>0</v>
      </c>
      <c r="J599" s="1">
        <f>IF(B599="", "", "655179")</f>
        <v>0</v>
      </c>
    </row>
    <row r="600" spans="1:10">
      <c r="A600">
        <f>IF(COUNTBLANK(B600:J600)&lt;&gt;COLUMNS(B600:J600),599,"")</f>
        <v>0</v>
      </c>
      <c r="D600" s="1">
        <f>IF(B600="", "", "m")</f>
        <v>0</v>
      </c>
      <c r="F600" s="1">
        <f>IF(B600="", "", "air")</f>
        <v>0</v>
      </c>
      <c r="G600" s="1">
        <f>IF(B600="", "", "air")</f>
        <v>0</v>
      </c>
      <c r="H600" s="1">
        <f>IF(B600="", "", "air")</f>
        <v>0</v>
      </c>
      <c r="I600" s="1">
        <f>IF(B600="", "", "air metagenome")</f>
        <v>0</v>
      </c>
      <c r="J600" s="1">
        <f>IF(B600="", "", "655179")</f>
        <v>0</v>
      </c>
    </row>
    <row r="601" spans="1:10">
      <c r="A601">
        <f>IF(COUNTBLANK(B601:J601)&lt;&gt;COLUMNS(B601:J601),600,"")</f>
        <v>0</v>
      </c>
      <c r="D601" s="1">
        <f>IF(B601="", "", "m")</f>
        <v>0</v>
      </c>
      <c r="F601" s="1">
        <f>IF(B601="", "", "air")</f>
        <v>0</v>
      </c>
      <c r="G601" s="1">
        <f>IF(B601="", "", "air")</f>
        <v>0</v>
      </c>
      <c r="H601" s="1">
        <f>IF(B601="", "", "air")</f>
        <v>0</v>
      </c>
      <c r="I601" s="1">
        <f>IF(B601="", "", "air metagenome")</f>
        <v>0</v>
      </c>
      <c r="J601" s="1">
        <f>IF(B601="", "", "655179")</f>
        <v>0</v>
      </c>
    </row>
    <row r="602" spans="1:10">
      <c r="A602">
        <f>IF(COUNTBLANK(B602:J602)&lt;&gt;COLUMNS(B602:J602),601,"")</f>
        <v>0</v>
      </c>
      <c r="D602" s="1">
        <f>IF(B602="", "", "m")</f>
        <v>0</v>
      </c>
      <c r="F602" s="1">
        <f>IF(B602="", "", "air")</f>
        <v>0</v>
      </c>
      <c r="G602" s="1">
        <f>IF(B602="", "", "air")</f>
        <v>0</v>
      </c>
      <c r="H602" s="1">
        <f>IF(B602="", "", "air")</f>
        <v>0</v>
      </c>
      <c r="I602" s="1">
        <f>IF(B602="", "", "air metagenome")</f>
        <v>0</v>
      </c>
      <c r="J602" s="1">
        <f>IF(B602="", "", "655179")</f>
        <v>0</v>
      </c>
    </row>
    <row r="603" spans="1:10">
      <c r="A603">
        <f>IF(COUNTBLANK(B603:J603)&lt;&gt;COLUMNS(B603:J603),602,"")</f>
        <v>0</v>
      </c>
      <c r="D603" s="1">
        <f>IF(B603="", "", "m")</f>
        <v>0</v>
      </c>
      <c r="F603" s="1">
        <f>IF(B603="", "", "air")</f>
        <v>0</v>
      </c>
      <c r="G603" s="1">
        <f>IF(B603="", "", "air")</f>
        <v>0</v>
      </c>
      <c r="H603" s="1">
        <f>IF(B603="", "", "air")</f>
        <v>0</v>
      </c>
      <c r="I603" s="1">
        <f>IF(B603="", "", "air metagenome")</f>
        <v>0</v>
      </c>
      <c r="J603" s="1">
        <f>IF(B603="", "", "655179")</f>
        <v>0</v>
      </c>
    </row>
    <row r="604" spans="1:10">
      <c r="A604">
        <f>IF(COUNTBLANK(B604:J604)&lt;&gt;COLUMNS(B604:J604),603,"")</f>
        <v>0</v>
      </c>
      <c r="D604" s="1">
        <f>IF(B604="", "", "m")</f>
        <v>0</v>
      </c>
      <c r="F604" s="1">
        <f>IF(B604="", "", "air")</f>
        <v>0</v>
      </c>
      <c r="G604" s="1">
        <f>IF(B604="", "", "air")</f>
        <v>0</v>
      </c>
      <c r="H604" s="1">
        <f>IF(B604="", "", "air")</f>
        <v>0</v>
      </c>
      <c r="I604" s="1">
        <f>IF(B604="", "", "air metagenome")</f>
        <v>0</v>
      </c>
      <c r="J604" s="1">
        <f>IF(B604="", "", "655179")</f>
        <v>0</v>
      </c>
    </row>
    <row r="605" spans="1:10">
      <c r="A605">
        <f>IF(COUNTBLANK(B605:J605)&lt;&gt;COLUMNS(B605:J605),604,"")</f>
        <v>0</v>
      </c>
      <c r="D605" s="1">
        <f>IF(B605="", "", "m")</f>
        <v>0</v>
      </c>
      <c r="F605" s="1">
        <f>IF(B605="", "", "air")</f>
        <v>0</v>
      </c>
      <c r="G605" s="1">
        <f>IF(B605="", "", "air")</f>
        <v>0</v>
      </c>
      <c r="H605" s="1">
        <f>IF(B605="", "", "air")</f>
        <v>0</v>
      </c>
      <c r="I605" s="1">
        <f>IF(B605="", "", "air metagenome")</f>
        <v>0</v>
      </c>
      <c r="J605" s="1">
        <f>IF(B605="", "", "655179")</f>
        <v>0</v>
      </c>
    </row>
    <row r="606" spans="1:10">
      <c r="A606">
        <f>IF(COUNTBLANK(B606:J606)&lt;&gt;COLUMNS(B606:J606),605,"")</f>
        <v>0</v>
      </c>
      <c r="D606" s="1">
        <f>IF(B606="", "", "m")</f>
        <v>0</v>
      </c>
      <c r="F606" s="1">
        <f>IF(B606="", "", "air")</f>
        <v>0</v>
      </c>
      <c r="G606" s="1">
        <f>IF(B606="", "", "air")</f>
        <v>0</v>
      </c>
      <c r="H606" s="1">
        <f>IF(B606="", "", "air")</f>
        <v>0</v>
      </c>
      <c r="I606" s="1">
        <f>IF(B606="", "", "air metagenome")</f>
        <v>0</v>
      </c>
      <c r="J606" s="1">
        <f>IF(B606="", "", "655179")</f>
        <v>0</v>
      </c>
    </row>
    <row r="607" spans="1:10">
      <c r="A607">
        <f>IF(COUNTBLANK(B607:J607)&lt;&gt;COLUMNS(B607:J607),606,"")</f>
        <v>0</v>
      </c>
      <c r="D607" s="1">
        <f>IF(B607="", "", "m")</f>
        <v>0</v>
      </c>
      <c r="F607" s="1">
        <f>IF(B607="", "", "air")</f>
        <v>0</v>
      </c>
      <c r="G607" s="1">
        <f>IF(B607="", "", "air")</f>
        <v>0</v>
      </c>
      <c r="H607" s="1">
        <f>IF(B607="", "", "air")</f>
        <v>0</v>
      </c>
      <c r="I607" s="1">
        <f>IF(B607="", "", "air metagenome")</f>
        <v>0</v>
      </c>
      <c r="J607" s="1">
        <f>IF(B607="", "", "655179")</f>
        <v>0</v>
      </c>
    </row>
    <row r="608" spans="1:10">
      <c r="A608">
        <f>IF(COUNTBLANK(B608:J608)&lt;&gt;COLUMNS(B608:J608),607,"")</f>
        <v>0</v>
      </c>
      <c r="D608" s="1">
        <f>IF(B608="", "", "m")</f>
        <v>0</v>
      </c>
      <c r="F608" s="1">
        <f>IF(B608="", "", "air")</f>
        <v>0</v>
      </c>
      <c r="G608" s="1">
        <f>IF(B608="", "", "air")</f>
        <v>0</v>
      </c>
      <c r="H608" s="1">
        <f>IF(B608="", "", "air")</f>
        <v>0</v>
      </c>
      <c r="I608" s="1">
        <f>IF(B608="", "", "air metagenome")</f>
        <v>0</v>
      </c>
      <c r="J608" s="1">
        <f>IF(B608="", "", "655179")</f>
        <v>0</v>
      </c>
    </row>
    <row r="609" spans="1:10">
      <c r="A609">
        <f>IF(COUNTBLANK(B609:J609)&lt;&gt;COLUMNS(B609:J609),608,"")</f>
        <v>0</v>
      </c>
      <c r="D609" s="1">
        <f>IF(B609="", "", "m")</f>
        <v>0</v>
      </c>
      <c r="F609" s="1">
        <f>IF(B609="", "", "air")</f>
        <v>0</v>
      </c>
      <c r="G609" s="1">
        <f>IF(B609="", "", "air")</f>
        <v>0</v>
      </c>
      <c r="H609" s="1">
        <f>IF(B609="", "", "air")</f>
        <v>0</v>
      </c>
      <c r="I609" s="1">
        <f>IF(B609="", "", "air metagenome")</f>
        <v>0</v>
      </c>
      <c r="J609" s="1">
        <f>IF(B609="", "", "655179")</f>
        <v>0</v>
      </c>
    </row>
    <row r="610" spans="1:10">
      <c r="A610">
        <f>IF(COUNTBLANK(B610:J610)&lt;&gt;COLUMNS(B610:J610),609,"")</f>
        <v>0</v>
      </c>
      <c r="D610" s="1">
        <f>IF(B610="", "", "m")</f>
        <v>0</v>
      </c>
      <c r="F610" s="1">
        <f>IF(B610="", "", "air")</f>
        <v>0</v>
      </c>
      <c r="G610" s="1">
        <f>IF(B610="", "", "air")</f>
        <v>0</v>
      </c>
      <c r="H610" s="1">
        <f>IF(B610="", "", "air")</f>
        <v>0</v>
      </c>
      <c r="I610" s="1">
        <f>IF(B610="", "", "air metagenome")</f>
        <v>0</v>
      </c>
      <c r="J610" s="1">
        <f>IF(B610="", "", "655179")</f>
        <v>0</v>
      </c>
    </row>
    <row r="611" spans="1:10">
      <c r="A611">
        <f>IF(COUNTBLANK(B611:J611)&lt;&gt;COLUMNS(B611:J611),610,"")</f>
        <v>0</v>
      </c>
      <c r="D611" s="1">
        <f>IF(B611="", "", "m")</f>
        <v>0</v>
      </c>
      <c r="F611" s="1">
        <f>IF(B611="", "", "air")</f>
        <v>0</v>
      </c>
      <c r="G611" s="1">
        <f>IF(B611="", "", "air")</f>
        <v>0</v>
      </c>
      <c r="H611" s="1">
        <f>IF(B611="", "", "air")</f>
        <v>0</v>
      </c>
      <c r="I611" s="1">
        <f>IF(B611="", "", "air metagenome")</f>
        <v>0</v>
      </c>
      <c r="J611" s="1">
        <f>IF(B611="", "", "655179")</f>
        <v>0</v>
      </c>
    </row>
    <row r="612" spans="1:10">
      <c r="A612">
        <f>IF(COUNTBLANK(B612:J612)&lt;&gt;COLUMNS(B612:J612),611,"")</f>
        <v>0</v>
      </c>
      <c r="D612" s="1">
        <f>IF(B612="", "", "m")</f>
        <v>0</v>
      </c>
      <c r="F612" s="1">
        <f>IF(B612="", "", "air")</f>
        <v>0</v>
      </c>
      <c r="G612" s="1">
        <f>IF(B612="", "", "air")</f>
        <v>0</v>
      </c>
      <c r="H612" s="1">
        <f>IF(B612="", "", "air")</f>
        <v>0</v>
      </c>
      <c r="I612" s="1">
        <f>IF(B612="", "", "air metagenome")</f>
        <v>0</v>
      </c>
      <c r="J612" s="1">
        <f>IF(B612="", "", "655179")</f>
        <v>0</v>
      </c>
    </row>
    <row r="613" spans="1:10">
      <c r="A613">
        <f>IF(COUNTBLANK(B613:J613)&lt;&gt;COLUMNS(B613:J613),612,"")</f>
        <v>0</v>
      </c>
      <c r="D613" s="1">
        <f>IF(B613="", "", "m")</f>
        <v>0</v>
      </c>
      <c r="F613" s="1">
        <f>IF(B613="", "", "air")</f>
        <v>0</v>
      </c>
      <c r="G613" s="1">
        <f>IF(B613="", "", "air")</f>
        <v>0</v>
      </c>
      <c r="H613" s="1">
        <f>IF(B613="", "", "air")</f>
        <v>0</v>
      </c>
      <c r="I613" s="1">
        <f>IF(B613="", "", "air metagenome")</f>
        <v>0</v>
      </c>
      <c r="J613" s="1">
        <f>IF(B613="", "", "655179")</f>
        <v>0</v>
      </c>
    </row>
    <row r="614" spans="1:10">
      <c r="A614">
        <f>IF(COUNTBLANK(B614:J614)&lt;&gt;COLUMNS(B614:J614),613,"")</f>
        <v>0</v>
      </c>
      <c r="D614" s="1">
        <f>IF(B614="", "", "m")</f>
        <v>0</v>
      </c>
      <c r="F614" s="1">
        <f>IF(B614="", "", "air")</f>
        <v>0</v>
      </c>
      <c r="G614" s="1">
        <f>IF(B614="", "", "air")</f>
        <v>0</v>
      </c>
      <c r="H614" s="1">
        <f>IF(B614="", "", "air")</f>
        <v>0</v>
      </c>
      <c r="I614" s="1">
        <f>IF(B614="", "", "air metagenome")</f>
        <v>0</v>
      </c>
      <c r="J614" s="1">
        <f>IF(B614="", "", "655179")</f>
        <v>0</v>
      </c>
    </row>
    <row r="615" spans="1:10">
      <c r="A615">
        <f>IF(COUNTBLANK(B615:J615)&lt;&gt;COLUMNS(B615:J615),614,"")</f>
        <v>0</v>
      </c>
      <c r="D615" s="1">
        <f>IF(B615="", "", "m")</f>
        <v>0</v>
      </c>
      <c r="F615" s="1">
        <f>IF(B615="", "", "air")</f>
        <v>0</v>
      </c>
      <c r="G615" s="1">
        <f>IF(B615="", "", "air")</f>
        <v>0</v>
      </c>
      <c r="H615" s="1">
        <f>IF(B615="", "", "air")</f>
        <v>0</v>
      </c>
      <c r="I615" s="1">
        <f>IF(B615="", "", "air metagenome")</f>
        <v>0</v>
      </c>
      <c r="J615" s="1">
        <f>IF(B615="", "", "655179")</f>
        <v>0</v>
      </c>
    </row>
    <row r="616" spans="1:10">
      <c r="A616">
        <f>IF(COUNTBLANK(B616:J616)&lt;&gt;COLUMNS(B616:J616),615,"")</f>
        <v>0</v>
      </c>
      <c r="D616" s="1">
        <f>IF(B616="", "", "m")</f>
        <v>0</v>
      </c>
      <c r="F616" s="1">
        <f>IF(B616="", "", "air")</f>
        <v>0</v>
      </c>
      <c r="G616" s="1">
        <f>IF(B616="", "", "air")</f>
        <v>0</v>
      </c>
      <c r="H616" s="1">
        <f>IF(B616="", "", "air")</f>
        <v>0</v>
      </c>
      <c r="I616" s="1">
        <f>IF(B616="", "", "air metagenome")</f>
        <v>0</v>
      </c>
      <c r="J616" s="1">
        <f>IF(B616="", "", "655179")</f>
        <v>0</v>
      </c>
    </row>
    <row r="617" spans="1:10">
      <c r="A617">
        <f>IF(COUNTBLANK(B617:J617)&lt;&gt;COLUMNS(B617:J617),616,"")</f>
        <v>0</v>
      </c>
      <c r="D617" s="1">
        <f>IF(B617="", "", "m")</f>
        <v>0</v>
      </c>
      <c r="F617" s="1">
        <f>IF(B617="", "", "air")</f>
        <v>0</v>
      </c>
      <c r="G617" s="1">
        <f>IF(B617="", "", "air")</f>
        <v>0</v>
      </c>
      <c r="H617" s="1">
        <f>IF(B617="", "", "air")</f>
        <v>0</v>
      </c>
      <c r="I617" s="1">
        <f>IF(B617="", "", "air metagenome")</f>
        <v>0</v>
      </c>
      <c r="J617" s="1">
        <f>IF(B617="", "", "655179")</f>
        <v>0</v>
      </c>
    </row>
    <row r="618" spans="1:10">
      <c r="A618">
        <f>IF(COUNTBLANK(B618:J618)&lt;&gt;COLUMNS(B618:J618),617,"")</f>
        <v>0</v>
      </c>
      <c r="D618" s="1">
        <f>IF(B618="", "", "m")</f>
        <v>0</v>
      </c>
      <c r="F618" s="1">
        <f>IF(B618="", "", "air")</f>
        <v>0</v>
      </c>
      <c r="G618" s="1">
        <f>IF(B618="", "", "air")</f>
        <v>0</v>
      </c>
      <c r="H618" s="1">
        <f>IF(B618="", "", "air")</f>
        <v>0</v>
      </c>
      <c r="I618" s="1">
        <f>IF(B618="", "", "air metagenome")</f>
        <v>0</v>
      </c>
      <c r="J618" s="1">
        <f>IF(B618="", "", "655179")</f>
        <v>0</v>
      </c>
    </row>
    <row r="619" spans="1:10">
      <c r="A619">
        <f>IF(COUNTBLANK(B619:J619)&lt;&gt;COLUMNS(B619:J619),618,"")</f>
        <v>0</v>
      </c>
      <c r="D619" s="1">
        <f>IF(B619="", "", "m")</f>
        <v>0</v>
      </c>
      <c r="F619" s="1">
        <f>IF(B619="", "", "air")</f>
        <v>0</v>
      </c>
      <c r="G619" s="1">
        <f>IF(B619="", "", "air")</f>
        <v>0</v>
      </c>
      <c r="H619" s="1">
        <f>IF(B619="", "", "air")</f>
        <v>0</v>
      </c>
      <c r="I619" s="1">
        <f>IF(B619="", "", "air metagenome")</f>
        <v>0</v>
      </c>
      <c r="J619" s="1">
        <f>IF(B619="", "", "655179")</f>
        <v>0</v>
      </c>
    </row>
    <row r="620" spans="1:10">
      <c r="A620">
        <f>IF(COUNTBLANK(B620:J620)&lt;&gt;COLUMNS(B620:J620),619,"")</f>
        <v>0</v>
      </c>
      <c r="D620" s="1">
        <f>IF(B620="", "", "m")</f>
        <v>0</v>
      </c>
      <c r="F620" s="1">
        <f>IF(B620="", "", "air")</f>
        <v>0</v>
      </c>
      <c r="G620" s="1">
        <f>IF(B620="", "", "air")</f>
        <v>0</v>
      </c>
      <c r="H620" s="1">
        <f>IF(B620="", "", "air")</f>
        <v>0</v>
      </c>
      <c r="I620" s="1">
        <f>IF(B620="", "", "air metagenome")</f>
        <v>0</v>
      </c>
      <c r="J620" s="1">
        <f>IF(B620="", "", "655179")</f>
        <v>0</v>
      </c>
    </row>
    <row r="621" spans="1:10">
      <c r="A621">
        <f>IF(COUNTBLANK(B621:J621)&lt;&gt;COLUMNS(B621:J621),620,"")</f>
        <v>0</v>
      </c>
      <c r="D621" s="1">
        <f>IF(B621="", "", "m")</f>
        <v>0</v>
      </c>
      <c r="F621" s="1">
        <f>IF(B621="", "", "air")</f>
        <v>0</v>
      </c>
      <c r="G621" s="1">
        <f>IF(B621="", "", "air")</f>
        <v>0</v>
      </c>
      <c r="H621" s="1">
        <f>IF(B621="", "", "air")</f>
        <v>0</v>
      </c>
      <c r="I621" s="1">
        <f>IF(B621="", "", "air metagenome")</f>
        <v>0</v>
      </c>
      <c r="J621" s="1">
        <f>IF(B621="", "", "655179")</f>
        <v>0</v>
      </c>
    </row>
    <row r="622" spans="1:10">
      <c r="A622">
        <f>IF(COUNTBLANK(B622:J622)&lt;&gt;COLUMNS(B622:J622),621,"")</f>
        <v>0</v>
      </c>
      <c r="D622" s="1">
        <f>IF(B622="", "", "m")</f>
        <v>0</v>
      </c>
      <c r="F622" s="1">
        <f>IF(B622="", "", "air")</f>
        <v>0</v>
      </c>
      <c r="G622" s="1">
        <f>IF(B622="", "", "air")</f>
        <v>0</v>
      </c>
      <c r="H622" s="1">
        <f>IF(B622="", "", "air")</f>
        <v>0</v>
      </c>
      <c r="I622" s="1">
        <f>IF(B622="", "", "air metagenome")</f>
        <v>0</v>
      </c>
      <c r="J622" s="1">
        <f>IF(B622="", "", "655179")</f>
        <v>0</v>
      </c>
    </row>
    <row r="623" spans="1:10">
      <c r="A623">
        <f>IF(COUNTBLANK(B623:J623)&lt;&gt;COLUMNS(B623:J623),622,"")</f>
        <v>0</v>
      </c>
      <c r="D623" s="1">
        <f>IF(B623="", "", "m")</f>
        <v>0</v>
      </c>
      <c r="F623" s="1">
        <f>IF(B623="", "", "air")</f>
        <v>0</v>
      </c>
      <c r="G623" s="1">
        <f>IF(B623="", "", "air")</f>
        <v>0</v>
      </c>
      <c r="H623" s="1">
        <f>IF(B623="", "", "air")</f>
        <v>0</v>
      </c>
      <c r="I623" s="1">
        <f>IF(B623="", "", "air metagenome")</f>
        <v>0</v>
      </c>
      <c r="J623" s="1">
        <f>IF(B623="", "", "655179")</f>
        <v>0</v>
      </c>
    </row>
    <row r="624" spans="1:10">
      <c r="A624">
        <f>IF(COUNTBLANK(B624:J624)&lt;&gt;COLUMNS(B624:J624),623,"")</f>
        <v>0</v>
      </c>
      <c r="D624" s="1">
        <f>IF(B624="", "", "m")</f>
        <v>0</v>
      </c>
      <c r="F624" s="1">
        <f>IF(B624="", "", "air")</f>
        <v>0</v>
      </c>
      <c r="G624" s="1">
        <f>IF(B624="", "", "air")</f>
        <v>0</v>
      </c>
      <c r="H624" s="1">
        <f>IF(B624="", "", "air")</f>
        <v>0</v>
      </c>
      <c r="I624" s="1">
        <f>IF(B624="", "", "air metagenome")</f>
        <v>0</v>
      </c>
      <c r="J624" s="1">
        <f>IF(B624="", "", "655179")</f>
        <v>0</v>
      </c>
    </row>
    <row r="625" spans="1:10">
      <c r="A625">
        <f>IF(COUNTBLANK(B625:J625)&lt;&gt;COLUMNS(B625:J625),624,"")</f>
        <v>0</v>
      </c>
      <c r="D625" s="1">
        <f>IF(B625="", "", "m")</f>
        <v>0</v>
      </c>
      <c r="F625" s="1">
        <f>IF(B625="", "", "air")</f>
        <v>0</v>
      </c>
      <c r="G625" s="1">
        <f>IF(B625="", "", "air")</f>
        <v>0</v>
      </c>
      <c r="H625" s="1">
        <f>IF(B625="", "", "air")</f>
        <v>0</v>
      </c>
      <c r="I625" s="1">
        <f>IF(B625="", "", "air metagenome")</f>
        <v>0</v>
      </c>
      <c r="J625" s="1">
        <f>IF(B625="", "", "655179")</f>
        <v>0</v>
      </c>
    </row>
    <row r="626" spans="1:10">
      <c r="A626">
        <f>IF(COUNTBLANK(B626:J626)&lt;&gt;COLUMNS(B626:J626),625,"")</f>
        <v>0</v>
      </c>
      <c r="D626" s="1">
        <f>IF(B626="", "", "m")</f>
        <v>0</v>
      </c>
      <c r="F626" s="1">
        <f>IF(B626="", "", "air")</f>
        <v>0</v>
      </c>
      <c r="G626" s="1">
        <f>IF(B626="", "", "air")</f>
        <v>0</v>
      </c>
      <c r="H626" s="1">
        <f>IF(B626="", "", "air")</f>
        <v>0</v>
      </c>
      <c r="I626" s="1">
        <f>IF(B626="", "", "air metagenome")</f>
        <v>0</v>
      </c>
      <c r="J626" s="1">
        <f>IF(B626="", "", "655179")</f>
        <v>0</v>
      </c>
    </row>
    <row r="627" spans="1:10">
      <c r="A627">
        <f>IF(COUNTBLANK(B627:J627)&lt;&gt;COLUMNS(B627:J627),626,"")</f>
        <v>0</v>
      </c>
      <c r="D627" s="1">
        <f>IF(B627="", "", "m")</f>
        <v>0</v>
      </c>
      <c r="F627" s="1">
        <f>IF(B627="", "", "air")</f>
        <v>0</v>
      </c>
      <c r="G627" s="1">
        <f>IF(B627="", "", "air")</f>
        <v>0</v>
      </c>
      <c r="H627" s="1">
        <f>IF(B627="", "", "air")</f>
        <v>0</v>
      </c>
      <c r="I627" s="1">
        <f>IF(B627="", "", "air metagenome")</f>
        <v>0</v>
      </c>
      <c r="J627" s="1">
        <f>IF(B627="", "", "655179")</f>
        <v>0</v>
      </c>
    </row>
    <row r="628" spans="1:10">
      <c r="A628">
        <f>IF(COUNTBLANK(B628:J628)&lt;&gt;COLUMNS(B628:J628),627,"")</f>
        <v>0</v>
      </c>
      <c r="D628" s="1">
        <f>IF(B628="", "", "m")</f>
        <v>0</v>
      </c>
      <c r="F628" s="1">
        <f>IF(B628="", "", "air")</f>
        <v>0</v>
      </c>
      <c r="G628" s="1">
        <f>IF(B628="", "", "air")</f>
        <v>0</v>
      </c>
      <c r="H628" s="1">
        <f>IF(B628="", "", "air")</f>
        <v>0</v>
      </c>
      <c r="I628" s="1">
        <f>IF(B628="", "", "air metagenome")</f>
        <v>0</v>
      </c>
      <c r="J628" s="1">
        <f>IF(B628="", "", "655179")</f>
        <v>0</v>
      </c>
    </row>
    <row r="629" spans="1:10">
      <c r="A629">
        <f>IF(COUNTBLANK(B629:J629)&lt;&gt;COLUMNS(B629:J629),628,"")</f>
        <v>0</v>
      </c>
      <c r="D629" s="1">
        <f>IF(B629="", "", "m")</f>
        <v>0</v>
      </c>
      <c r="F629" s="1">
        <f>IF(B629="", "", "air")</f>
        <v>0</v>
      </c>
      <c r="G629" s="1">
        <f>IF(B629="", "", "air")</f>
        <v>0</v>
      </c>
      <c r="H629" s="1">
        <f>IF(B629="", "", "air")</f>
        <v>0</v>
      </c>
      <c r="I629" s="1">
        <f>IF(B629="", "", "air metagenome")</f>
        <v>0</v>
      </c>
      <c r="J629" s="1">
        <f>IF(B629="", "", "655179")</f>
        <v>0</v>
      </c>
    </row>
    <row r="630" spans="1:10">
      <c r="A630">
        <f>IF(COUNTBLANK(B630:J630)&lt;&gt;COLUMNS(B630:J630),629,"")</f>
        <v>0</v>
      </c>
      <c r="D630" s="1">
        <f>IF(B630="", "", "m")</f>
        <v>0</v>
      </c>
      <c r="F630" s="1">
        <f>IF(B630="", "", "air")</f>
        <v>0</v>
      </c>
      <c r="G630" s="1">
        <f>IF(B630="", "", "air")</f>
        <v>0</v>
      </c>
      <c r="H630" s="1">
        <f>IF(B630="", "", "air")</f>
        <v>0</v>
      </c>
      <c r="I630" s="1">
        <f>IF(B630="", "", "air metagenome")</f>
        <v>0</v>
      </c>
      <c r="J630" s="1">
        <f>IF(B630="", "", "655179")</f>
        <v>0</v>
      </c>
    </row>
    <row r="631" spans="1:10">
      <c r="A631">
        <f>IF(COUNTBLANK(B631:J631)&lt;&gt;COLUMNS(B631:J631),630,"")</f>
        <v>0</v>
      </c>
      <c r="D631" s="1">
        <f>IF(B631="", "", "m")</f>
        <v>0</v>
      </c>
      <c r="F631" s="1">
        <f>IF(B631="", "", "air")</f>
        <v>0</v>
      </c>
      <c r="G631" s="1">
        <f>IF(B631="", "", "air")</f>
        <v>0</v>
      </c>
      <c r="H631" s="1">
        <f>IF(B631="", "", "air")</f>
        <v>0</v>
      </c>
      <c r="I631" s="1">
        <f>IF(B631="", "", "air metagenome")</f>
        <v>0</v>
      </c>
      <c r="J631" s="1">
        <f>IF(B631="", "", "655179")</f>
        <v>0</v>
      </c>
    </row>
    <row r="632" spans="1:10">
      <c r="A632">
        <f>IF(COUNTBLANK(B632:J632)&lt;&gt;COLUMNS(B632:J632),631,"")</f>
        <v>0</v>
      </c>
      <c r="D632" s="1">
        <f>IF(B632="", "", "m")</f>
        <v>0</v>
      </c>
      <c r="F632" s="1">
        <f>IF(B632="", "", "air")</f>
        <v>0</v>
      </c>
      <c r="G632" s="1">
        <f>IF(B632="", "", "air")</f>
        <v>0</v>
      </c>
      <c r="H632" s="1">
        <f>IF(B632="", "", "air")</f>
        <v>0</v>
      </c>
      <c r="I632" s="1">
        <f>IF(B632="", "", "air metagenome")</f>
        <v>0</v>
      </c>
      <c r="J632" s="1">
        <f>IF(B632="", "", "655179")</f>
        <v>0</v>
      </c>
    </row>
    <row r="633" spans="1:10">
      <c r="A633">
        <f>IF(COUNTBLANK(B633:J633)&lt;&gt;COLUMNS(B633:J633),632,"")</f>
        <v>0</v>
      </c>
      <c r="D633" s="1">
        <f>IF(B633="", "", "m")</f>
        <v>0</v>
      </c>
      <c r="F633" s="1">
        <f>IF(B633="", "", "air")</f>
        <v>0</v>
      </c>
      <c r="G633" s="1">
        <f>IF(B633="", "", "air")</f>
        <v>0</v>
      </c>
      <c r="H633" s="1">
        <f>IF(B633="", "", "air")</f>
        <v>0</v>
      </c>
      <c r="I633" s="1">
        <f>IF(B633="", "", "air metagenome")</f>
        <v>0</v>
      </c>
      <c r="J633" s="1">
        <f>IF(B633="", "", "655179")</f>
        <v>0</v>
      </c>
    </row>
    <row r="634" spans="1:10">
      <c r="A634">
        <f>IF(COUNTBLANK(B634:J634)&lt;&gt;COLUMNS(B634:J634),633,"")</f>
        <v>0</v>
      </c>
      <c r="D634" s="1">
        <f>IF(B634="", "", "m")</f>
        <v>0</v>
      </c>
      <c r="F634" s="1">
        <f>IF(B634="", "", "air")</f>
        <v>0</v>
      </c>
      <c r="G634" s="1">
        <f>IF(B634="", "", "air")</f>
        <v>0</v>
      </c>
      <c r="H634" s="1">
        <f>IF(B634="", "", "air")</f>
        <v>0</v>
      </c>
      <c r="I634" s="1">
        <f>IF(B634="", "", "air metagenome")</f>
        <v>0</v>
      </c>
      <c r="J634" s="1">
        <f>IF(B634="", "", "655179")</f>
        <v>0</v>
      </c>
    </row>
    <row r="635" spans="1:10">
      <c r="A635">
        <f>IF(COUNTBLANK(B635:J635)&lt;&gt;COLUMNS(B635:J635),634,"")</f>
        <v>0</v>
      </c>
      <c r="D635" s="1">
        <f>IF(B635="", "", "m")</f>
        <v>0</v>
      </c>
      <c r="F635" s="1">
        <f>IF(B635="", "", "air")</f>
        <v>0</v>
      </c>
      <c r="G635" s="1">
        <f>IF(B635="", "", "air")</f>
        <v>0</v>
      </c>
      <c r="H635" s="1">
        <f>IF(B635="", "", "air")</f>
        <v>0</v>
      </c>
      <c r="I635" s="1">
        <f>IF(B635="", "", "air metagenome")</f>
        <v>0</v>
      </c>
      <c r="J635" s="1">
        <f>IF(B635="", "", "655179")</f>
        <v>0</v>
      </c>
    </row>
    <row r="636" spans="1:10">
      <c r="A636">
        <f>IF(COUNTBLANK(B636:J636)&lt;&gt;COLUMNS(B636:J636),635,"")</f>
        <v>0</v>
      </c>
      <c r="D636" s="1">
        <f>IF(B636="", "", "m")</f>
        <v>0</v>
      </c>
      <c r="F636" s="1">
        <f>IF(B636="", "", "air")</f>
        <v>0</v>
      </c>
      <c r="G636" s="1">
        <f>IF(B636="", "", "air")</f>
        <v>0</v>
      </c>
      <c r="H636" s="1">
        <f>IF(B636="", "", "air")</f>
        <v>0</v>
      </c>
      <c r="I636" s="1">
        <f>IF(B636="", "", "air metagenome")</f>
        <v>0</v>
      </c>
      <c r="J636" s="1">
        <f>IF(B636="", "", "655179")</f>
        <v>0</v>
      </c>
    </row>
    <row r="637" spans="1:10">
      <c r="A637">
        <f>IF(COUNTBLANK(B637:J637)&lt;&gt;COLUMNS(B637:J637),636,"")</f>
        <v>0</v>
      </c>
      <c r="D637" s="1">
        <f>IF(B637="", "", "m")</f>
        <v>0</v>
      </c>
      <c r="F637" s="1">
        <f>IF(B637="", "", "air")</f>
        <v>0</v>
      </c>
      <c r="G637" s="1">
        <f>IF(B637="", "", "air")</f>
        <v>0</v>
      </c>
      <c r="H637" s="1">
        <f>IF(B637="", "", "air")</f>
        <v>0</v>
      </c>
      <c r="I637" s="1">
        <f>IF(B637="", "", "air metagenome")</f>
        <v>0</v>
      </c>
      <c r="J637" s="1">
        <f>IF(B637="", "", "655179")</f>
        <v>0</v>
      </c>
    </row>
    <row r="638" spans="1:10">
      <c r="A638">
        <f>IF(COUNTBLANK(B638:J638)&lt;&gt;COLUMNS(B638:J638),637,"")</f>
        <v>0</v>
      </c>
      <c r="D638" s="1">
        <f>IF(B638="", "", "m")</f>
        <v>0</v>
      </c>
      <c r="F638" s="1">
        <f>IF(B638="", "", "air")</f>
        <v>0</v>
      </c>
      <c r="G638" s="1">
        <f>IF(B638="", "", "air")</f>
        <v>0</v>
      </c>
      <c r="H638" s="1">
        <f>IF(B638="", "", "air")</f>
        <v>0</v>
      </c>
      <c r="I638" s="1">
        <f>IF(B638="", "", "air metagenome")</f>
        <v>0</v>
      </c>
      <c r="J638" s="1">
        <f>IF(B638="", "", "655179")</f>
        <v>0</v>
      </c>
    </row>
    <row r="639" spans="1:10">
      <c r="A639">
        <f>IF(COUNTBLANK(B639:J639)&lt;&gt;COLUMNS(B639:J639),638,"")</f>
        <v>0</v>
      </c>
      <c r="D639" s="1">
        <f>IF(B639="", "", "m")</f>
        <v>0</v>
      </c>
      <c r="F639" s="1">
        <f>IF(B639="", "", "air")</f>
        <v>0</v>
      </c>
      <c r="G639" s="1">
        <f>IF(B639="", "", "air")</f>
        <v>0</v>
      </c>
      <c r="H639" s="1">
        <f>IF(B639="", "", "air")</f>
        <v>0</v>
      </c>
      <c r="I639" s="1">
        <f>IF(B639="", "", "air metagenome")</f>
        <v>0</v>
      </c>
      <c r="J639" s="1">
        <f>IF(B639="", "", "655179")</f>
        <v>0</v>
      </c>
    </row>
    <row r="640" spans="1:10">
      <c r="A640">
        <f>IF(COUNTBLANK(B640:J640)&lt;&gt;COLUMNS(B640:J640),639,"")</f>
        <v>0</v>
      </c>
      <c r="D640" s="1">
        <f>IF(B640="", "", "m")</f>
        <v>0</v>
      </c>
      <c r="F640" s="1">
        <f>IF(B640="", "", "air")</f>
        <v>0</v>
      </c>
      <c r="G640" s="1">
        <f>IF(B640="", "", "air")</f>
        <v>0</v>
      </c>
      <c r="H640" s="1">
        <f>IF(B640="", "", "air")</f>
        <v>0</v>
      </c>
      <c r="I640" s="1">
        <f>IF(B640="", "", "air metagenome")</f>
        <v>0</v>
      </c>
      <c r="J640" s="1">
        <f>IF(B640="", "", "655179")</f>
        <v>0</v>
      </c>
    </row>
    <row r="641" spans="1:10">
      <c r="A641">
        <f>IF(COUNTBLANK(B641:J641)&lt;&gt;COLUMNS(B641:J641),640,"")</f>
        <v>0</v>
      </c>
      <c r="D641" s="1">
        <f>IF(B641="", "", "m")</f>
        <v>0</v>
      </c>
      <c r="F641" s="1">
        <f>IF(B641="", "", "air")</f>
        <v>0</v>
      </c>
      <c r="G641" s="1">
        <f>IF(B641="", "", "air")</f>
        <v>0</v>
      </c>
      <c r="H641" s="1">
        <f>IF(B641="", "", "air")</f>
        <v>0</v>
      </c>
      <c r="I641" s="1">
        <f>IF(B641="", "", "air metagenome")</f>
        <v>0</v>
      </c>
      <c r="J641" s="1">
        <f>IF(B641="", "", "655179")</f>
        <v>0</v>
      </c>
    </row>
    <row r="642" spans="1:10">
      <c r="A642">
        <f>IF(COUNTBLANK(B642:J642)&lt;&gt;COLUMNS(B642:J642),641,"")</f>
        <v>0</v>
      </c>
      <c r="D642" s="1">
        <f>IF(B642="", "", "m")</f>
        <v>0</v>
      </c>
      <c r="F642" s="1">
        <f>IF(B642="", "", "air")</f>
        <v>0</v>
      </c>
      <c r="G642" s="1">
        <f>IF(B642="", "", "air")</f>
        <v>0</v>
      </c>
      <c r="H642" s="1">
        <f>IF(B642="", "", "air")</f>
        <v>0</v>
      </c>
      <c r="I642" s="1">
        <f>IF(B642="", "", "air metagenome")</f>
        <v>0</v>
      </c>
      <c r="J642" s="1">
        <f>IF(B642="", "", "655179")</f>
        <v>0</v>
      </c>
    </row>
    <row r="643" spans="1:10">
      <c r="A643">
        <f>IF(COUNTBLANK(B643:J643)&lt;&gt;COLUMNS(B643:J643),642,"")</f>
        <v>0</v>
      </c>
      <c r="D643" s="1">
        <f>IF(B643="", "", "m")</f>
        <v>0</v>
      </c>
      <c r="F643" s="1">
        <f>IF(B643="", "", "air")</f>
        <v>0</v>
      </c>
      <c r="G643" s="1">
        <f>IF(B643="", "", "air")</f>
        <v>0</v>
      </c>
      <c r="H643" s="1">
        <f>IF(B643="", "", "air")</f>
        <v>0</v>
      </c>
      <c r="I643" s="1">
        <f>IF(B643="", "", "air metagenome")</f>
        <v>0</v>
      </c>
      <c r="J643" s="1">
        <f>IF(B643="", "", "655179")</f>
        <v>0</v>
      </c>
    </row>
    <row r="644" spans="1:10">
      <c r="A644">
        <f>IF(COUNTBLANK(B644:J644)&lt;&gt;COLUMNS(B644:J644),643,"")</f>
        <v>0</v>
      </c>
      <c r="D644" s="1">
        <f>IF(B644="", "", "m")</f>
        <v>0</v>
      </c>
      <c r="F644" s="1">
        <f>IF(B644="", "", "air")</f>
        <v>0</v>
      </c>
      <c r="G644" s="1">
        <f>IF(B644="", "", "air")</f>
        <v>0</v>
      </c>
      <c r="H644" s="1">
        <f>IF(B644="", "", "air")</f>
        <v>0</v>
      </c>
      <c r="I644" s="1">
        <f>IF(B644="", "", "air metagenome")</f>
        <v>0</v>
      </c>
      <c r="J644" s="1">
        <f>IF(B644="", "", "655179")</f>
        <v>0</v>
      </c>
    </row>
    <row r="645" spans="1:10">
      <c r="A645">
        <f>IF(COUNTBLANK(B645:J645)&lt;&gt;COLUMNS(B645:J645),644,"")</f>
        <v>0</v>
      </c>
      <c r="D645" s="1">
        <f>IF(B645="", "", "m")</f>
        <v>0</v>
      </c>
      <c r="F645" s="1">
        <f>IF(B645="", "", "air")</f>
        <v>0</v>
      </c>
      <c r="G645" s="1">
        <f>IF(B645="", "", "air")</f>
        <v>0</v>
      </c>
      <c r="H645" s="1">
        <f>IF(B645="", "", "air")</f>
        <v>0</v>
      </c>
      <c r="I645" s="1">
        <f>IF(B645="", "", "air metagenome")</f>
        <v>0</v>
      </c>
      <c r="J645" s="1">
        <f>IF(B645="", "", "655179")</f>
        <v>0</v>
      </c>
    </row>
    <row r="646" spans="1:10">
      <c r="A646">
        <f>IF(COUNTBLANK(B646:J646)&lt;&gt;COLUMNS(B646:J646),645,"")</f>
        <v>0</v>
      </c>
      <c r="D646" s="1">
        <f>IF(B646="", "", "m")</f>
        <v>0</v>
      </c>
      <c r="F646" s="1">
        <f>IF(B646="", "", "air")</f>
        <v>0</v>
      </c>
      <c r="G646" s="1">
        <f>IF(B646="", "", "air")</f>
        <v>0</v>
      </c>
      <c r="H646" s="1">
        <f>IF(B646="", "", "air")</f>
        <v>0</v>
      </c>
      <c r="I646" s="1">
        <f>IF(B646="", "", "air metagenome")</f>
        <v>0</v>
      </c>
      <c r="J646" s="1">
        <f>IF(B646="", "", "655179")</f>
        <v>0</v>
      </c>
    </row>
    <row r="647" spans="1:10">
      <c r="A647">
        <f>IF(COUNTBLANK(B647:J647)&lt;&gt;COLUMNS(B647:J647),646,"")</f>
        <v>0</v>
      </c>
      <c r="D647" s="1">
        <f>IF(B647="", "", "m")</f>
        <v>0</v>
      </c>
      <c r="F647" s="1">
        <f>IF(B647="", "", "air")</f>
        <v>0</v>
      </c>
      <c r="G647" s="1">
        <f>IF(B647="", "", "air")</f>
        <v>0</v>
      </c>
      <c r="H647" s="1">
        <f>IF(B647="", "", "air")</f>
        <v>0</v>
      </c>
      <c r="I647" s="1">
        <f>IF(B647="", "", "air metagenome")</f>
        <v>0</v>
      </c>
      <c r="J647" s="1">
        <f>IF(B647="", "", "655179")</f>
        <v>0</v>
      </c>
    </row>
    <row r="648" spans="1:10">
      <c r="A648">
        <f>IF(COUNTBLANK(B648:J648)&lt;&gt;COLUMNS(B648:J648),647,"")</f>
        <v>0</v>
      </c>
      <c r="D648" s="1">
        <f>IF(B648="", "", "m")</f>
        <v>0</v>
      </c>
      <c r="F648" s="1">
        <f>IF(B648="", "", "air")</f>
        <v>0</v>
      </c>
      <c r="G648" s="1">
        <f>IF(B648="", "", "air")</f>
        <v>0</v>
      </c>
      <c r="H648" s="1">
        <f>IF(B648="", "", "air")</f>
        <v>0</v>
      </c>
      <c r="I648" s="1">
        <f>IF(B648="", "", "air metagenome")</f>
        <v>0</v>
      </c>
      <c r="J648" s="1">
        <f>IF(B648="", "", "655179")</f>
        <v>0</v>
      </c>
    </row>
    <row r="649" spans="1:10">
      <c r="A649">
        <f>IF(COUNTBLANK(B649:J649)&lt;&gt;COLUMNS(B649:J649),648,"")</f>
        <v>0</v>
      </c>
      <c r="D649" s="1">
        <f>IF(B649="", "", "m")</f>
        <v>0</v>
      </c>
      <c r="F649" s="1">
        <f>IF(B649="", "", "air")</f>
        <v>0</v>
      </c>
      <c r="G649" s="1">
        <f>IF(B649="", "", "air")</f>
        <v>0</v>
      </c>
      <c r="H649" s="1">
        <f>IF(B649="", "", "air")</f>
        <v>0</v>
      </c>
      <c r="I649" s="1">
        <f>IF(B649="", "", "air metagenome")</f>
        <v>0</v>
      </c>
      <c r="J649" s="1">
        <f>IF(B649="", "", "655179")</f>
        <v>0</v>
      </c>
    </row>
    <row r="650" spans="1:10">
      <c r="A650">
        <f>IF(COUNTBLANK(B650:J650)&lt;&gt;COLUMNS(B650:J650),649,"")</f>
        <v>0</v>
      </c>
      <c r="D650" s="1">
        <f>IF(B650="", "", "m")</f>
        <v>0</v>
      </c>
      <c r="F650" s="1">
        <f>IF(B650="", "", "air")</f>
        <v>0</v>
      </c>
      <c r="G650" s="1">
        <f>IF(B650="", "", "air")</f>
        <v>0</v>
      </c>
      <c r="H650" s="1">
        <f>IF(B650="", "", "air")</f>
        <v>0</v>
      </c>
      <c r="I650" s="1">
        <f>IF(B650="", "", "air metagenome")</f>
        <v>0</v>
      </c>
      <c r="J650" s="1">
        <f>IF(B650="", "", "655179")</f>
        <v>0</v>
      </c>
    </row>
    <row r="651" spans="1:10">
      <c r="A651">
        <f>IF(COUNTBLANK(B651:J651)&lt;&gt;COLUMNS(B651:J651),650,"")</f>
        <v>0</v>
      </c>
      <c r="D651" s="1">
        <f>IF(B651="", "", "m")</f>
        <v>0</v>
      </c>
      <c r="F651" s="1">
        <f>IF(B651="", "", "air")</f>
        <v>0</v>
      </c>
      <c r="G651" s="1">
        <f>IF(B651="", "", "air")</f>
        <v>0</v>
      </c>
      <c r="H651" s="1">
        <f>IF(B651="", "", "air")</f>
        <v>0</v>
      </c>
      <c r="I651" s="1">
        <f>IF(B651="", "", "air metagenome")</f>
        <v>0</v>
      </c>
      <c r="J651" s="1">
        <f>IF(B651="", "", "655179")</f>
        <v>0</v>
      </c>
    </row>
    <row r="652" spans="1:10">
      <c r="A652">
        <f>IF(COUNTBLANK(B652:J652)&lt;&gt;COLUMNS(B652:J652),651,"")</f>
        <v>0</v>
      </c>
      <c r="D652" s="1">
        <f>IF(B652="", "", "m")</f>
        <v>0</v>
      </c>
      <c r="F652" s="1">
        <f>IF(B652="", "", "air")</f>
        <v>0</v>
      </c>
      <c r="G652" s="1">
        <f>IF(B652="", "", "air")</f>
        <v>0</v>
      </c>
      <c r="H652" s="1">
        <f>IF(B652="", "", "air")</f>
        <v>0</v>
      </c>
      <c r="I652" s="1">
        <f>IF(B652="", "", "air metagenome")</f>
        <v>0</v>
      </c>
      <c r="J652" s="1">
        <f>IF(B652="", "", "655179")</f>
        <v>0</v>
      </c>
    </row>
    <row r="653" spans="1:10">
      <c r="A653">
        <f>IF(COUNTBLANK(B653:J653)&lt;&gt;COLUMNS(B653:J653),652,"")</f>
        <v>0</v>
      </c>
      <c r="D653" s="1">
        <f>IF(B653="", "", "m")</f>
        <v>0</v>
      </c>
      <c r="F653" s="1">
        <f>IF(B653="", "", "air")</f>
        <v>0</v>
      </c>
      <c r="G653" s="1">
        <f>IF(B653="", "", "air")</f>
        <v>0</v>
      </c>
      <c r="H653" s="1">
        <f>IF(B653="", "", "air")</f>
        <v>0</v>
      </c>
      <c r="I653" s="1">
        <f>IF(B653="", "", "air metagenome")</f>
        <v>0</v>
      </c>
      <c r="J653" s="1">
        <f>IF(B653="", "", "655179")</f>
        <v>0</v>
      </c>
    </row>
    <row r="654" spans="1:10">
      <c r="A654">
        <f>IF(COUNTBLANK(B654:J654)&lt;&gt;COLUMNS(B654:J654),653,"")</f>
        <v>0</v>
      </c>
      <c r="D654" s="1">
        <f>IF(B654="", "", "m")</f>
        <v>0</v>
      </c>
      <c r="F654" s="1">
        <f>IF(B654="", "", "air")</f>
        <v>0</v>
      </c>
      <c r="G654" s="1">
        <f>IF(B654="", "", "air")</f>
        <v>0</v>
      </c>
      <c r="H654" s="1">
        <f>IF(B654="", "", "air")</f>
        <v>0</v>
      </c>
      <c r="I654" s="1">
        <f>IF(B654="", "", "air metagenome")</f>
        <v>0</v>
      </c>
      <c r="J654" s="1">
        <f>IF(B654="", "", "655179")</f>
        <v>0</v>
      </c>
    </row>
    <row r="655" spans="1:10">
      <c r="A655">
        <f>IF(COUNTBLANK(B655:J655)&lt;&gt;COLUMNS(B655:J655),654,"")</f>
        <v>0</v>
      </c>
      <c r="D655" s="1">
        <f>IF(B655="", "", "m")</f>
        <v>0</v>
      </c>
      <c r="F655" s="1">
        <f>IF(B655="", "", "air")</f>
        <v>0</v>
      </c>
      <c r="G655" s="1">
        <f>IF(B655="", "", "air")</f>
        <v>0</v>
      </c>
      <c r="H655" s="1">
        <f>IF(B655="", "", "air")</f>
        <v>0</v>
      </c>
      <c r="I655" s="1">
        <f>IF(B655="", "", "air metagenome")</f>
        <v>0</v>
      </c>
      <c r="J655" s="1">
        <f>IF(B655="", "", "655179")</f>
        <v>0</v>
      </c>
    </row>
    <row r="656" spans="1:10">
      <c r="A656">
        <f>IF(COUNTBLANK(B656:J656)&lt;&gt;COLUMNS(B656:J656),655,"")</f>
        <v>0</v>
      </c>
      <c r="D656" s="1">
        <f>IF(B656="", "", "m")</f>
        <v>0</v>
      </c>
      <c r="F656" s="1">
        <f>IF(B656="", "", "air")</f>
        <v>0</v>
      </c>
      <c r="G656" s="1">
        <f>IF(B656="", "", "air")</f>
        <v>0</v>
      </c>
      <c r="H656" s="1">
        <f>IF(B656="", "", "air")</f>
        <v>0</v>
      </c>
      <c r="I656" s="1">
        <f>IF(B656="", "", "air metagenome")</f>
        <v>0</v>
      </c>
      <c r="J656" s="1">
        <f>IF(B656="", "", "655179")</f>
        <v>0</v>
      </c>
    </row>
    <row r="657" spans="1:10">
      <c r="A657">
        <f>IF(COUNTBLANK(B657:J657)&lt;&gt;COLUMNS(B657:J657),656,"")</f>
        <v>0</v>
      </c>
      <c r="D657" s="1">
        <f>IF(B657="", "", "m")</f>
        <v>0</v>
      </c>
      <c r="F657" s="1">
        <f>IF(B657="", "", "air")</f>
        <v>0</v>
      </c>
      <c r="G657" s="1">
        <f>IF(B657="", "", "air")</f>
        <v>0</v>
      </c>
      <c r="H657" s="1">
        <f>IF(B657="", "", "air")</f>
        <v>0</v>
      </c>
      <c r="I657" s="1">
        <f>IF(B657="", "", "air metagenome")</f>
        <v>0</v>
      </c>
      <c r="J657" s="1">
        <f>IF(B657="", "", "655179")</f>
        <v>0</v>
      </c>
    </row>
    <row r="658" spans="1:10">
      <c r="A658">
        <f>IF(COUNTBLANK(B658:J658)&lt;&gt;COLUMNS(B658:J658),657,"")</f>
        <v>0</v>
      </c>
      <c r="D658" s="1">
        <f>IF(B658="", "", "m")</f>
        <v>0</v>
      </c>
      <c r="F658" s="1">
        <f>IF(B658="", "", "air")</f>
        <v>0</v>
      </c>
      <c r="G658" s="1">
        <f>IF(B658="", "", "air")</f>
        <v>0</v>
      </c>
      <c r="H658" s="1">
        <f>IF(B658="", "", "air")</f>
        <v>0</v>
      </c>
      <c r="I658" s="1">
        <f>IF(B658="", "", "air metagenome")</f>
        <v>0</v>
      </c>
      <c r="J658" s="1">
        <f>IF(B658="", "", "655179")</f>
        <v>0</v>
      </c>
    </row>
    <row r="659" spans="1:10">
      <c r="A659">
        <f>IF(COUNTBLANK(B659:J659)&lt;&gt;COLUMNS(B659:J659),658,"")</f>
        <v>0</v>
      </c>
      <c r="D659" s="1">
        <f>IF(B659="", "", "m")</f>
        <v>0</v>
      </c>
      <c r="F659" s="1">
        <f>IF(B659="", "", "air")</f>
        <v>0</v>
      </c>
      <c r="G659" s="1">
        <f>IF(B659="", "", "air")</f>
        <v>0</v>
      </c>
      <c r="H659" s="1">
        <f>IF(B659="", "", "air")</f>
        <v>0</v>
      </c>
      <c r="I659" s="1">
        <f>IF(B659="", "", "air metagenome")</f>
        <v>0</v>
      </c>
      <c r="J659" s="1">
        <f>IF(B659="", "", "655179")</f>
        <v>0</v>
      </c>
    </row>
    <row r="660" spans="1:10">
      <c r="A660">
        <f>IF(COUNTBLANK(B660:J660)&lt;&gt;COLUMNS(B660:J660),659,"")</f>
        <v>0</v>
      </c>
      <c r="D660" s="1">
        <f>IF(B660="", "", "m")</f>
        <v>0</v>
      </c>
      <c r="F660" s="1">
        <f>IF(B660="", "", "air")</f>
        <v>0</v>
      </c>
      <c r="G660" s="1">
        <f>IF(B660="", "", "air")</f>
        <v>0</v>
      </c>
      <c r="H660" s="1">
        <f>IF(B660="", "", "air")</f>
        <v>0</v>
      </c>
      <c r="I660" s="1">
        <f>IF(B660="", "", "air metagenome")</f>
        <v>0</v>
      </c>
      <c r="J660" s="1">
        <f>IF(B660="", "", "655179")</f>
        <v>0</v>
      </c>
    </row>
    <row r="661" spans="1:10">
      <c r="A661">
        <f>IF(COUNTBLANK(B661:J661)&lt;&gt;COLUMNS(B661:J661),660,"")</f>
        <v>0</v>
      </c>
      <c r="D661" s="1">
        <f>IF(B661="", "", "m")</f>
        <v>0</v>
      </c>
      <c r="F661" s="1">
        <f>IF(B661="", "", "air")</f>
        <v>0</v>
      </c>
      <c r="G661" s="1">
        <f>IF(B661="", "", "air")</f>
        <v>0</v>
      </c>
      <c r="H661" s="1">
        <f>IF(B661="", "", "air")</f>
        <v>0</v>
      </c>
      <c r="I661" s="1">
        <f>IF(B661="", "", "air metagenome")</f>
        <v>0</v>
      </c>
      <c r="J661" s="1">
        <f>IF(B661="", "", "655179")</f>
        <v>0</v>
      </c>
    </row>
    <row r="662" spans="1:10">
      <c r="A662">
        <f>IF(COUNTBLANK(B662:J662)&lt;&gt;COLUMNS(B662:J662),661,"")</f>
        <v>0</v>
      </c>
      <c r="D662" s="1">
        <f>IF(B662="", "", "m")</f>
        <v>0</v>
      </c>
      <c r="F662" s="1">
        <f>IF(B662="", "", "air")</f>
        <v>0</v>
      </c>
      <c r="G662" s="1">
        <f>IF(B662="", "", "air")</f>
        <v>0</v>
      </c>
      <c r="H662" s="1">
        <f>IF(B662="", "", "air")</f>
        <v>0</v>
      </c>
      <c r="I662" s="1">
        <f>IF(B662="", "", "air metagenome")</f>
        <v>0</v>
      </c>
      <c r="J662" s="1">
        <f>IF(B662="", "", "655179")</f>
        <v>0</v>
      </c>
    </row>
    <row r="663" spans="1:10">
      <c r="A663">
        <f>IF(COUNTBLANK(B663:J663)&lt;&gt;COLUMNS(B663:J663),662,"")</f>
        <v>0</v>
      </c>
      <c r="D663" s="1">
        <f>IF(B663="", "", "m")</f>
        <v>0</v>
      </c>
      <c r="F663" s="1">
        <f>IF(B663="", "", "air")</f>
        <v>0</v>
      </c>
      <c r="G663" s="1">
        <f>IF(B663="", "", "air")</f>
        <v>0</v>
      </c>
      <c r="H663" s="1">
        <f>IF(B663="", "", "air")</f>
        <v>0</v>
      </c>
      <c r="I663" s="1">
        <f>IF(B663="", "", "air metagenome")</f>
        <v>0</v>
      </c>
      <c r="J663" s="1">
        <f>IF(B663="", "", "655179")</f>
        <v>0</v>
      </c>
    </row>
    <row r="664" spans="1:10">
      <c r="A664">
        <f>IF(COUNTBLANK(B664:J664)&lt;&gt;COLUMNS(B664:J664),663,"")</f>
        <v>0</v>
      </c>
      <c r="D664" s="1">
        <f>IF(B664="", "", "m")</f>
        <v>0</v>
      </c>
      <c r="F664" s="1">
        <f>IF(B664="", "", "air")</f>
        <v>0</v>
      </c>
      <c r="G664" s="1">
        <f>IF(B664="", "", "air")</f>
        <v>0</v>
      </c>
      <c r="H664" s="1">
        <f>IF(B664="", "", "air")</f>
        <v>0</v>
      </c>
      <c r="I664" s="1">
        <f>IF(B664="", "", "air metagenome")</f>
        <v>0</v>
      </c>
      <c r="J664" s="1">
        <f>IF(B664="", "", "655179")</f>
        <v>0</v>
      </c>
    </row>
    <row r="665" spans="1:10">
      <c r="A665">
        <f>IF(COUNTBLANK(B665:J665)&lt;&gt;COLUMNS(B665:J665),664,"")</f>
        <v>0</v>
      </c>
      <c r="D665" s="1">
        <f>IF(B665="", "", "m")</f>
        <v>0</v>
      </c>
      <c r="F665" s="1">
        <f>IF(B665="", "", "air")</f>
        <v>0</v>
      </c>
      <c r="G665" s="1">
        <f>IF(B665="", "", "air")</f>
        <v>0</v>
      </c>
      <c r="H665" s="1">
        <f>IF(B665="", "", "air")</f>
        <v>0</v>
      </c>
      <c r="I665" s="1">
        <f>IF(B665="", "", "air metagenome")</f>
        <v>0</v>
      </c>
      <c r="J665" s="1">
        <f>IF(B665="", "", "655179")</f>
        <v>0</v>
      </c>
    </row>
    <row r="666" spans="1:10">
      <c r="A666">
        <f>IF(COUNTBLANK(B666:J666)&lt;&gt;COLUMNS(B666:J666),665,"")</f>
        <v>0</v>
      </c>
      <c r="D666" s="1">
        <f>IF(B666="", "", "m")</f>
        <v>0</v>
      </c>
      <c r="F666" s="1">
        <f>IF(B666="", "", "air")</f>
        <v>0</v>
      </c>
      <c r="G666" s="1">
        <f>IF(B666="", "", "air")</f>
        <v>0</v>
      </c>
      <c r="H666" s="1">
        <f>IF(B666="", "", "air")</f>
        <v>0</v>
      </c>
      <c r="I666" s="1">
        <f>IF(B666="", "", "air metagenome")</f>
        <v>0</v>
      </c>
      <c r="J666" s="1">
        <f>IF(B666="", "", "655179")</f>
        <v>0</v>
      </c>
    </row>
    <row r="667" spans="1:10">
      <c r="A667">
        <f>IF(COUNTBLANK(B667:J667)&lt;&gt;COLUMNS(B667:J667),666,"")</f>
        <v>0</v>
      </c>
      <c r="D667" s="1">
        <f>IF(B667="", "", "m")</f>
        <v>0</v>
      </c>
      <c r="F667" s="1">
        <f>IF(B667="", "", "air")</f>
        <v>0</v>
      </c>
      <c r="G667" s="1">
        <f>IF(B667="", "", "air")</f>
        <v>0</v>
      </c>
      <c r="H667" s="1">
        <f>IF(B667="", "", "air")</f>
        <v>0</v>
      </c>
      <c r="I667" s="1">
        <f>IF(B667="", "", "air metagenome")</f>
        <v>0</v>
      </c>
      <c r="J667" s="1">
        <f>IF(B667="", "", "655179")</f>
        <v>0</v>
      </c>
    </row>
    <row r="668" spans="1:10">
      <c r="A668">
        <f>IF(COUNTBLANK(B668:J668)&lt;&gt;COLUMNS(B668:J668),667,"")</f>
        <v>0</v>
      </c>
      <c r="D668" s="1">
        <f>IF(B668="", "", "m")</f>
        <v>0</v>
      </c>
      <c r="F668" s="1">
        <f>IF(B668="", "", "air")</f>
        <v>0</v>
      </c>
      <c r="G668" s="1">
        <f>IF(B668="", "", "air")</f>
        <v>0</v>
      </c>
      <c r="H668" s="1">
        <f>IF(B668="", "", "air")</f>
        <v>0</v>
      </c>
      <c r="I668" s="1">
        <f>IF(B668="", "", "air metagenome")</f>
        <v>0</v>
      </c>
      <c r="J668" s="1">
        <f>IF(B668="", "", "655179")</f>
        <v>0</v>
      </c>
    </row>
    <row r="669" spans="1:10">
      <c r="A669">
        <f>IF(COUNTBLANK(B669:J669)&lt;&gt;COLUMNS(B669:J669),668,"")</f>
        <v>0</v>
      </c>
      <c r="D669" s="1">
        <f>IF(B669="", "", "m")</f>
        <v>0</v>
      </c>
      <c r="F669" s="1">
        <f>IF(B669="", "", "air")</f>
        <v>0</v>
      </c>
      <c r="G669" s="1">
        <f>IF(B669="", "", "air")</f>
        <v>0</v>
      </c>
      <c r="H669" s="1">
        <f>IF(B669="", "", "air")</f>
        <v>0</v>
      </c>
      <c r="I669" s="1">
        <f>IF(B669="", "", "air metagenome")</f>
        <v>0</v>
      </c>
      <c r="J669" s="1">
        <f>IF(B669="", "", "655179")</f>
        <v>0</v>
      </c>
    </row>
    <row r="670" spans="1:10">
      <c r="A670">
        <f>IF(COUNTBLANK(B670:J670)&lt;&gt;COLUMNS(B670:J670),669,"")</f>
        <v>0</v>
      </c>
      <c r="D670" s="1">
        <f>IF(B670="", "", "m")</f>
        <v>0</v>
      </c>
      <c r="F670" s="1">
        <f>IF(B670="", "", "air")</f>
        <v>0</v>
      </c>
      <c r="G670" s="1">
        <f>IF(B670="", "", "air")</f>
        <v>0</v>
      </c>
      <c r="H670" s="1">
        <f>IF(B670="", "", "air")</f>
        <v>0</v>
      </c>
      <c r="I670" s="1">
        <f>IF(B670="", "", "air metagenome")</f>
        <v>0</v>
      </c>
      <c r="J670" s="1">
        <f>IF(B670="", "", "655179")</f>
        <v>0</v>
      </c>
    </row>
    <row r="671" spans="1:10">
      <c r="A671">
        <f>IF(COUNTBLANK(B671:J671)&lt;&gt;COLUMNS(B671:J671),670,"")</f>
        <v>0</v>
      </c>
      <c r="D671" s="1">
        <f>IF(B671="", "", "m")</f>
        <v>0</v>
      </c>
      <c r="F671" s="1">
        <f>IF(B671="", "", "air")</f>
        <v>0</v>
      </c>
      <c r="G671" s="1">
        <f>IF(B671="", "", "air")</f>
        <v>0</v>
      </c>
      <c r="H671" s="1">
        <f>IF(B671="", "", "air")</f>
        <v>0</v>
      </c>
      <c r="I671" s="1">
        <f>IF(B671="", "", "air metagenome")</f>
        <v>0</v>
      </c>
      <c r="J671" s="1">
        <f>IF(B671="", "", "655179")</f>
        <v>0</v>
      </c>
    </row>
    <row r="672" spans="1:10">
      <c r="A672">
        <f>IF(COUNTBLANK(B672:J672)&lt;&gt;COLUMNS(B672:J672),671,"")</f>
        <v>0</v>
      </c>
      <c r="D672" s="1">
        <f>IF(B672="", "", "m")</f>
        <v>0</v>
      </c>
      <c r="F672" s="1">
        <f>IF(B672="", "", "air")</f>
        <v>0</v>
      </c>
      <c r="G672" s="1">
        <f>IF(B672="", "", "air")</f>
        <v>0</v>
      </c>
      <c r="H672" s="1">
        <f>IF(B672="", "", "air")</f>
        <v>0</v>
      </c>
      <c r="I672" s="1">
        <f>IF(B672="", "", "air metagenome")</f>
        <v>0</v>
      </c>
      <c r="J672" s="1">
        <f>IF(B672="", "", "655179")</f>
        <v>0</v>
      </c>
    </row>
    <row r="673" spans="1:10">
      <c r="A673">
        <f>IF(COUNTBLANK(B673:J673)&lt;&gt;COLUMNS(B673:J673),672,"")</f>
        <v>0</v>
      </c>
      <c r="D673" s="1">
        <f>IF(B673="", "", "m")</f>
        <v>0</v>
      </c>
      <c r="F673" s="1">
        <f>IF(B673="", "", "air")</f>
        <v>0</v>
      </c>
      <c r="G673" s="1">
        <f>IF(B673="", "", "air")</f>
        <v>0</v>
      </c>
      <c r="H673" s="1">
        <f>IF(B673="", "", "air")</f>
        <v>0</v>
      </c>
      <c r="I673" s="1">
        <f>IF(B673="", "", "air metagenome")</f>
        <v>0</v>
      </c>
      <c r="J673" s="1">
        <f>IF(B673="", "", "655179")</f>
        <v>0</v>
      </c>
    </row>
    <row r="674" spans="1:10">
      <c r="A674">
        <f>IF(COUNTBLANK(B674:J674)&lt;&gt;COLUMNS(B674:J674),673,"")</f>
        <v>0</v>
      </c>
      <c r="D674" s="1">
        <f>IF(B674="", "", "m")</f>
        <v>0</v>
      </c>
      <c r="F674" s="1">
        <f>IF(B674="", "", "air")</f>
        <v>0</v>
      </c>
      <c r="G674" s="1">
        <f>IF(B674="", "", "air")</f>
        <v>0</v>
      </c>
      <c r="H674" s="1">
        <f>IF(B674="", "", "air")</f>
        <v>0</v>
      </c>
      <c r="I674" s="1">
        <f>IF(B674="", "", "air metagenome")</f>
        <v>0</v>
      </c>
      <c r="J674" s="1">
        <f>IF(B674="", "", "655179")</f>
        <v>0</v>
      </c>
    </row>
    <row r="675" spans="1:10">
      <c r="A675">
        <f>IF(COUNTBLANK(B675:J675)&lt;&gt;COLUMNS(B675:J675),674,"")</f>
        <v>0</v>
      </c>
      <c r="D675" s="1">
        <f>IF(B675="", "", "m")</f>
        <v>0</v>
      </c>
      <c r="F675" s="1">
        <f>IF(B675="", "", "air")</f>
        <v>0</v>
      </c>
      <c r="G675" s="1">
        <f>IF(B675="", "", "air")</f>
        <v>0</v>
      </c>
      <c r="H675" s="1">
        <f>IF(B675="", "", "air")</f>
        <v>0</v>
      </c>
      <c r="I675" s="1">
        <f>IF(B675="", "", "air metagenome")</f>
        <v>0</v>
      </c>
      <c r="J675" s="1">
        <f>IF(B675="", "", "655179")</f>
        <v>0</v>
      </c>
    </row>
    <row r="676" spans="1:10">
      <c r="A676">
        <f>IF(COUNTBLANK(B676:J676)&lt;&gt;COLUMNS(B676:J676),675,"")</f>
        <v>0</v>
      </c>
      <c r="D676" s="1">
        <f>IF(B676="", "", "m")</f>
        <v>0</v>
      </c>
      <c r="F676" s="1">
        <f>IF(B676="", "", "air")</f>
        <v>0</v>
      </c>
      <c r="G676" s="1">
        <f>IF(B676="", "", "air")</f>
        <v>0</v>
      </c>
      <c r="H676" s="1">
        <f>IF(B676="", "", "air")</f>
        <v>0</v>
      </c>
      <c r="I676" s="1">
        <f>IF(B676="", "", "air metagenome")</f>
        <v>0</v>
      </c>
      <c r="J676" s="1">
        <f>IF(B676="", "", "655179")</f>
        <v>0</v>
      </c>
    </row>
    <row r="677" spans="1:10">
      <c r="A677">
        <f>IF(COUNTBLANK(B677:J677)&lt;&gt;COLUMNS(B677:J677),676,"")</f>
        <v>0</v>
      </c>
      <c r="D677" s="1">
        <f>IF(B677="", "", "m")</f>
        <v>0</v>
      </c>
      <c r="F677" s="1">
        <f>IF(B677="", "", "air")</f>
        <v>0</v>
      </c>
      <c r="G677" s="1">
        <f>IF(B677="", "", "air")</f>
        <v>0</v>
      </c>
      <c r="H677" s="1">
        <f>IF(B677="", "", "air")</f>
        <v>0</v>
      </c>
      <c r="I677" s="1">
        <f>IF(B677="", "", "air metagenome")</f>
        <v>0</v>
      </c>
      <c r="J677" s="1">
        <f>IF(B677="", "", "655179")</f>
        <v>0</v>
      </c>
    </row>
    <row r="678" spans="1:10">
      <c r="A678">
        <f>IF(COUNTBLANK(B678:J678)&lt;&gt;COLUMNS(B678:J678),677,"")</f>
        <v>0</v>
      </c>
      <c r="D678" s="1">
        <f>IF(B678="", "", "m")</f>
        <v>0</v>
      </c>
      <c r="F678" s="1">
        <f>IF(B678="", "", "air")</f>
        <v>0</v>
      </c>
      <c r="G678" s="1">
        <f>IF(B678="", "", "air")</f>
        <v>0</v>
      </c>
      <c r="H678" s="1">
        <f>IF(B678="", "", "air")</f>
        <v>0</v>
      </c>
      <c r="I678" s="1">
        <f>IF(B678="", "", "air metagenome")</f>
        <v>0</v>
      </c>
      <c r="J678" s="1">
        <f>IF(B678="", "", "655179")</f>
        <v>0</v>
      </c>
    </row>
    <row r="679" spans="1:10">
      <c r="A679">
        <f>IF(COUNTBLANK(B679:J679)&lt;&gt;COLUMNS(B679:J679),678,"")</f>
        <v>0</v>
      </c>
      <c r="D679" s="1">
        <f>IF(B679="", "", "m")</f>
        <v>0</v>
      </c>
      <c r="F679" s="1">
        <f>IF(B679="", "", "air")</f>
        <v>0</v>
      </c>
      <c r="G679" s="1">
        <f>IF(B679="", "", "air")</f>
        <v>0</v>
      </c>
      <c r="H679" s="1">
        <f>IF(B679="", "", "air")</f>
        <v>0</v>
      </c>
      <c r="I679" s="1">
        <f>IF(B679="", "", "air metagenome")</f>
        <v>0</v>
      </c>
      <c r="J679" s="1">
        <f>IF(B679="", "", "655179")</f>
        <v>0</v>
      </c>
    </row>
    <row r="680" spans="1:10">
      <c r="A680">
        <f>IF(COUNTBLANK(B680:J680)&lt;&gt;COLUMNS(B680:J680),679,"")</f>
        <v>0</v>
      </c>
      <c r="D680" s="1">
        <f>IF(B680="", "", "m")</f>
        <v>0</v>
      </c>
      <c r="F680" s="1">
        <f>IF(B680="", "", "air")</f>
        <v>0</v>
      </c>
      <c r="G680" s="1">
        <f>IF(B680="", "", "air")</f>
        <v>0</v>
      </c>
      <c r="H680" s="1">
        <f>IF(B680="", "", "air")</f>
        <v>0</v>
      </c>
      <c r="I680" s="1">
        <f>IF(B680="", "", "air metagenome")</f>
        <v>0</v>
      </c>
      <c r="J680" s="1">
        <f>IF(B680="", "", "655179")</f>
        <v>0</v>
      </c>
    </row>
    <row r="681" spans="1:10">
      <c r="A681">
        <f>IF(COUNTBLANK(B681:J681)&lt;&gt;COLUMNS(B681:J681),680,"")</f>
        <v>0</v>
      </c>
      <c r="D681" s="1">
        <f>IF(B681="", "", "m")</f>
        <v>0</v>
      </c>
      <c r="F681" s="1">
        <f>IF(B681="", "", "air")</f>
        <v>0</v>
      </c>
      <c r="G681" s="1">
        <f>IF(B681="", "", "air")</f>
        <v>0</v>
      </c>
      <c r="H681" s="1">
        <f>IF(B681="", "", "air")</f>
        <v>0</v>
      </c>
      <c r="I681" s="1">
        <f>IF(B681="", "", "air metagenome")</f>
        <v>0</v>
      </c>
      <c r="J681" s="1">
        <f>IF(B681="", "", "655179")</f>
        <v>0</v>
      </c>
    </row>
    <row r="682" spans="1:10">
      <c r="A682">
        <f>IF(COUNTBLANK(B682:J682)&lt;&gt;COLUMNS(B682:J682),681,"")</f>
        <v>0</v>
      </c>
      <c r="D682" s="1">
        <f>IF(B682="", "", "m")</f>
        <v>0</v>
      </c>
      <c r="F682" s="1">
        <f>IF(B682="", "", "air")</f>
        <v>0</v>
      </c>
      <c r="G682" s="1">
        <f>IF(B682="", "", "air")</f>
        <v>0</v>
      </c>
      <c r="H682" s="1">
        <f>IF(B682="", "", "air")</f>
        <v>0</v>
      </c>
      <c r="I682" s="1">
        <f>IF(B682="", "", "air metagenome")</f>
        <v>0</v>
      </c>
      <c r="J682" s="1">
        <f>IF(B682="", "", "655179")</f>
        <v>0</v>
      </c>
    </row>
    <row r="683" spans="1:10">
      <c r="A683">
        <f>IF(COUNTBLANK(B683:J683)&lt;&gt;COLUMNS(B683:J683),682,"")</f>
        <v>0</v>
      </c>
      <c r="D683" s="1">
        <f>IF(B683="", "", "m")</f>
        <v>0</v>
      </c>
      <c r="F683" s="1">
        <f>IF(B683="", "", "air")</f>
        <v>0</v>
      </c>
      <c r="G683" s="1">
        <f>IF(B683="", "", "air")</f>
        <v>0</v>
      </c>
      <c r="H683" s="1">
        <f>IF(B683="", "", "air")</f>
        <v>0</v>
      </c>
      <c r="I683" s="1">
        <f>IF(B683="", "", "air metagenome")</f>
        <v>0</v>
      </c>
      <c r="J683" s="1">
        <f>IF(B683="", "", "655179")</f>
        <v>0</v>
      </c>
    </row>
    <row r="684" spans="1:10">
      <c r="A684">
        <f>IF(COUNTBLANK(B684:J684)&lt;&gt;COLUMNS(B684:J684),683,"")</f>
        <v>0</v>
      </c>
      <c r="D684" s="1">
        <f>IF(B684="", "", "m")</f>
        <v>0</v>
      </c>
      <c r="F684" s="1">
        <f>IF(B684="", "", "air")</f>
        <v>0</v>
      </c>
      <c r="G684" s="1">
        <f>IF(B684="", "", "air")</f>
        <v>0</v>
      </c>
      <c r="H684" s="1">
        <f>IF(B684="", "", "air")</f>
        <v>0</v>
      </c>
      <c r="I684" s="1">
        <f>IF(B684="", "", "air metagenome")</f>
        <v>0</v>
      </c>
      <c r="J684" s="1">
        <f>IF(B684="", "", "655179")</f>
        <v>0</v>
      </c>
    </row>
    <row r="685" spans="1:10">
      <c r="A685">
        <f>IF(COUNTBLANK(B685:J685)&lt;&gt;COLUMNS(B685:J685),684,"")</f>
        <v>0</v>
      </c>
      <c r="D685" s="1">
        <f>IF(B685="", "", "m")</f>
        <v>0</v>
      </c>
      <c r="F685" s="1">
        <f>IF(B685="", "", "air")</f>
        <v>0</v>
      </c>
      <c r="G685" s="1">
        <f>IF(B685="", "", "air")</f>
        <v>0</v>
      </c>
      <c r="H685" s="1">
        <f>IF(B685="", "", "air")</f>
        <v>0</v>
      </c>
      <c r="I685" s="1">
        <f>IF(B685="", "", "air metagenome")</f>
        <v>0</v>
      </c>
      <c r="J685" s="1">
        <f>IF(B685="", "", "655179")</f>
        <v>0</v>
      </c>
    </row>
    <row r="686" spans="1:10">
      <c r="A686">
        <f>IF(COUNTBLANK(B686:J686)&lt;&gt;COLUMNS(B686:J686),685,"")</f>
        <v>0</v>
      </c>
      <c r="D686" s="1">
        <f>IF(B686="", "", "m")</f>
        <v>0</v>
      </c>
      <c r="F686" s="1">
        <f>IF(B686="", "", "air")</f>
        <v>0</v>
      </c>
      <c r="G686" s="1">
        <f>IF(B686="", "", "air")</f>
        <v>0</v>
      </c>
      <c r="H686" s="1">
        <f>IF(B686="", "", "air")</f>
        <v>0</v>
      </c>
      <c r="I686" s="1">
        <f>IF(B686="", "", "air metagenome")</f>
        <v>0</v>
      </c>
      <c r="J686" s="1">
        <f>IF(B686="", "", "655179")</f>
        <v>0</v>
      </c>
    </row>
    <row r="687" spans="1:10">
      <c r="A687">
        <f>IF(COUNTBLANK(B687:J687)&lt;&gt;COLUMNS(B687:J687),686,"")</f>
        <v>0</v>
      </c>
      <c r="D687" s="1">
        <f>IF(B687="", "", "m")</f>
        <v>0</v>
      </c>
      <c r="F687" s="1">
        <f>IF(B687="", "", "air")</f>
        <v>0</v>
      </c>
      <c r="G687" s="1">
        <f>IF(B687="", "", "air")</f>
        <v>0</v>
      </c>
      <c r="H687" s="1">
        <f>IF(B687="", "", "air")</f>
        <v>0</v>
      </c>
      <c r="I687" s="1">
        <f>IF(B687="", "", "air metagenome")</f>
        <v>0</v>
      </c>
      <c r="J687" s="1">
        <f>IF(B687="", "", "655179")</f>
        <v>0</v>
      </c>
    </row>
    <row r="688" spans="1:10">
      <c r="A688">
        <f>IF(COUNTBLANK(B688:J688)&lt;&gt;COLUMNS(B688:J688),687,"")</f>
        <v>0</v>
      </c>
      <c r="D688" s="1">
        <f>IF(B688="", "", "m")</f>
        <v>0</v>
      </c>
      <c r="F688" s="1">
        <f>IF(B688="", "", "air")</f>
        <v>0</v>
      </c>
      <c r="G688" s="1">
        <f>IF(B688="", "", "air")</f>
        <v>0</v>
      </c>
      <c r="H688" s="1">
        <f>IF(B688="", "", "air")</f>
        <v>0</v>
      </c>
      <c r="I688" s="1">
        <f>IF(B688="", "", "air metagenome")</f>
        <v>0</v>
      </c>
      <c r="J688" s="1">
        <f>IF(B688="", "", "655179")</f>
        <v>0</v>
      </c>
    </row>
    <row r="689" spans="1:10">
      <c r="A689">
        <f>IF(COUNTBLANK(B689:J689)&lt;&gt;COLUMNS(B689:J689),688,"")</f>
        <v>0</v>
      </c>
      <c r="D689" s="1">
        <f>IF(B689="", "", "m")</f>
        <v>0</v>
      </c>
      <c r="F689" s="1">
        <f>IF(B689="", "", "air")</f>
        <v>0</v>
      </c>
      <c r="G689" s="1">
        <f>IF(B689="", "", "air")</f>
        <v>0</v>
      </c>
      <c r="H689" s="1">
        <f>IF(B689="", "", "air")</f>
        <v>0</v>
      </c>
      <c r="I689" s="1">
        <f>IF(B689="", "", "air metagenome")</f>
        <v>0</v>
      </c>
      <c r="J689" s="1">
        <f>IF(B689="", "", "655179")</f>
        <v>0</v>
      </c>
    </row>
    <row r="690" spans="1:10">
      <c r="A690">
        <f>IF(COUNTBLANK(B690:J690)&lt;&gt;COLUMNS(B690:J690),689,"")</f>
        <v>0</v>
      </c>
      <c r="D690" s="1">
        <f>IF(B690="", "", "m")</f>
        <v>0</v>
      </c>
      <c r="F690" s="1">
        <f>IF(B690="", "", "air")</f>
        <v>0</v>
      </c>
      <c r="G690" s="1">
        <f>IF(B690="", "", "air")</f>
        <v>0</v>
      </c>
      <c r="H690" s="1">
        <f>IF(B690="", "", "air")</f>
        <v>0</v>
      </c>
      <c r="I690" s="1">
        <f>IF(B690="", "", "air metagenome")</f>
        <v>0</v>
      </c>
      <c r="J690" s="1">
        <f>IF(B690="", "", "655179")</f>
        <v>0</v>
      </c>
    </row>
    <row r="691" spans="1:10">
      <c r="A691">
        <f>IF(COUNTBLANK(B691:J691)&lt;&gt;COLUMNS(B691:J691),690,"")</f>
        <v>0</v>
      </c>
      <c r="D691" s="1">
        <f>IF(B691="", "", "m")</f>
        <v>0</v>
      </c>
      <c r="F691" s="1">
        <f>IF(B691="", "", "air")</f>
        <v>0</v>
      </c>
      <c r="G691" s="1">
        <f>IF(B691="", "", "air")</f>
        <v>0</v>
      </c>
      <c r="H691" s="1">
        <f>IF(B691="", "", "air")</f>
        <v>0</v>
      </c>
      <c r="I691" s="1">
        <f>IF(B691="", "", "air metagenome")</f>
        <v>0</v>
      </c>
      <c r="J691" s="1">
        <f>IF(B691="", "", "655179")</f>
        <v>0</v>
      </c>
    </row>
    <row r="692" spans="1:10">
      <c r="A692">
        <f>IF(COUNTBLANK(B692:J692)&lt;&gt;COLUMNS(B692:J692),691,"")</f>
        <v>0</v>
      </c>
      <c r="D692" s="1">
        <f>IF(B692="", "", "m")</f>
        <v>0</v>
      </c>
      <c r="F692" s="1">
        <f>IF(B692="", "", "air")</f>
        <v>0</v>
      </c>
      <c r="G692" s="1">
        <f>IF(B692="", "", "air")</f>
        <v>0</v>
      </c>
      <c r="H692" s="1">
        <f>IF(B692="", "", "air")</f>
        <v>0</v>
      </c>
      <c r="I692" s="1">
        <f>IF(B692="", "", "air metagenome")</f>
        <v>0</v>
      </c>
      <c r="J692" s="1">
        <f>IF(B692="", "", "655179")</f>
        <v>0</v>
      </c>
    </row>
    <row r="693" spans="1:10">
      <c r="A693">
        <f>IF(COUNTBLANK(B693:J693)&lt;&gt;COLUMNS(B693:J693),692,"")</f>
        <v>0</v>
      </c>
      <c r="D693" s="1">
        <f>IF(B693="", "", "m")</f>
        <v>0</v>
      </c>
      <c r="F693" s="1">
        <f>IF(B693="", "", "air")</f>
        <v>0</v>
      </c>
      <c r="G693" s="1">
        <f>IF(B693="", "", "air")</f>
        <v>0</v>
      </c>
      <c r="H693" s="1">
        <f>IF(B693="", "", "air")</f>
        <v>0</v>
      </c>
      <c r="I693" s="1">
        <f>IF(B693="", "", "air metagenome")</f>
        <v>0</v>
      </c>
      <c r="J693" s="1">
        <f>IF(B693="", "", "655179")</f>
        <v>0</v>
      </c>
    </row>
    <row r="694" spans="1:10">
      <c r="A694">
        <f>IF(COUNTBLANK(B694:J694)&lt;&gt;COLUMNS(B694:J694),693,"")</f>
        <v>0</v>
      </c>
      <c r="D694" s="1">
        <f>IF(B694="", "", "m")</f>
        <v>0</v>
      </c>
      <c r="F694" s="1">
        <f>IF(B694="", "", "air")</f>
        <v>0</v>
      </c>
      <c r="G694" s="1">
        <f>IF(B694="", "", "air")</f>
        <v>0</v>
      </c>
      <c r="H694" s="1">
        <f>IF(B694="", "", "air")</f>
        <v>0</v>
      </c>
      <c r="I694" s="1">
        <f>IF(B694="", "", "air metagenome")</f>
        <v>0</v>
      </c>
      <c r="J694" s="1">
        <f>IF(B694="", "", "655179")</f>
        <v>0</v>
      </c>
    </row>
    <row r="695" spans="1:10">
      <c r="A695">
        <f>IF(COUNTBLANK(B695:J695)&lt;&gt;COLUMNS(B695:J695),694,"")</f>
        <v>0</v>
      </c>
      <c r="D695" s="1">
        <f>IF(B695="", "", "m")</f>
        <v>0</v>
      </c>
      <c r="F695" s="1">
        <f>IF(B695="", "", "air")</f>
        <v>0</v>
      </c>
      <c r="G695" s="1">
        <f>IF(B695="", "", "air")</f>
        <v>0</v>
      </c>
      <c r="H695" s="1">
        <f>IF(B695="", "", "air")</f>
        <v>0</v>
      </c>
      <c r="I695" s="1">
        <f>IF(B695="", "", "air metagenome")</f>
        <v>0</v>
      </c>
      <c r="J695" s="1">
        <f>IF(B695="", "", "655179")</f>
        <v>0</v>
      </c>
    </row>
    <row r="696" spans="1:10">
      <c r="A696">
        <f>IF(COUNTBLANK(B696:J696)&lt;&gt;COLUMNS(B696:J696),695,"")</f>
        <v>0</v>
      </c>
      <c r="D696" s="1">
        <f>IF(B696="", "", "m")</f>
        <v>0</v>
      </c>
      <c r="F696" s="1">
        <f>IF(B696="", "", "air")</f>
        <v>0</v>
      </c>
      <c r="G696" s="1">
        <f>IF(B696="", "", "air")</f>
        <v>0</v>
      </c>
      <c r="H696" s="1">
        <f>IF(B696="", "", "air")</f>
        <v>0</v>
      </c>
      <c r="I696" s="1">
        <f>IF(B696="", "", "air metagenome")</f>
        <v>0</v>
      </c>
      <c r="J696" s="1">
        <f>IF(B696="", "", "655179")</f>
        <v>0</v>
      </c>
    </row>
    <row r="697" spans="1:10">
      <c r="A697">
        <f>IF(COUNTBLANK(B697:J697)&lt;&gt;COLUMNS(B697:J697),696,"")</f>
        <v>0</v>
      </c>
      <c r="D697" s="1">
        <f>IF(B697="", "", "m")</f>
        <v>0</v>
      </c>
      <c r="F697" s="1">
        <f>IF(B697="", "", "air")</f>
        <v>0</v>
      </c>
      <c r="G697" s="1">
        <f>IF(B697="", "", "air")</f>
        <v>0</v>
      </c>
      <c r="H697" s="1">
        <f>IF(B697="", "", "air")</f>
        <v>0</v>
      </c>
      <c r="I697" s="1">
        <f>IF(B697="", "", "air metagenome")</f>
        <v>0</v>
      </c>
      <c r="J697" s="1">
        <f>IF(B697="", "", "655179")</f>
        <v>0</v>
      </c>
    </row>
    <row r="698" spans="1:10">
      <c r="A698">
        <f>IF(COUNTBLANK(B698:J698)&lt;&gt;COLUMNS(B698:J698),697,"")</f>
        <v>0</v>
      </c>
      <c r="D698" s="1">
        <f>IF(B698="", "", "m")</f>
        <v>0</v>
      </c>
      <c r="F698" s="1">
        <f>IF(B698="", "", "air")</f>
        <v>0</v>
      </c>
      <c r="G698" s="1">
        <f>IF(B698="", "", "air")</f>
        <v>0</v>
      </c>
      <c r="H698" s="1">
        <f>IF(B698="", "", "air")</f>
        <v>0</v>
      </c>
      <c r="I698" s="1">
        <f>IF(B698="", "", "air metagenome")</f>
        <v>0</v>
      </c>
      <c r="J698" s="1">
        <f>IF(B698="", "", "655179")</f>
        <v>0</v>
      </c>
    </row>
    <row r="699" spans="1:10">
      <c r="A699">
        <f>IF(COUNTBLANK(B699:J699)&lt;&gt;COLUMNS(B699:J699),698,"")</f>
        <v>0</v>
      </c>
      <c r="D699" s="1">
        <f>IF(B699="", "", "m")</f>
        <v>0</v>
      </c>
      <c r="F699" s="1">
        <f>IF(B699="", "", "air")</f>
        <v>0</v>
      </c>
      <c r="G699" s="1">
        <f>IF(B699="", "", "air")</f>
        <v>0</v>
      </c>
      <c r="H699" s="1">
        <f>IF(B699="", "", "air")</f>
        <v>0</v>
      </c>
      <c r="I699" s="1">
        <f>IF(B699="", "", "air metagenome")</f>
        <v>0</v>
      </c>
      <c r="J699" s="1">
        <f>IF(B699="", "", "655179")</f>
        <v>0</v>
      </c>
    </row>
    <row r="700" spans="1:10">
      <c r="A700">
        <f>IF(COUNTBLANK(B700:J700)&lt;&gt;COLUMNS(B700:J700),699,"")</f>
        <v>0</v>
      </c>
      <c r="D700" s="1">
        <f>IF(B700="", "", "m")</f>
        <v>0</v>
      </c>
      <c r="F700" s="1">
        <f>IF(B700="", "", "air")</f>
        <v>0</v>
      </c>
      <c r="G700" s="1">
        <f>IF(B700="", "", "air")</f>
        <v>0</v>
      </c>
      <c r="H700" s="1">
        <f>IF(B700="", "", "air")</f>
        <v>0</v>
      </c>
      <c r="I700" s="1">
        <f>IF(B700="", "", "air metagenome")</f>
        <v>0</v>
      </c>
      <c r="J700" s="1">
        <f>IF(B700="", "", "655179")</f>
        <v>0</v>
      </c>
    </row>
    <row r="701" spans="1:10">
      <c r="A701">
        <f>IF(COUNTBLANK(B701:J701)&lt;&gt;COLUMNS(B701:J701),700,"")</f>
        <v>0</v>
      </c>
      <c r="D701" s="1">
        <f>IF(B701="", "", "m")</f>
        <v>0</v>
      </c>
      <c r="F701" s="1">
        <f>IF(B701="", "", "air")</f>
        <v>0</v>
      </c>
      <c r="G701" s="1">
        <f>IF(B701="", "", "air")</f>
        <v>0</v>
      </c>
      <c r="H701" s="1">
        <f>IF(B701="", "", "air")</f>
        <v>0</v>
      </c>
      <c r="I701" s="1">
        <f>IF(B701="", "", "air metagenome")</f>
        <v>0</v>
      </c>
      <c r="J701" s="1">
        <f>IF(B701="", "", "655179")</f>
        <v>0</v>
      </c>
    </row>
    <row r="702" spans="1:10">
      <c r="A702">
        <f>IF(COUNTBLANK(B702:J702)&lt;&gt;COLUMNS(B702:J702),701,"")</f>
        <v>0</v>
      </c>
      <c r="D702" s="1">
        <f>IF(B702="", "", "m")</f>
        <v>0</v>
      </c>
      <c r="F702" s="1">
        <f>IF(B702="", "", "air")</f>
        <v>0</v>
      </c>
      <c r="G702" s="1">
        <f>IF(B702="", "", "air")</f>
        <v>0</v>
      </c>
      <c r="H702" s="1">
        <f>IF(B702="", "", "air")</f>
        <v>0</v>
      </c>
      <c r="I702" s="1">
        <f>IF(B702="", "", "air metagenome")</f>
        <v>0</v>
      </c>
      <c r="J702" s="1">
        <f>IF(B702="", "", "655179")</f>
        <v>0</v>
      </c>
    </row>
    <row r="703" spans="1:10">
      <c r="A703">
        <f>IF(COUNTBLANK(B703:J703)&lt;&gt;COLUMNS(B703:J703),702,"")</f>
        <v>0</v>
      </c>
      <c r="D703" s="1">
        <f>IF(B703="", "", "m")</f>
        <v>0</v>
      </c>
      <c r="F703" s="1">
        <f>IF(B703="", "", "air")</f>
        <v>0</v>
      </c>
      <c r="G703" s="1">
        <f>IF(B703="", "", "air")</f>
        <v>0</v>
      </c>
      <c r="H703" s="1">
        <f>IF(B703="", "", "air")</f>
        <v>0</v>
      </c>
      <c r="I703" s="1">
        <f>IF(B703="", "", "air metagenome")</f>
        <v>0</v>
      </c>
      <c r="J703" s="1">
        <f>IF(B703="", "", "655179")</f>
        <v>0</v>
      </c>
    </row>
    <row r="704" spans="1:10">
      <c r="A704">
        <f>IF(COUNTBLANK(B704:J704)&lt;&gt;COLUMNS(B704:J704),703,"")</f>
        <v>0</v>
      </c>
      <c r="D704" s="1">
        <f>IF(B704="", "", "m")</f>
        <v>0</v>
      </c>
      <c r="F704" s="1">
        <f>IF(B704="", "", "air")</f>
        <v>0</v>
      </c>
      <c r="G704" s="1">
        <f>IF(B704="", "", "air")</f>
        <v>0</v>
      </c>
      <c r="H704" s="1">
        <f>IF(B704="", "", "air")</f>
        <v>0</v>
      </c>
      <c r="I704" s="1">
        <f>IF(B704="", "", "air metagenome")</f>
        <v>0</v>
      </c>
      <c r="J704" s="1">
        <f>IF(B704="", "", "655179")</f>
        <v>0</v>
      </c>
    </row>
    <row r="705" spans="1:10">
      <c r="A705">
        <f>IF(COUNTBLANK(B705:J705)&lt;&gt;COLUMNS(B705:J705),704,"")</f>
        <v>0</v>
      </c>
      <c r="D705" s="1">
        <f>IF(B705="", "", "m")</f>
        <v>0</v>
      </c>
      <c r="F705" s="1">
        <f>IF(B705="", "", "air")</f>
        <v>0</v>
      </c>
      <c r="G705" s="1">
        <f>IF(B705="", "", "air")</f>
        <v>0</v>
      </c>
      <c r="H705" s="1">
        <f>IF(B705="", "", "air")</f>
        <v>0</v>
      </c>
      <c r="I705" s="1">
        <f>IF(B705="", "", "air metagenome")</f>
        <v>0</v>
      </c>
      <c r="J705" s="1">
        <f>IF(B705="", "", "655179")</f>
        <v>0</v>
      </c>
    </row>
    <row r="706" spans="1:10">
      <c r="A706">
        <f>IF(COUNTBLANK(B706:J706)&lt;&gt;COLUMNS(B706:J706),705,"")</f>
        <v>0</v>
      </c>
      <c r="D706" s="1">
        <f>IF(B706="", "", "m")</f>
        <v>0</v>
      </c>
      <c r="F706" s="1">
        <f>IF(B706="", "", "air")</f>
        <v>0</v>
      </c>
      <c r="G706" s="1">
        <f>IF(B706="", "", "air")</f>
        <v>0</v>
      </c>
      <c r="H706" s="1">
        <f>IF(B706="", "", "air")</f>
        <v>0</v>
      </c>
      <c r="I706" s="1">
        <f>IF(B706="", "", "air metagenome")</f>
        <v>0</v>
      </c>
      <c r="J706" s="1">
        <f>IF(B706="", "", "655179")</f>
        <v>0</v>
      </c>
    </row>
    <row r="707" spans="1:10">
      <c r="A707">
        <f>IF(COUNTBLANK(B707:J707)&lt;&gt;COLUMNS(B707:J707),706,"")</f>
        <v>0</v>
      </c>
      <c r="D707" s="1">
        <f>IF(B707="", "", "m")</f>
        <v>0</v>
      </c>
      <c r="F707" s="1">
        <f>IF(B707="", "", "air")</f>
        <v>0</v>
      </c>
      <c r="G707" s="1">
        <f>IF(B707="", "", "air")</f>
        <v>0</v>
      </c>
      <c r="H707" s="1">
        <f>IF(B707="", "", "air")</f>
        <v>0</v>
      </c>
      <c r="I707" s="1">
        <f>IF(B707="", "", "air metagenome")</f>
        <v>0</v>
      </c>
      <c r="J707" s="1">
        <f>IF(B707="", "", "655179")</f>
        <v>0</v>
      </c>
    </row>
    <row r="708" spans="1:10">
      <c r="A708">
        <f>IF(COUNTBLANK(B708:J708)&lt;&gt;COLUMNS(B708:J708),707,"")</f>
        <v>0</v>
      </c>
      <c r="D708" s="1">
        <f>IF(B708="", "", "m")</f>
        <v>0</v>
      </c>
      <c r="F708" s="1">
        <f>IF(B708="", "", "air")</f>
        <v>0</v>
      </c>
      <c r="G708" s="1">
        <f>IF(B708="", "", "air")</f>
        <v>0</v>
      </c>
      <c r="H708" s="1">
        <f>IF(B708="", "", "air")</f>
        <v>0</v>
      </c>
      <c r="I708" s="1">
        <f>IF(B708="", "", "air metagenome")</f>
        <v>0</v>
      </c>
      <c r="J708" s="1">
        <f>IF(B708="", "", "655179")</f>
        <v>0</v>
      </c>
    </row>
    <row r="709" spans="1:10">
      <c r="A709">
        <f>IF(COUNTBLANK(B709:J709)&lt;&gt;COLUMNS(B709:J709),708,"")</f>
        <v>0</v>
      </c>
      <c r="D709" s="1">
        <f>IF(B709="", "", "m")</f>
        <v>0</v>
      </c>
      <c r="F709" s="1">
        <f>IF(B709="", "", "air")</f>
        <v>0</v>
      </c>
      <c r="G709" s="1">
        <f>IF(B709="", "", "air")</f>
        <v>0</v>
      </c>
      <c r="H709" s="1">
        <f>IF(B709="", "", "air")</f>
        <v>0</v>
      </c>
      <c r="I709" s="1">
        <f>IF(B709="", "", "air metagenome")</f>
        <v>0</v>
      </c>
      <c r="J709" s="1">
        <f>IF(B709="", "", "655179")</f>
        <v>0</v>
      </c>
    </row>
    <row r="710" spans="1:10">
      <c r="A710">
        <f>IF(COUNTBLANK(B710:J710)&lt;&gt;COLUMNS(B710:J710),709,"")</f>
        <v>0</v>
      </c>
      <c r="D710" s="1">
        <f>IF(B710="", "", "m")</f>
        <v>0</v>
      </c>
      <c r="F710" s="1">
        <f>IF(B710="", "", "air")</f>
        <v>0</v>
      </c>
      <c r="G710" s="1">
        <f>IF(B710="", "", "air")</f>
        <v>0</v>
      </c>
      <c r="H710" s="1">
        <f>IF(B710="", "", "air")</f>
        <v>0</v>
      </c>
      <c r="I710" s="1">
        <f>IF(B710="", "", "air metagenome")</f>
        <v>0</v>
      </c>
      <c r="J710" s="1">
        <f>IF(B710="", "", "655179")</f>
        <v>0</v>
      </c>
    </row>
    <row r="711" spans="1:10">
      <c r="A711">
        <f>IF(COUNTBLANK(B711:J711)&lt;&gt;COLUMNS(B711:J711),710,"")</f>
        <v>0</v>
      </c>
      <c r="D711" s="1">
        <f>IF(B711="", "", "m")</f>
        <v>0</v>
      </c>
      <c r="F711" s="1">
        <f>IF(B711="", "", "air")</f>
        <v>0</v>
      </c>
      <c r="G711" s="1">
        <f>IF(B711="", "", "air")</f>
        <v>0</v>
      </c>
      <c r="H711" s="1">
        <f>IF(B711="", "", "air")</f>
        <v>0</v>
      </c>
      <c r="I711" s="1">
        <f>IF(B711="", "", "air metagenome")</f>
        <v>0</v>
      </c>
      <c r="J711" s="1">
        <f>IF(B711="", "", "655179")</f>
        <v>0</v>
      </c>
    </row>
    <row r="712" spans="1:10">
      <c r="A712">
        <f>IF(COUNTBLANK(B712:J712)&lt;&gt;COLUMNS(B712:J712),711,"")</f>
        <v>0</v>
      </c>
      <c r="D712" s="1">
        <f>IF(B712="", "", "m")</f>
        <v>0</v>
      </c>
      <c r="F712" s="1">
        <f>IF(B712="", "", "air")</f>
        <v>0</v>
      </c>
      <c r="G712" s="1">
        <f>IF(B712="", "", "air")</f>
        <v>0</v>
      </c>
      <c r="H712" s="1">
        <f>IF(B712="", "", "air")</f>
        <v>0</v>
      </c>
      <c r="I712" s="1">
        <f>IF(B712="", "", "air metagenome")</f>
        <v>0</v>
      </c>
      <c r="J712" s="1">
        <f>IF(B712="", "", "655179")</f>
        <v>0</v>
      </c>
    </row>
    <row r="713" spans="1:10">
      <c r="A713">
        <f>IF(COUNTBLANK(B713:J713)&lt;&gt;COLUMNS(B713:J713),712,"")</f>
        <v>0</v>
      </c>
      <c r="D713" s="1">
        <f>IF(B713="", "", "m")</f>
        <v>0</v>
      </c>
      <c r="F713" s="1">
        <f>IF(B713="", "", "air")</f>
        <v>0</v>
      </c>
      <c r="G713" s="1">
        <f>IF(B713="", "", "air")</f>
        <v>0</v>
      </c>
      <c r="H713" s="1">
        <f>IF(B713="", "", "air")</f>
        <v>0</v>
      </c>
      <c r="I713" s="1">
        <f>IF(B713="", "", "air metagenome")</f>
        <v>0</v>
      </c>
      <c r="J713" s="1">
        <f>IF(B713="", "", "655179")</f>
        <v>0</v>
      </c>
    </row>
    <row r="714" spans="1:10">
      <c r="A714">
        <f>IF(COUNTBLANK(B714:J714)&lt;&gt;COLUMNS(B714:J714),713,"")</f>
        <v>0</v>
      </c>
      <c r="D714" s="1">
        <f>IF(B714="", "", "m")</f>
        <v>0</v>
      </c>
      <c r="F714" s="1">
        <f>IF(B714="", "", "air")</f>
        <v>0</v>
      </c>
      <c r="G714" s="1">
        <f>IF(B714="", "", "air")</f>
        <v>0</v>
      </c>
      <c r="H714" s="1">
        <f>IF(B714="", "", "air")</f>
        <v>0</v>
      </c>
      <c r="I714" s="1">
        <f>IF(B714="", "", "air metagenome")</f>
        <v>0</v>
      </c>
      <c r="J714" s="1">
        <f>IF(B714="", "", "655179")</f>
        <v>0</v>
      </c>
    </row>
    <row r="715" spans="1:10">
      <c r="A715">
        <f>IF(COUNTBLANK(B715:J715)&lt;&gt;COLUMNS(B715:J715),714,"")</f>
        <v>0</v>
      </c>
      <c r="D715" s="1">
        <f>IF(B715="", "", "m")</f>
        <v>0</v>
      </c>
      <c r="F715" s="1">
        <f>IF(B715="", "", "air")</f>
        <v>0</v>
      </c>
      <c r="G715" s="1">
        <f>IF(B715="", "", "air")</f>
        <v>0</v>
      </c>
      <c r="H715" s="1">
        <f>IF(B715="", "", "air")</f>
        <v>0</v>
      </c>
      <c r="I715" s="1">
        <f>IF(B715="", "", "air metagenome")</f>
        <v>0</v>
      </c>
      <c r="J715" s="1">
        <f>IF(B715="", "", "655179")</f>
        <v>0</v>
      </c>
    </row>
    <row r="716" spans="1:10">
      <c r="A716">
        <f>IF(COUNTBLANK(B716:J716)&lt;&gt;COLUMNS(B716:J716),715,"")</f>
        <v>0</v>
      </c>
      <c r="D716" s="1">
        <f>IF(B716="", "", "m")</f>
        <v>0</v>
      </c>
      <c r="F716" s="1">
        <f>IF(B716="", "", "air")</f>
        <v>0</v>
      </c>
      <c r="G716" s="1">
        <f>IF(B716="", "", "air")</f>
        <v>0</v>
      </c>
      <c r="H716" s="1">
        <f>IF(B716="", "", "air")</f>
        <v>0</v>
      </c>
      <c r="I716" s="1">
        <f>IF(B716="", "", "air metagenome")</f>
        <v>0</v>
      </c>
      <c r="J716" s="1">
        <f>IF(B716="", "", "655179")</f>
        <v>0</v>
      </c>
    </row>
    <row r="717" spans="1:10">
      <c r="A717">
        <f>IF(COUNTBLANK(B717:J717)&lt;&gt;COLUMNS(B717:J717),716,"")</f>
        <v>0</v>
      </c>
      <c r="D717" s="1">
        <f>IF(B717="", "", "m")</f>
        <v>0</v>
      </c>
      <c r="F717" s="1">
        <f>IF(B717="", "", "air")</f>
        <v>0</v>
      </c>
      <c r="G717" s="1">
        <f>IF(B717="", "", "air")</f>
        <v>0</v>
      </c>
      <c r="H717" s="1">
        <f>IF(B717="", "", "air")</f>
        <v>0</v>
      </c>
      <c r="I717" s="1">
        <f>IF(B717="", "", "air metagenome")</f>
        <v>0</v>
      </c>
      <c r="J717" s="1">
        <f>IF(B717="", "", "655179")</f>
        <v>0</v>
      </c>
    </row>
    <row r="718" spans="1:10">
      <c r="A718">
        <f>IF(COUNTBLANK(B718:J718)&lt;&gt;COLUMNS(B718:J718),717,"")</f>
        <v>0</v>
      </c>
      <c r="D718" s="1">
        <f>IF(B718="", "", "m")</f>
        <v>0</v>
      </c>
      <c r="F718" s="1">
        <f>IF(B718="", "", "air")</f>
        <v>0</v>
      </c>
      <c r="G718" s="1">
        <f>IF(B718="", "", "air")</f>
        <v>0</v>
      </c>
      <c r="H718" s="1">
        <f>IF(B718="", "", "air")</f>
        <v>0</v>
      </c>
      <c r="I718" s="1">
        <f>IF(B718="", "", "air metagenome")</f>
        <v>0</v>
      </c>
      <c r="J718" s="1">
        <f>IF(B718="", "", "655179")</f>
        <v>0</v>
      </c>
    </row>
    <row r="719" spans="1:10">
      <c r="A719">
        <f>IF(COUNTBLANK(B719:J719)&lt;&gt;COLUMNS(B719:J719),718,"")</f>
        <v>0</v>
      </c>
      <c r="D719" s="1">
        <f>IF(B719="", "", "m")</f>
        <v>0</v>
      </c>
      <c r="F719" s="1">
        <f>IF(B719="", "", "air")</f>
        <v>0</v>
      </c>
      <c r="G719" s="1">
        <f>IF(B719="", "", "air")</f>
        <v>0</v>
      </c>
      <c r="H719" s="1">
        <f>IF(B719="", "", "air")</f>
        <v>0</v>
      </c>
      <c r="I719" s="1">
        <f>IF(B719="", "", "air metagenome")</f>
        <v>0</v>
      </c>
      <c r="J719" s="1">
        <f>IF(B719="", "", "655179")</f>
        <v>0</v>
      </c>
    </row>
    <row r="720" spans="1:10">
      <c r="A720">
        <f>IF(COUNTBLANK(B720:J720)&lt;&gt;COLUMNS(B720:J720),719,"")</f>
        <v>0</v>
      </c>
      <c r="D720" s="1">
        <f>IF(B720="", "", "m")</f>
        <v>0</v>
      </c>
      <c r="F720" s="1">
        <f>IF(B720="", "", "air")</f>
        <v>0</v>
      </c>
      <c r="G720" s="1">
        <f>IF(B720="", "", "air")</f>
        <v>0</v>
      </c>
      <c r="H720" s="1">
        <f>IF(B720="", "", "air")</f>
        <v>0</v>
      </c>
      <c r="I720" s="1">
        <f>IF(B720="", "", "air metagenome")</f>
        <v>0</v>
      </c>
      <c r="J720" s="1">
        <f>IF(B720="", "", "655179")</f>
        <v>0</v>
      </c>
    </row>
    <row r="721" spans="1:10">
      <c r="A721">
        <f>IF(COUNTBLANK(B721:J721)&lt;&gt;COLUMNS(B721:J721),720,"")</f>
        <v>0</v>
      </c>
      <c r="D721" s="1">
        <f>IF(B721="", "", "m")</f>
        <v>0</v>
      </c>
      <c r="F721" s="1">
        <f>IF(B721="", "", "air")</f>
        <v>0</v>
      </c>
      <c r="G721" s="1">
        <f>IF(B721="", "", "air")</f>
        <v>0</v>
      </c>
      <c r="H721" s="1">
        <f>IF(B721="", "", "air")</f>
        <v>0</v>
      </c>
      <c r="I721" s="1">
        <f>IF(B721="", "", "air metagenome")</f>
        <v>0</v>
      </c>
      <c r="J721" s="1">
        <f>IF(B721="", "", "655179")</f>
        <v>0</v>
      </c>
    </row>
    <row r="722" spans="1:10">
      <c r="A722">
        <f>IF(COUNTBLANK(B722:J722)&lt;&gt;COLUMNS(B722:J722),721,"")</f>
        <v>0</v>
      </c>
      <c r="D722" s="1">
        <f>IF(B722="", "", "m")</f>
        <v>0</v>
      </c>
      <c r="F722" s="1">
        <f>IF(B722="", "", "air")</f>
        <v>0</v>
      </c>
      <c r="G722" s="1">
        <f>IF(B722="", "", "air")</f>
        <v>0</v>
      </c>
      <c r="H722" s="1">
        <f>IF(B722="", "", "air")</f>
        <v>0</v>
      </c>
      <c r="I722" s="1">
        <f>IF(B722="", "", "air metagenome")</f>
        <v>0</v>
      </c>
      <c r="J722" s="1">
        <f>IF(B722="", "", "655179")</f>
        <v>0</v>
      </c>
    </row>
    <row r="723" spans="1:10">
      <c r="A723">
        <f>IF(COUNTBLANK(B723:J723)&lt;&gt;COLUMNS(B723:J723),722,"")</f>
        <v>0</v>
      </c>
      <c r="D723" s="1">
        <f>IF(B723="", "", "m")</f>
        <v>0</v>
      </c>
      <c r="F723" s="1">
        <f>IF(B723="", "", "air")</f>
        <v>0</v>
      </c>
      <c r="G723" s="1">
        <f>IF(B723="", "", "air")</f>
        <v>0</v>
      </c>
      <c r="H723" s="1">
        <f>IF(B723="", "", "air")</f>
        <v>0</v>
      </c>
      <c r="I723" s="1">
        <f>IF(B723="", "", "air metagenome")</f>
        <v>0</v>
      </c>
      <c r="J723" s="1">
        <f>IF(B723="", "", "655179")</f>
        <v>0</v>
      </c>
    </row>
    <row r="724" spans="1:10">
      <c r="A724">
        <f>IF(COUNTBLANK(B724:J724)&lt;&gt;COLUMNS(B724:J724),723,"")</f>
        <v>0</v>
      </c>
      <c r="D724" s="1">
        <f>IF(B724="", "", "m")</f>
        <v>0</v>
      </c>
      <c r="F724" s="1">
        <f>IF(B724="", "", "air")</f>
        <v>0</v>
      </c>
      <c r="G724" s="1">
        <f>IF(B724="", "", "air")</f>
        <v>0</v>
      </c>
      <c r="H724" s="1">
        <f>IF(B724="", "", "air")</f>
        <v>0</v>
      </c>
      <c r="I724" s="1">
        <f>IF(B724="", "", "air metagenome")</f>
        <v>0</v>
      </c>
      <c r="J724" s="1">
        <f>IF(B724="", "", "655179")</f>
        <v>0</v>
      </c>
    </row>
    <row r="725" spans="1:10">
      <c r="A725">
        <f>IF(COUNTBLANK(B725:J725)&lt;&gt;COLUMNS(B725:J725),724,"")</f>
        <v>0</v>
      </c>
      <c r="D725" s="1">
        <f>IF(B725="", "", "m")</f>
        <v>0</v>
      </c>
      <c r="F725" s="1">
        <f>IF(B725="", "", "air")</f>
        <v>0</v>
      </c>
      <c r="G725" s="1">
        <f>IF(B725="", "", "air")</f>
        <v>0</v>
      </c>
      <c r="H725" s="1">
        <f>IF(B725="", "", "air")</f>
        <v>0</v>
      </c>
      <c r="I725" s="1">
        <f>IF(B725="", "", "air metagenome")</f>
        <v>0</v>
      </c>
      <c r="J725" s="1">
        <f>IF(B725="", "", "655179")</f>
        <v>0</v>
      </c>
    </row>
    <row r="726" spans="1:10">
      <c r="A726">
        <f>IF(COUNTBLANK(B726:J726)&lt;&gt;COLUMNS(B726:J726),725,"")</f>
        <v>0</v>
      </c>
      <c r="D726" s="1">
        <f>IF(B726="", "", "m")</f>
        <v>0</v>
      </c>
      <c r="F726" s="1">
        <f>IF(B726="", "", "air")</f>
        <v>0</v>
      </c>
      <c r="G726" s="1">
        <f>IF(B726="", "", "air")</f>
        <v>0</v>
      </c>
      <c r="H726" s="1">
        <f>IF(B726="", "", "air")</f>
        <v>0</v>
      </c>
      <c r="I726" s="1">
        <f>IF(B726="", "", "air metagenome")</f>
        <v>0</v>
      </c>
      <c r="J726" s="1">
        <f>IF(B726="", "", "655179")</f>
        <v>0</v>
      </c>
    </row>
    <row r="727" spans="1:10">
      <c r="A727">
        <f>IF(COUNTBLANK(B727:J727)&lt;&gt;COLUMNS(B727:J727),726,"")</f>
        <v>0</v>
      </c>
      <c r="D727" s="1">
        <f>IF(B727="", "", "m")</f>
        <v>0</v>
      </c>
      <c r="F727" s="1">
        <f>IF(B727="", "", "air")</f>
        <v>0</v>
      </c>
      <c r="G727" s="1">
        <f>IF(B727="", "", "air")</f>
        <v>0</v>
      </c>
      <c r="H727" s="1">
        <f>IF(B727="", "", "air")</f>
        <v>0</v>
      </c>
      <c r="I727" s="1">
        <f>IF(B727="", "", "air metagenome")</f>
        <v>0</v>
      </c>
      <c r="J727" s="1">
        <f>IF(B727="", "", "655179")</f>
        <v>0</v>
      </c>
    </row>
    <row r="728" spans="1:10">
      <c r="A728">
        <f>IF(COUNTBLANK(B728:J728)&lt;&gt;COLUMNS(B728:J728),727,"")</f>
        <v>0</v>
      </c>
      <c r="D728" s="1">
        <f>IF(B728="", "", "m")</f>
        <v>0</v>
      </c>
      <c r="F728" s="1">
        <f>IF(B728="", "", "air")</f>
        <v>0</v>
      </c>
      <c r="G728" s="1">
        <f>IF(B728="", "", "air")</f>
        <v>0</v>
      </c>
      <c r="H728" s="1">
        <f>IF(B728="", "", "air")</f>
        <v>0</v>
      </c>
      <c r="I728" s="1">
        <f>IF(B728="", "", "air metagenome")</f>
        <v>0</v>
      </c>
      <c r="J728" s="1">
        <f>IF(B728="", "", "655179")</f>
        <v>0</v>
      </c>
    </row>
    <row r="729" spans="1:10">
      <c r="A729">
        <f>IF(COUNTBLANK(B729:J729)&lt;&gt;COLUMNS(B729:J729),728,"")</f>
        <v>0</v>
      </c>
      <c r="D729" s="1">
        <f>IF(B729="", "", "m")</f>
        <v>0</v>
      </c>
      <c r="F729" s="1">
        <f>IF(B729="", "", "air")</f>
        <v>0</v>
      </c>
      <c r="G729" s="1">
        <f>IF(B729="", "", "air")</f>
        <v>0</v>
      </c>
      <c r="H729" s="1">
        <f>IF(B729="", "", "air")</f>
        <v>0</v>
      </c>
      <c r="I729" s="1">
        <f>IF(B729="", "", "air metagenome")</f>
        <v>0</v>
      </c>
      <c r="J729" s="1">
        <f>IF(B729="", "", "655179")</f>
        <v>0</v>
      </c>
    </row>
    <row r="730" spans="1:10">
      <c r="A730">
        <f>IF(COUNTBLANK(B730:J730)&lt;&gt;COLUMNS(B730:J730),729,"")</f>
        <v>0</v>
      </c>
      <c r="D730" s="1">
        <f>IF(B730="", "", "m")</f>
        <v>0</v>
      </c>
      <c r="F730" s="1">
        <f>IF(B730="", "", "air")</f>
        <v>0</v>
      </c>
      <c r="G730" s="1">
        <f>IF(B730="", "", "air")</f>
        <v>0</v>
      </c>
      <c r="H730" s="1">
        <f>IF(B730="", "", "air")</f>
        <v>0</v>
      </c>
      <c r="I730" s="1">
        <f>IF(B730="", "", "air metagenome")</f>
        <v>0</v>
      </c>
      <c r="J730" s="1">
        <f>IF(B730="", "", "655179")</f>
        <v>0</v>
      </c>
    </row>
    <row r="731" spans="1:10">
      <c r="A731">
        <f>IF(COUNTBLANK(B731:J731)&lt;&gt;COLUMNS(B731:J731),730,"")</f>
        <v>0</v>
      </c>
      <c r="D731" s="1">
        <f>IF(B731="", "", "m")</f>
        <v>0</v>
      </c>
      <c r="F731" s="1">
        <f>IF(B731="", "", "air")</f>
        <v>0</v>
      </c>
      <c r="G731" s="1">
        <f>IF(B731="", "", "air")</f>
        <v>0</v>
      </c>
      <c r="H731" s="1">
        <f>IF(B731="", "", "air")</f>
        <v>0</v>
      </c>
      <c r="I731" s="1">
        <f>IF(B731="", "", "air metagenome")</f>
        <v>0</v>
      </c>
      <c r="J731" s="1">
        <f>IF(B731="", "", "655179")</f>
        <v>0</v>
      </c>
    </row>
    <row r="732" spans="1:10">
      <c r="A732">
        <f>IF(COUNTBLANK(B732:J732)&lt;&gt;COLUMNS(B732:J732),731,"")</f>
        <v>0</v>
      </c>
      <c r="D732" s="1">
        <f>IF(B732="", "", "m")</f>
        <v>0</v>
      </c>
      <c r="F732" s="1">
        <f>IF(B732="", "", "air")</f>
        <v>0</v>
      </c>
      <c r="G732" s="1">
        <f>IF(B732="", "", "air")</f>
        <v>0</v>
      </c>
      <c r="H732" s="1">
        <f>IF(B732="", "", "air")</f>
        <v>0</v>
      </c>
      <c r="I732" s="1">
        <f>IF(B732="", "", "air metagenome")</f>
        <v>0</v>
      </c>
      <c r="J732" s="1">
        <f>IF(B732="", "", "655179")</f>
        <v>0</v>
      </c>
    </row>
    <row r="733" spans="1:10">
      <c r="A733">
        <f>IF(COUNTBLANK(B733:J733)&lt;&gt;COLUMNS(B733:J733),732,"")</f>
        <v>0</v>
      </c>
      <c r="D733" s="1">
        <f>IF(B733="", "", "m")</f>
        <v>0</v>
      </c>
      <c r="F733" s="1">
        <f>IF(B733="", "", "air")</f>
        <v>0</v>
      </c>
      <c r="G733" s="1">
        <f>IF(B733="", "", "air")</f>
        <v>0</v>
      </c>
      <c r="H733" s="1">
        <f>IF(B733="", "", "air")</f>
        <v>0</v>
      </c>
      <c r="I733" s="1">
        <f>IF(B733="", "", "air metagenome")</f>
        <v>0</v>
      </c>
      <c r="J733" s="1">
        <f>IF(B733="", "", "655179")</f>
        <v>0</v>
      </c>
    </row>
    <row r="734" spans="1:10">
      <c r="A734">
        <f>IF(COUNTBLANK(B734:J734)&lt;&gt;COLUMNS(B734:J734),733,"")</f>
        <v>0</v>
      </c>
      <c r="D734" s="1">
        <f>IF(B734="", "", "m")</f>
        <v>0</v>
      </c>
      <c r="F734" s="1">
        <f>IF(B734="", "", "air")</f>
        <v>0</v>
      </c>
      <c r="G734" s="1">
        <f>IF(B734="", "", "air")</f>
        <v>0</v>
      </c>
      <c r="H734" s="1">
        <f>IF(B734="", "", "air")</f>
        <v>0</v>
      </c>
      <c r="I734" s="1">
        <f>IF(B734="", "", "air metagenome")</f>
        <v>0</v>
      </c>
      <c r="J734" s="1">
        <f>IF(B734="", "", "655179")</f>
        <v>0</v>
      </c>
    </row>
    <row r="735" spans="1:10">
      <c r="A735">
        <f>IF(COUNTBLANK(B735:J735)&lt;&gt;COLUMNS(B735:J735),734,"")</f>
        <v>0</v>
      </c>
      <c r="D735" s="1">
        <f>IF(B735="", "", "m")</f>
        <v>0</v>
      </c>
      <c r="F735" s="1">
        <f>IF(B735="", "", "air")</f>
        <v>0</v>
      </c>
      <c r="G735" s="1">
        <f>IF(B735="", "", "air")</f>
        <v>0</v>
      </c>
      <c r="H735" s="1">
        <f>IF(B735="", "", "air")</f>
        <v>0</v>
      </c>
      <c r="I735" s="1">
        <f>IF(B735="", "", "air metagenome")</f>
        <v>0</v>
      </c>
      <c r="J735" s="1">
        <f>IF(B735="", "", "655179")</f>
        <v>0</v>
      </c>
    </row>
    <row r="736" spans="1:10">
      <c r="A736">
        <f>IF(COUNTBLANK(B736:J736)&lt;&gt;COLUMNS(B736:J736),735,"")</f>
        <v>0</v>
      </c>
      <c r="D736" s="1">
        <f>IF(B736="", "", "m")</f>
        <v>0</v>
      </c>
      <c r="F736" s="1">
        <f>IF(B736="", "", "air")</f>
        <v>0</v>
      </c>
      <c r="G736" s="1">
        <f>IF(B736="", "", "air")</f>
        <v>0</v>
      </c>
      <c r="H736" s="1">
        <f>IF(B736="", "", "air")</f>
        <v>0</v>
      </c>
      <c r="I736" s="1">
        <f>IF(B736="", "", "air metagenome")</f>
        <v>0</v>
      </c>
      <c r="J736" s="1">
        <f>IF(B736="", "", "655179")</f>
        <v>0</v>
      </c>
    </row>
    <row r="737" spans="1:10">
      <c r="A737">
        <f>IF(COUNTBLANK(B737:J737)&lt;&gt;COLUMNS(B737:J737),736,"")</f>
        <v>0</v>
      </c>
      <c r="D737" s="1">
        <f>IF(B737="", "", "m")</f>
        <v>0</v>
      </c>
      <c r="F737" s="1">
        <f>IF(B737="", "", "air")</f>
        <v>0</v>
      </c>
      <c r="G737" s="1">
        <f>IF(B737="", "", "air")</f>
        <v>0</v>
      </c>
      <c r="H737" s="1">
        <f>IF(B737="", "", "air")</f>
        <v>0</v>
      </c>
      <c r="I737" s="1">
        <f>IF(B737="", "", "air metagenome")</f>
        <v>0</v>
      </c>
      <c r="J737" s="1">
        <f>IF(B737="", "", "655179")</f>
        <v>0</v>
      </c>
    </row>
    <row r="738" spans="1:10">
      <c r="A738">
        <f>IF(COUNTBLANK(B738:J738)&lt;&gt;COLUMNS(B738:J738),737,"")</f>
        <v>0</v>
      </c>
      <c r="D738" s="1">
        <f>IF(B738="", "", "m")</f>
        <v>0</v>
      </c>
      <c r="F738" s="1">
        <f>IF(B738="", "", "air")</f>
        <v>0</v>
      </c>
      <c r="G738" s="1">
        <f>IF(B738="", "", "air")</f>
        <v>0</v>
      </c>
      <c r="H738" s="1">
        <f>IF(B738="", "", "air")</f>
        <v>0</v>
      </c>
      <c r="I738" s="1">
        <f>IF(B738="", "", "air metagenome")</f>
        <v>0</v>
      </c>
      <c r="J738" s="1">
        <f>IF(B738="", "", "655179")</f>
        <v>0</v>
      </c>
    </row>
    <row r="739" spans="1:10">
      <c r="A739">
        <f>IF(COUNTBLANK(B739:J739)&lt;&gt;COLUMNS(B739:J739),738,"")</f>
        <v>0</v>
      </c>
      <c r="D739" s="1">
        <f>IF(B739="", "", "m")</f>
        <v>0</v>
      </c>
      <c r="F739" s="1">
        <f>IF(B739="", "", "air")</f>
        <v>0</v>
      </c>
      <c r="G739" s="1">
        <f>IF(B739="", "", "air")</f>
        <v>0</v>
      </c>
      <c r="H739" s="1">
        <f>IF(B739="", "", "air")</f>
        <v>0</v>
      </c>
      <c r="I739" s="1">
        <f>IF(B739="", "", "air metagenome")</f>
        <v>0</v>
      </c>
      <c r="J739" s="1">
        <f>IF(B739="", "", "655179")</f>
        <v>0</v>
      </c>
    </row>
    <row r="740" spans="1:10">
      <c r="A740">
        <f>IF(COUNTBLANK(B740:J740)&lt;&gt;COLUMNS(B740:J740),739,"")</f>
        <v>0</v>
      </c>
      <c r="D740" s="1">
        <f>IF(B740="", "", "m")</f>
        <v>0</v>
      </c>
      <c r="F740" s="1">
        <f>IF(B740="", "", "air")</f>
        <v>0</v>
      </c>
      <c r="G740" s="1">
        <f>IF(B740="", "", "air")</f>
        <v>0</v>
      </c>
      <c r="H740" s="1">
        <f>IF(B740="", "", "air")</f>
        <v>0</v>
      </c>
      <c r="I740" s="1">
        <f>IF(B740="", "", "air metagenome")</f>
        <v>0</v>
      </c>
      <c r="J740" s="1">
        <f>IF(B740="", "", "655179")</f>
        <v>0</v>
      </c>
    </row>
    <row r="741" spans="1:10">
      <c r="A741">
        <f>IF(COUNTBLANK(B741:J741)&lt;&gt;COLUMNS(B741:J741),740,"")</f>
        <v>0</v>
      </c>
      <c r="D741" s="1">
        <f>IF(B741="", "", "m")</f>
        <v>0</v>
      </c>
      <c r="F741" s="1">
        <f>IF(B741="", "", "air")</f>
        <v>0</v>
      </c>
      <c r="G741" s="1">
        <f>IF(B741="", "", "air")</f>
        <v>0</v>
      </c>
      <c r="H741" s="1">
        <f>IF(B741="", "", "air")</f>
        <v>0</v>
      </c>
      <c r="I741" s="1">
        <f>IF(B741="", "", "air metagenome")</f>
        <v>0</v>
      </c>
      <c r="J741" s="1">
        <f>IF(B741="", "", "655179")</f>
        <v>0</v>
      </c>
    </row>
    <row r="742" spans="1:10">
      <c r="A742">
        <f>IF(COUNTBLANK(B742:J742)&lt;&gt;COLUMNS(B742:J742),741,"")</f>
        <v>0</v>
      </c>
      <c r="D742" s="1">
        <f>IF(B742="", "", "m")</f>
        <v>0</v>
      </c>
      <c r="F742" s="1">
        <f>IF(B742="", "", "air")</f>
        <v>0</v>
      </c>
      <c r="G742" s="1">
        <f>IF(B742="", "", "air")</f>
        <v>0</v>
      </c>
      <c r="H742" s="1">
        <f>IF(B742="", "", "air")</f>
        <v>0</v>
      </c>
      <c r="I742" s="1">
        <f>IF(B742="", "", "air metagenome")</f>
        <v>0</v>
      </c>
      <c r="J742" s="1">
        <f>IF(B742="", "", "655179")</f>
        <v>0</v>
      </c>
    </row>
    <row r="743" spans="1:10">
      <c r="A743">
        <f>IF(COUNTBLANK(B743:J743)&lt;&gt;COLUMNS(B743:J743),742,"")</f>
        <v>0</v>
      </c>
      <c r="D743" s="1">
        <f>IF(B743="", "", "m")</f>
        <v>0</v>
      </c>
      <c r="F743" s="1">
        <f>IF(B743="", "", "air")</f>
        <v>0</v>
      </c>
      <c r="G743" s="1">
        <f>IF(B743="", "", "air")</f>
        <v>0</v>
      </c>
      <c r="H743" s="1">
        <f>IF(B743="", "", "air")</f>
        <v>0</v>
      </c>
      <c r="I743" s="1">
        <f>IF(B743="", "", "air metagenome")</f>
        <v>0</v>
      </c>
      <c r="J743" s="1">
        <f>IF(B743="", "", "655179")</f>
        <v>0</v>
      </c>
    </row>
    <row r="744" spans="1:10">
      <c r="A744">
        <f>IF(COUNTBLANK(B744:J744)&lt;&gt;COLUMNS(B744:J744),743,"")</f>
        <v>0</v>
      </c>
      <c r="D744" s="1">
        <f>IF(B744="", "", "m")</f>
        <v>0</v>
      </c>
      <c r="F744" s="1">
        <f>IF(B744="", "", "air")</f>
        <v>0</v>
      </c>
      <c r="G744" s="1">
        <f>IF(B744="", "", "air")</f>
        <v>0</v>
      </c>
      <c r="H744" s="1">
        <f>IF(B744="", "", "air")</f>
        <v>0</v>
      </c>
      <c r="I744" s="1">
        <f>IF(B744="", "", "air metagenome")</f>
        <v>0</v>
      </c>
      <c r="J744" s="1">
        <f>IF(B744="", "", "655179")</f>
        <v>0</v>
      </c>
    </row>
    <row r="745" spans="1:10">
      <c r="A745">
        <f>IF(COUNTBLANK(B745:J745)&lt;&gt;COLUMNS(B745:J745),744,"")</f>
        <v>0</v>
      </c>
      <c r="D745" s="1">
        <f>IF(B745="", "", "m")</f>
        <v>0</v>
      </c>
      <c r="F745" s="1">
        <f>IF(B745="", "", "air")</f>
        <v>0</v>
      </c>
      <c r="G745" s="1">
        <f>IF(B745="", "", "air")</f>
        <v>0</v>
      </c>
      <c r="H745" s="1">
        <f>IF(B745="", "", "air")</f>
        <v>0</v>
      </c>
      <c r="I745" s="1">
        <f>IF(B745="", "", "air metagenome")</f>
        <v>0</v>
      </c>
      <c r="J745" s="1">
        <f>IF(B745="", "", "655179")</f>
        <v>0</v>
      </c>
    </row>
    <row r="746" spans="1:10">
      <c r="A746">
        <f>IF(COUNTBLANK(B746:J746)&lt;&gt;COLUMNS(B746:J746),745,"")</f>
        <v>0</v>
      </c>
      <c r="D746" s="1">
        <f>IF(B746="", "", "m")</f>
        <v>0</v>
      </c>
      <c r="F746" s="1">
        <f>IF(B746="", "", "air")</f>
        <v>0</v>
      </c>
      <c r="G746" s="1">
        <f>IF(B746="", "", "air")</f>
        <v>0</v>
      </c>
      <c r="H746" s="1">
        <f>IF(B746="", "", "air")</f>
        <v>0</v>
      </c>
      <c r="I746" s="1">
        <f>IF(B746="", "", "air metagenome")</f>
        <v>0</v>
      </c>
      <c r="J746" s="1">
        <f>IF(B746="", "", "655179")</f>
        <v>0</v>
      </c>
    </row>
    <row r="747" spans="1:10">
      <c r="A747">
        <f>IF(COUNTBLANK(B747:J747)&lt;&gt;COLUMNS(B747:J747),746,"")</f>
        <v>0</v>
      </c>
      <c r="D747" s="1">
        <f>IF(B747="", "", "m")</f>
        <v>0</v>
      </c>
      <c r="F747" s="1">
        <f>IF(B747="", "", "air")</f>
        <v>0</v>
      </c>
      <c r="G747" s="1">
        <f>IF(B747="", "", "air")</f>
        <v>0</v>
      </c>
      <c r="H747" s="1">
        <f>IF(B747="", "", "air")</f>
        <v>0</v>
      </c>
      <c r="I747" s="1">
        <f>IF(B747="", "", "air metagenome")</f>
        <v>0</v>
      </c>
      <c r="J747" s="1">
        <f>IF(B747="", "", "655179")</f>
        <v>0</v>
      </c>
    </row>
    <row r="748" spans="1:10">
      <c r="A748">
        <f>IF(COUNTBLANK(B748:J748)&lt;&gt;COLUMNS(B748:J748),747,"")</f>
        <v>0</v>
      </c>
      <c r="D748" s="1">
        <f>IF(B748="", "", "m")</f>
        <v>0</v>
      </c>
      <c r="F748" s="1">
        <f>IF(B748="", "", "air")</f>
        <v>0</v>
      </c>
      <c r="G748" s="1">
        <f>IF(B748="", "", "air")</f>
        <v>0</v>
      </c>
      <c r="H748" s="1">
        <f>IF(B748="", "", "air")</f>
        <v>0</v>
      </c>
      <c r="I748" s="1">
        <f>IF(B748="", "", "air metagenome")</f>
        <v>0</v>
      </c>
      <c r="J748" s="1">
        <f>IF(B748="", "", "655179")</f>
        <v>0</v>
      </c>
    </row>
    <row r="749" spans="1:10">
      <c r="A749">
        <f>IF(COUNTBLANK(B749:J749)&lt;&gt;COLUMNS(B749:J749),748,"")</f>
        <v>0</v>
      </c>
      <c r="D749" s="1">
        <f>IF(B749="", "", "m")</f>
        <v>0</v>
      </c>
      <c r="F749" s="1">
        <f>IF(B749="", "", "air")</f>
        <v>0</v>
      </c>
      <c r="G749" s="1">
        <f>IF(B749="", "", "air")</f>
        <v>0</v>
      </c>
      <c r="H749" s="1">
        <f>IF(B749="", "", "air")</f>
        <v>0</v>
      </c>
      <c r="I749" s="1">
        <f>IF(B749="", "", "air metagenome")</f>
        <v>0</v>
      </c>
      <c r="J749" s="1">
        <f>IF(B749="", "", "655179")</f>
        <v>0</v>
      </c>
    </row>
    <row r="750" spans="1:10">
      <c r="A750">
        <f>IF(COUNTBLANK(B750:J750)&lt;&gt;COLUMNS(B750:J750),749,"")</f>
        <v>0</v>
      </c>
      <c r="D750" s="1">
        <f>IF(B750="", "", "m")</f>
        <v>0</v>
      </c>
      <c r="F750" s="1">
        <f>IF(B750="", "", "air")</f>
        <v>0</v>
      </c>
      <c r="G750" s="1">
        <f>IF(B750="", "", "air")</f>
        <v>0</v>
      </c>
      <c r="H750" s="1">
        <f>IF(B750="", "", "air")</f>
        <v>0</v>
      </c>
      <c r="I750" s="1">
        <f>IF(B750="", "", "air metagenome")</f>
        <v>0</v>
      </c>
      <c r="J750" s="1">
        <f>IF(B750="", "", "655179")</f>
        <v>0</v>
      </c>
    </row>
    <row r="751" spans="1:10">
      <c r="A751">
        <f>IF(COUNTBLANK(B751:J751)&lt;&gt;COLUMNS(B751:J751),750,"")</f>
        <v>0</v>
      </c>
      <c r="D751" s="1">
        <f>IF(B751="", "", "m")</f>
        <v>0</v>
      </c>
      <c r="F751" s="1">
        <f>IF(B751="", "", "air")</f>
        <v>0</v>
      </c>
      <c r="G751" s="1">
        <f>IF(B751="", "", "air")</f>
        <v>0</v>
      </c>
      <c r="H751" s="1">
        <f>IF(B751="", "", "air")</f>
        <v>0</v>
      </c>
      <c r="I751" s="1">
        <f>IF(B751="", "", "air metagenome")</f>
        <v>0</v>
      </c>
      <c r="J751" s="1">
        <f>IF(B751="", "", "655179")</f>
        <v>0</v>
      </c>
    </row>
    <row r="752" spans="1:10">
      <c r="A752">
        <f>IF(COUNTBLANK(B752:J752)&lt;&gt;COLUMNS(B752:J752),751,"")</f>
        <v>0</v>
      </c>
      <c r="D752" s="1">
        <f>IF(B752="", "", "m")</f>
        <v>0</v>
      </c>
      <c r="F752" s="1">
        <f>IF(B752="", "", "air")</f>
        <v>0</v>
      </c>
      <c r="G752" s="1">
        <f>IF(B752="", "", "air")</f>
        <v>0</v>
      </c>
      <c r="H752" s="1">
        <f>IF(B752="", "", "air")</f>
        <v>0</v>
      </c>
      <c r="I752" s="1">
        <f>IF(B752="", "", "air metagenome")</f>
        <v>0</v>
      </c>
      <c r="J752" s="1">
        <f>IF(B752="", "", "655179")</f>
        <v>0</v>
      </c>
    </row>
    <row r="753" spans="1:10">
      <c r="A753">
        <f>IF(COUNTBLANK(B753:J753)&lt;&gt;COLUMNS(B753:J753),752,"")</f>
        <v>0</v>
      </c>
      <c r="D753" s="1">
        <f>IF(B753="", "", "m")</f>
        <v>0</v>
      </c>
      <c r="F753" s="1">
        <f>IF(B753="", "", "air")</f>
        <v>0</v>
      </c>
      <c r="G753" s="1">
        <f>IF(B753="", "", "air")</f>
        <v>0</v>
      </c>
      <c r="H753" s="1">
        <f>IF(B753="", "", "air")</f>
        <v>0</v>
      </c>
      <c r="I753" s="1">
        <f>IF(B753="", "", "air metagenome")</f>
        <v>0</v>
      </c>
      <c r="J753" s="1">
        <f>IF(B753="", "", "655179")</f>
        <v>0</v>
      </c>
    </row>
    <row r="754" spans="1:10">
      <c r="A754">
        <f>IF(COUNTBLANK(B754:J754)&lt;&gt;COLUMNS(B754:J754),753,"")</f>
        <v>0</v>
      </c>
      <c r="D754" s="1">
        <f>IF(B754="", "", "m")</f>
        <v>0</v>
      </c>
      <c r="F754" s="1">
        <f>IF(B754="", "", "air")</f>
        <v>0</v>
      </c>
      <c r="G754" s="1">
        <f>IF(B754="", "", "air")</f>
        <v>0</v>
      </c>
      <c r="H754" s="1">
        <f>IF(B754="", "", "air")</f>
        <v>0</v>
      </c>
      <c r="I754" s="1">
        <f>IF(B754="", "", "air metagenome")</f>
        <v>0</v>
      </c>
      <c r="J754" s="1">
        <f>IF(B754="", "", "655179")</f>
        <v>0</v>
      </c>
    </row>
    <row r="755" spans="1:10">
      <c r="A755">
        <f>IF(COUNTBLANK(B755:J755)&lt;&gt;COLUMNS(B755:J755),754,"")</f>
        <v>0</v>
      </c>
      <c r="D755" s="1">
        <f>IF(B755="", "", "m")</f>
        <v>0</v>
      </c>
      <c r="F755" s="1">
        <f>IF(B755="", "", "air")</f>
        <v>0</v>
      </c>
      <c r="G755" s="1">
        <f>IF(B755="", "", "air")</f>
        <v>0</v>
      </c>
      <c r="H755" s="1">
        <f>IF(B755="", "", "air")</f>
        <v>0</v>
      </c>
      <c r="I755" s="1">
        <f>IF(B755="", "", "air metagenome")</f>
        <v>0</v>
      </c>
      <c r="J755" s="1">
        <f>IF(B755="", "", "655179")</f>
        <v>0</v>
      </c>
    </row>
    <row r="756" spans="1:10">
      <c r="A756">
        <f>IF(COUNTBLANK(B756:J756)&lt;&gt;COLUMNS(B756:J756),755,"")</f>
        <v>0</v>
      </c>
      <c r="D756" s="1">
        <f>IF(B756="", "", "m")</f>
        <v>0</v>
      </c>
      <c r="F756" s="1">
        <f>IF(B756="", "", "air")</f>
        <v>0</v>
      </c>
      <c r="G756" s="1">
        <f>IF(B756="", "", "air")</f>
        <v>0</v>
      </c>
      <c r="H756" s="1">
        <f>IF(B756="", "", "air")</f>
        <v>0</v>
      </c>
      <c r="I756" s="1">
        <f>IF(B756="", "", "air metagenome")</f>
        <v>0</v>
      </c>
      <c r="J756" s="1">
        <f>IF(B756="", "", "655179")</f>
        <v>0</v>
      </c>
    </row>
    <row r="757" spans="1:10">
      <c r="A757">
        <f>IF(COUNTBLANK(B757:J757)&lt;&gt;COLUMNS(B757:J757),756,"")</f>
        <v>0</v>
      </c>
      <c r="D757" s="1">
        <f>IF(B757="", "", "m")</f>
        <v>0</v>
      </c>
      <c r="F757" s="1">
        <f>IF(B757="", "", "air")</f>
        <v>0</v>
      </c>
      <c r="G757" s="1">
        <f>IF(B757="", "", "air")</f>
        <v>0</v>
      </c>
      <c r="H757" s="1">
        <f>IF(B757="", "", "air")</f>
        <v>0</v>
      </c>
      <c r="I757" s="1">
        <f>IF(B757="", "", "air metagenome")</f>
        <v>0</v>
      </c>
      <c r="J757" s="1">
        <f>IF(B757="", "", "655179")</f>
        <v>0</v>
      </c>
    </row>
    <row r="758" spans="1:10">
      <c r="A758">
        <f>IF(COUNTBLANK(B758:J758)&lt;&gt;COLUMNS(B758:J758),757,"")</f>
        <v>0</v>
      </c>
      <c r="D758" s="1">
        <f>IF(B758="", "", "m")</f>
        <v>0</v>
      </c>
      <c r="F758" s="1">
        <f>IF(B758="", "", "air")</f>
        <v>0</v>
      </c>
      <c r="G758" s="1">
        <f>IF(B758="", "", "air")</f>
        <v>0</v>
      </c>
      <c r="H758" s="1">
        <f>IF(B758="", "", "air")</f>
        <v>0</v>
      </c>
      <c r="I758" s="1">
        <f>IF(B758="", "", "air metagenome")</f>
        <v>0</v>
      </c>
      <c r="J758" s="1">
        <f>IF(B758="", "", "655179")</f>
        <v>0</v>
      </c>
    </row>
    <row r="759" spans="1:10">
      <c r="A759">
        <f>IF(COUNTBLANK(B759:J759)&lt;&gt;COLUMNS(B759:J759),758,"")</f>
        <v>0</v>
      </c>
      <c r="D759" s="1">
        <f>IF(B759="", "", "m")</f>
        <v>0</v>
      </c>
      <c r="F759" s="1">
        <f>IF(B759="", "", "air")</f>
        <v>0</v>
      </c>
      <c r="G759" s="1">
        <f>IF(B759="", "", "air")</f>
        <v>0</v>
      </c>
      <c r="H759" s="1">
        <f>IF(B759="", "", "air")</f>
        <v>0</v>
      </c>
      <c r="I759" s="1">
        <f>IF(B759="", "", "air metagenome")</f>
        <v>0</v>
      </c>
      <c r="J759" s="1">
        <f>IF(B759="", "", "655179")</f>
        <v>0</v>
      </c>
    </row>
    <row r="760" spans="1:10">
      <c r="A760">
        <f>IF(COUNTBLANK(B760:J760)&lt;&gt;COLUMNS(B760:J760),759,"")</f>
        <v>0</v>
      </c>
      <c r="D760" s="1">
        <f>IF(B760="", "", "m")</f>
        <v>0</v>
      </c>
      <c r="F760" s="1">
        <f>IF(B760="", "", "air")</f>
        <v>0</v>
      </c>
      <c r="G760" s="1">
        <f>IF(B760="", "", "air")</f>
        <v>0</v>
      </c>
      <c r="H760" s="1">
        <f>IF(B760="", "", "air")</f>
        <v>0</v>
      </c>
      <c r="I760" s="1">
        <f>IF(B760="", "", "air metagenome")</f>
        <v>0</v>
      </c>
      <c r="J760" s="1">
        <f>IF(B760="", "", "655179")</f>
        <v>0</v>
      </c>
    </row>
    <row r="761" spans="1:10">
      <c r="A761">
        <f>IF(COUNTBLANK(B761:J761)&lt;&gt;COLUMNS(B761:J761),760,"")</f>
        <v>0</v>
      </c>
      <c r="D761" s="1">
        <f>IF(B761="", "", "m")</f>
        <v>0</v>
      </c>
      <c r="F761" s="1">
        <f>IF(B761="", "", "air")</f>
        <v>0</v>
      </c>
      <c r="G761" s="1">
        <f>IF(B761="", "", "air")</f>
        <v>0</v>
      </c>
      <c r="H761" s="1">
        <f>IF(B761="", "", "air")</f>
        <v>0</v>
      </c>
      <c r="I761" s="1">
        <f>IF(B761="", "", "air metagenome")</f>
        <v>0</v>
      </c>
      <c r="J761" s="1">
        <f>IF(B761="", "", "655179")</f>
        <v>0</v>
      </c>
    </row>
    <row r="762" spans="1:10">
      <c r="A762">
        <f>IF(COUNTBLANK(B762:J762)&lt;&gt;COLUMNS(B762:J762),761,"")</f>
        <v>0</v>
      </c>
      <c r="D762" s="1">
        <f>IF(B762="", "", "m")</f>
        <v>0</v>
      </c>
      <c r="F762" s="1">
        <f>IF(B762="", "", "air")</f>
        <v>0</v>
      </c>
      <c r="G762" s="1">
        <f>IF(B762="", "", "air")</f>
        <v>0</v>
      </c>
      <c r="H762" s="1">
        <f>IF(B762="", "", "air")</f>
        <v>0</v>
      </c>
      <c r="I762" s="1">
        <f>IF(B762="", "", "air metagenome")</f>
        <v>0</v>
      </c>
      <c r="J762" s="1">
        <f>IF(B762="", "", "655179")</f>
        <v>0</v>
      </c>
    </row>
    <row r="763" spans="1:10">
      <c r="A763">
        <f>IF(COUNTBLANK(B763:J763)&lt;&gt;COLUMNS(B763:J763),762,"")</f>
        <v>0</v>
      </c>
      <c r="D763" s="1">
        <f>IF(B763="", "", "m")</f>
        <v>0</v>
      </c>
      <c r="F763" s="1">
        <f>IF(B763="", "", "air")</f>
        <v>0</v>
      </c>
      <c r="G763" s="1">
        <f>IF(B763="", "", "air")</f>
        <v>0</v>
      </c>
      <c r="H763" s="1">
        <f>IF(B763="", "", "air")</f>
        <v>0</v>
      </c>
      <c r="I763" s="1">
        <f>IF(B763="", "", "air metagenome")</f>
        <v>0</v>
      </c>
      <c r="J763" s="1">
        <f>IF(B763="", "", "655179")</f>
        <v>0</v>
      </c>
    </row>
    <row r="764" spans="1:10">
      <c r="A764">
        <f>IF(COUNTBLANK(B764:J764)&lt;&gt;COLUMNS(B764:J764),763,"")</f>
        <v>0</v>
      </c>
      <c r="D764" s="1">
        <f>IF(B764="", "", "m")</f>
        <v>0</v>
      </c>
      <c r="F764" s="1">
        <f>IF(B764="", "", "air")</f>
        <v>0</v>
      </c>
      <c r="G764" s="1">
        <f>IF(B764="", "", "air")</f>
        <v>0</v>
      </c>
      <c r="H764" s="1">
        <f>IF(B764="", "", "air")</f>
        <v>0</v>
      </c>
      <c r="I764" s="1">
        <f>IF(B764="", "", "air metagenome")</f>
        <v>0</v>
      </c>
      <c r="J764" s="1">
        <f>IF(B764="", "", "655179")</f>
        <v>0</v>
      </c>
    </row>
    <row r="765" spans="1:10">
      <c r="A765">
        <f>IF(COUNTBLANK(B765:J765)&lt;&gt;COLUMNS(B765:J765),764,"")</f>
        <v>0</v>
      </c>
      <c r="D765" s="1">
        <f>IF(B765="", "", "m")</f>
        <v>0</v>
      </c>
      <c r="F765" s="1">
        <f>IF(B765="", "", "air")</f>
        <v>0</v>
      </c>
      <c r="G765" s="1">
        <f>IF(B765="", "", "air")</f>
        <v>0</v>
      </c>
      <c r="H765" s="1">
        <f>IF(B765="", "", "air")</f>
        <v>0</v>
      </c>
      <c r="I765" s="1">
        <f>IF(B765="", "", "air metagenome")</f>
        <v>0</v>
      </c>
      <c r="J765" s="1">
        <f>IF(B765="", "", "655179")</f>
        <v>0</v>
      </c>
    </row>
    <row r="766" spans="1:10">
      <c r="A766">
        <f>IF(COUNTBLANK(B766:J766)&lt;&gt;COLUMNS(B766:J766),765,"")</f>
        <v>0</v>
      </c>
      <c r="D766" s="1">
        <f>IF(B766="", "", "m")</f>
        <v>0</v>
      </c>
      <c r="F766" s="1">
        <f>IF(B766="", "", "air")</f>
        <v>0</v>
      </c>
      <c r="G766" s="1">
        <f>IF(B766="", "", "air")</f>
        <v>0</v>
      </c>
      <c r="H766" s="1">
        <f>IF(B766="", "", "air")</f>
        <v>0</v>
      </c>
      <c r="I766" s="1">
        <f>IF(B766="", "", "air metagenome")</f>
        <v>0</v>
      </c>
      <c r="J766" s="1">
        <f>IF(B766="", "", "655179")</f>
        <v>0</v>
      </c>
    </row>
    <row r="767" spans="1:10">
      <c r="A767">
        <f>IF(COUNTBLANK(B767:J767)&lt;&gt;COLUMNS(B767:J767),766,"")</f>
        <v>0</v>
      </c>
      <c r="D767" s="1">
        <f>IF(B767="", "", "m")</f>
        <v>0</v>
      </c>
      <c r="F767" s="1">
        <f>IF(B767="", "", "air")</f>
        <v>0</v>
      </c>
      <c r="G767" s="1">
        <f>IF(B767="", "", "air")</f>
        <v>0</v>
      </c>
      <c r="H767" s="1">
        <f>IF(B767="", "", "air")</f>
        <v>0</v>
      </c>
      <c r="I767" s="1">
        <f>IF(B767="", "", "air metagenome")</f>
        <v>0</v>
      </c>
      <c r="J767" s="1">
        <f>IF(B767="", "", "655179")</f>
        <v>0</v>
      </c>
    </row>
    <row r="768" spans="1:10">
      <c r="A768">
        <f>IF(COUNTBLANK(B768:J768)&lt;&gt;COLUMNS(B768:J768),767,"")</f>
        <v>0</v>
      </c>
      <c r="D768" s="1">
        <f>IF(B768="", "", "m")</f>
        <v>0</v>
      </c>
      <c r="F768" s="1">
        <f>IF(B768="", "", "air")</f>
        <v>0</v>
      </c>
      <c r="G768" s="1">
        <f>IF(B768="", "", "air")</f>
        <v>0</v>
      </c>
      <c r="H768" s="1">
        <f>IF(B768="", "", "air")</f>
        <v>0</v>
      </c>
      <c r="I768" s="1">
        <f>IF(B768="", "", "air metagenome")</f>
        <v>0</v>
      </c>
      <c r="J768" s="1">
        <f>IF(B768="", "", "655179")</f>
        <v>0</v>
      </c>
    </row>
    <row r="769" spans="1:10">
      <c r="A769">
        <f>IF(COUNTBLANK(B769:J769)&lt;&gt;COLUMNS(B769:J769),768,"")</f>
        <v>0</v>
      </c>
      <c r="D769" s="1">
        <f>IF(B769="", "", "m")</f>
        <v>0</v>
      </c>
      <c r="F769" s="1">
        <f>IF(B769="", "", "air")</f>
        <v>0</v>
      </c>
      <c r="G769" s="1">
        <f>IF(B769="", "", "air")</f>
        <v>0</v>
      </c>
      <c r="H769" s="1">
        <f>IF(B769="", "", "air")</f>
        <v>0</v>
      </c>
      <c r="I769" s="1">
        <f>IF(B769="", "", "air metagenome")</f>
        <v>0</v>
      </c>
      <c r="J769" s="1">
        <f>IF(B769="", "", "655179")</f>
        <v>0</v>
      </c>
    </row>
    <row r="770" spans="1:10">
      <c r="A770">
        <f>IF(COUNTBLANK(B770:J770)&lt;&gt;COLUMNS(B770:J770),769,"")</f>
        <v>0</v>
      </c>
      <c r="D770" s="1">
        <f>IF(B770="", "", "m")</f>
        <v>0</v>
      </c>
      <c r="F770" s="1">
        <f>IF(B770="", "", "air")</f>
        <v>0</v>
      </c>
      <c r="G770" s="1">
        <f>IF(B770="", "", "air")</f>
        <v>0</v>
      </c>
      <c r="H770" s="1">
        <f>IF(B770="", "", "air")</f>
        <v>0</v>
      </c>
      <c r="I770" s="1">
        <f>IF(B770="", "", "air metagenome")</f>
        <v>0</v>
      </c>
      <c r="J770" s="1">
        <f>IF(B770="", "", "655179")</f>
        <v>0</v>
      </c>
    </row>
    <row r="771" spans="1:10">
      <c r="A771">
        <f>IF(COUNTBLANK(B771:J771)&lt;&gt;COLUMNS(B771:J771),770,"")</f>
        <v>0</v>
      </c>
      <c r="D771" s="1">
        <f>IF(B771="", "", "m")</f>
        <v>0</v>
      </c>
      <c r="F771" s="1">
        <f>IF(B771="", "", "air")</f>
        <v>0</v>
      </c>
      <c r="G771" s="1">
        <f>IF(B771="", "", "air")</f>
        <v>0</v>
      </c>
      <c r="H771" s="1">
        <f>IF(B771="", "", "air")</f>
        <v>0</v>
      </c>
      <c r="I771" s="1">
        <f>IF(B771="", "", "air metagenome")</f>
        <v>0</v>
      </c>
      <c r="J771" s="1">
        <f>IF(B771="", "", "655179")</f>
        <v>0</v>
      </c>
    </row>
    <row r="772" spans="1:10">
      <c r="A772">
        <f>IF(COUNTBLANK(B772:J772)&lt;&gt;COLUMNS(B772:J772),771,"")</f>
        <v>0</v>
      </c>
      <c r="D772" s="1">
        <f>IF(B772="", "", "m")</f>
        <v>0</v>
      </c>
      <c r="F772" s="1">
        <f>IF(B772="", "", "air")</f>
        <v>0</v>
      </c>
      <c r="G772" s="1">
        <f>IF(B772="", "", "air")</f>
        <v>0</v>
      </c>
      <c r="H772" s="1">
        <f>IF(B772="", "", "air")</f>
        <v>0</v>
      </c>
      <c r="I772" s="1">
        <f>IF(B772="", "", "air metagenome")</f>
        <v>0</v>
      </c>
      <c r="J772" s="1">
        <f>IF(B772="", "", "655179")</f>
        <v>0</v>
      </c>
    </row>
    <row r="773" spans="1:10">
      <c r="A773">
        <f>IF(COUNTBLANK(B773:J773)&lt;&gt;COLUMNS(B773:J773),772,"")</f>
        <v>0</v>
      </c>
      <c r="D773" s="1">
        <f>IF(B773="", "", "m")</f>
        <v>0</v>
      </c>
      <c r="F773" s="1">
        <f>IF(B773="", "", "air")</f>
        <v>0</v>
      </c>
      <c r="G773" s="1">
        <f>IF(B773="", "", "air")</f>
        <v>0</v>
      </c>
      <c r="H773" s="1">
        <f>IF(B773="", "", "air")</f>
        <v>0</v>
      </c>
      <c r="I773" s="1">
        <f>IF(B773="", "", "air metagenome")</f>
        <v>0</v>
      </c>
      <c r="J773" s="1">
        <f>IF(B773="", "", "655179")</f>
        <v>0</v>
      </c>
    </row>
    <row r="774" spans="1:10">
      <c r="A774">
        <f>IF(COUNTBLANK(B774:J774)&lt;&gt;COLUMNS(B774:J774),773,"")</f>
        <v>0</v>
      </c>
      <c r="D774" s="1">
        <f>IF(B774="", "", "m")</f>
        <v>0</v>
      </c>
      <c r="F774" s="1">
        <f>IF(B774="", "", "air")</f>
        <v>0</v>
      </c>
      <c r="G774" s="1">
        <f>IF(B774="", "", "air")</f>
        <v>0</v>
      </c>
      <c r="H774" s="1">
        <f>IF(B774="", "", "air")</f>
        <v>0</v>
      </c>
      <c r="I774" s="1">
        <f>IF(B774="", "", "air metagenome")</f>
        <v>0</v>
      </c>
      <c r="J774" s="1">
        <f>IF(B774="", "", "655179")</f>
        <v>0</v>
      </c>
    </row>
    <row r="775" spans="1:10">
      <c r="A775">
        <f>IF(COUNTBLANK(B775:J775)&lt;&gt;COLUMNS(B775:J775),774,"")</f>
        <v>0</v>
      </c>
      <c r="D775" s="1">
        <f>IF(B775="", "", "m")</f>
        <v>0</v>
      </c>
      <c r="F775" s="1">
        <f>IF(B775="", "", "air")</f>
        <v>0</v>
      </c>
      <c r="G775" s="1">
        <f>IF(B775="", "", "air")</f>
        <v>0</v>
      </c>
      <c r="H775" s="1">
        <f>IF(B775="", "", "air")</f>
        <v>0</v>
      </c>
      <c r="I775" s="1">
        <f>IF(B775="", "", "air metagenome")</f>
        <v>0</v>
      </c>
      <c r="J775" s="1">
        <f>IF(B775="", "", "655179")</f>
        <v>0</v>
      </c>
    </row>
    <row r="776" spans="1:10">
      <c r="A776">
        <f>IF(COUNTBLANK(B776:J776)&lt;&gt;COLUMNS(B776:J776),775,"")</f>
        <v>0</v>
      </c>
      <c r="D776" s="1">
        <f>IF(B776="", "", "m")</f>
        <v>0</v>
      </c>
      <c r="F776" s="1">
        <f>IF(B776="", "", "air")</f>
        <v>0</v>
      </c>
      <c r="G776" s="1">
        <f>IF(B776="", "", "air")</f>
        <v>0</v>
      </c>
      <c r="H776" s="1">
        <f>IF(B776="", "", "air")</f>
        <v>0</v>
      </c>
      <c r="I776" s="1">
        <f>IF(B776="", "", "air metagenome")</f>
        <v>0</v>
      </c>
      <c r="J776" s="1">
        <f>IF(B776="", "", "655179")</f>
        <v>0</v>
      </c>
    </row>
    <row r="777" spans="1:10">
      <c r="A777">
        <f>IF(COUNTBLANK(B777:J777)&lt;&gt;COLUMNS(B777:J777),776,"")</f>
        <v>0</v>
      </c>
      <c r="D777" s="1">
        <f>IF(B777="", "", "m")</f>
        <v>0</v>
      </c>
      <c r="F777" s="1">
        <f>IF(B777="", "", "air")</f>
        <v>0</v>
      </c>
      <c r="G777" s="1">
        <f>IF(B777="", "", "air")</f>
        <v>0</v>
      </c>
      <c r="H777" s="1">
        <f>IF(B777="", "", "air")</f>
        <v>0</v>
      </c>
      <c r="I777" s="1">
        <f>IF(B777="", "", "air metagenome")</f>
        <v>0</v>
      </c>
      <c r="J777" s="1">
        <f>IF(B777="", "", "655179")</f>
        <v>0</v>
      </c>
    </row>
    <row r="778" spans="1:10">
      <c r="A778">
        <f>IF(COUNTBLANK(B778:J778)&lt;&gt;COLUMNS(B778:J778),777,"")</f>
        <v>0</v>
      </c>
      <c r="D778" s="1">
        <f>IF(B778="", "", "m")</f>
        <v>0</v>
      </c>
      <c r="F778" s="1">
        <f>IF(B778="", "", "air")</f>
        <v>0</v>
      </c>
      <c r="G778" s="1">
        <f>IF(B778="", "", "air")</f>
        <v>0</v>
      </c>
      <c r="H778" s="1">
        <f>IF(B778="", "", "air")</f>
        <v>0</v>
      </c>
      <c r="I778" s="1">
        <f>IF(B778="", "", "air metagenome")</f>
        <v>0</v>
      </c>
      <c r="J778" s="1">
        <f>IF(B778="", "", "655179")</f>
        <v>0</v>
      </c>
    </row>
    <row r="779" spans="1:10">
      <c r="A779">
        <f>IF(COUNTBLANK(B779:J779)&lt;&gt;COLUMNS(B779:J779),778,"")</f>
        <v>0</v>
      </c>
      <c r="D779" s="1">
        <f>IF(B779="", "", "m")</f>
        <v>0</v>
      </c>
      <c r="F779" s="1">
        <f>IF(B779="", "", "air")</f>
        <v>0</v>
      </c>
      <c r="G779" s="1">
        <f>IF(B779="", "", "air")</f>
        <v>0</v>
      </c>
      <c r="H779" s="1">
        <f>IF(B779="", "", "air")</f>
        <v>0</v>
      </c>
      <c r="I779" s="1">
        <f>IF(B779="", "", "air metagenome")</f>
        <v>0</v>
      </c>
      <c r="J779" s="1">
        <f>IF(B779="", "", "655179")</f>
        <v>0</v>
      </c>
    </row>
    <row r="780" spans="1:10">
      <c r="A780">
        <f>IF(COUNTBLANK(B780:J780)&lt;&gt;COLUMNS(B780:J780),779,"")</f>
        <v>0</v>
      </c>
      <c r="D780" s="1">
        <f>IF(B780="", "", "m")</f>
        <v>0</v>
      </c>
      <c r="F780" s="1">
        <f>IF(B780="", "", "air")</f>
        <v>0</v>
      </c>
      <c r="G780" s="1">
        <f>IF(B780="", "", "air")</f>
        <v>0</v>
      </c>
      <c r="H780" s="1">
        <f>IF(B780="", "", "air")</f>
        <v>0</v>
      </c>
      <c r="I780" s="1">
        <f>IF(B780="", "", "air metagenome")</f>
        <v>0</v>
      </c>
      <c r="J780" s="1">
        <f>IF(B780="", "", "655179")</f>
        <v>0</v>
      </c>
    </row>
    <row r="781" spans="1:10">
      <c r="A781">
        <f>IF(COUNTBLANK(B781:J781)&lt;&gt;COLUMNS(B781:J781),780,"")</f>
        <v>0</v>
      </c>
      <c r="D781" s="1">
        <f>IF(B781="", "", "m")</f>
        <v>0</v>
      </c>
      <c r="F781" s="1">
        <f>IF(B781="", "", "air")</f>
        <v>0</v>
      </c>
      <c r="G781" s="1">
        <f>IF(B781="", "", "air")</f>
        <v>0</v>
      </c>
      <c r="H781" s="1">
        <f>IF(B781="", "", "air")</f>
        <v>0</v>
      </c>
      <c r="I781" s="1">
        <f>IF(B781="", "", "air metagenome")</f>
        <v>0</v>
      </c>
      <c r="J781" s="1">
        <f>IF(B781="", "", "655179")</f>
        <v>0</v>
      </c>
    </row>
    <row r="782" spans="1:10">
      <c r="A782">
        <f>IF(COUNTBLANK(B782:J782)&lt;&gt;COLUMNS(B782:J782),781,"")</f>
        <v>0</v>
      </c>
      <c r="D782" s="1">
        <f>IF(B782="", "", "m")</f>
        <v>0</v>
      </c>
      <c r="F782" s="1">
        <f>IF(B782="", "", "air")</f>
        <v>0</v>
      </c>
      <c r="G782" s="1">
        <f>IF(B782="", "", "air")</f>
        <v>0</v>
      </c>
      <c r="H782" s="1">
        <f>IF(B782="", "", "air")</f>
        <v>0</v>
      </c>
      <c r="I782" s="1">
        <f>IF(B782="", "", "air metagenome")</f>
        <v>0</v>
      </c>
      <c r="J782" s="1">
        <f>IF(B782="", "", "655179")</f>
        <v>0</v>
      </c>
    </row>
    <row r="783" spans="1:10">
      <c r="A783">
        <f>IF(COUNTBLANK(B783:J783)&lt;&gt;COLUMNS(B783:J783),782,"")</f>
        <v>0</v>
      </c>
      <c r="D783" s="1">
        <f>IF(B783="", "", "m")</f>
        <v>0</v>
      </c>
      <c r="F783" s="1">
        <f>IF(B783="", "", "air")</f>
        <v>0</v>
      </c>
      <c r="G783" s="1">
        <f>IF(B783="", "", "air")</f>
        <v>0</v>
      </c>
      <c r="H783" s="1">
        <f>IF(B783="", "", "air")</f>
        <v>0</v>
      </c>
      <c r="I783" s="1">
        <f>IF(B783="", "", "air metagenome")</f>
        <v>0</v>
      </c>
      <c r="J783" s="1">
        <f>IF(B783="", "", "655179")</f>
        <v>0</v>
      </c>
    </row>
    <row r="784" spans="1:10">
      <c r="A784">
        <f>IF(COUNTBLANK(B784:J784)&lt;&gt;COLUMNS(B784:J784),783,"")</f>
        <v>0</v>
      </c>
      <c r="D784" s="1">
        <f>IF(B784="", "", "m")</f>
        <v>0</v>
      </c>
      <c r="F784" s="1">
        <f>IF(B784="", "", "air")</f>
        <v>0</v>
      </c>
      <c r="G784" s="1">
        <f>IF(B784="", "", "air")</f>
        <v>0</v>
      </c>
      <c r="H784" s="1">
        <f>IF(B784="", "", "air")</f>
        <v>0</v>
      </c>
      <c r="I784" s="1">
        <f>IF(B784="", "", "air metagenome")</f>
        <v>0</v>
      </c>
      <c r="J784" s="1">
        <f>IF(B784="", "", "655179")</f>
        <v>0</v>
      </c>
    </row>
    <row r="785" spans="1:10">
      <c r="A785">
        <f>IF(COUNTBLANK(B785:J785)&lt;&gt;COLUMNS(B785:J785),784,"")</f>
        <v>0</v>
      </c>
      <c r="D785" s="1">
        <f>IF(B785="", "", "m")</f>
        <v>0</v>
      </c>
      <c r="F785" s="1">
        <f>IF(B785="", "", "air")</f>
        <v>0</v>
      </c>
      <c r="G785" s="1">
        <f>IF(B785="", "", "air")</f>
        <v>0</v>
      </c>
      <c r="H785" s="1">
        <f>IF(B785="", "", "air")</f>
        <v>0</v>
      </c>
      <c r="I785" s="1">
        <f>IF(B785="", "", "air metagenome")</f>
        <v>0</v>
      </c>
      <c r="J785" s="1">
        <f>IF(B785="", "", "655179")</f>
        <v>0</v>
      </c>
    </row>
    <row r="786" spans="1:10">
      <c r="A786">
        <f>IF(COUNTBLANK(B786:J786)&lt;&gt;COLUMNS(B786:J786),785,"")</f>
        <v>0</v>
      </c>
      <c r="D786" s="1">
        <f>IF(B786="", "", "m")</f>
        <v>0</v>
      </c>
      <c r="F786" s="1">
        <f>IF(B786="", "", "air")</f>
        <v>0</v>
      </c>
      <c r="G786" s="1">
        <f>IF(B786="", "", "air")</f>
        <v>0</v>
      </c>
      <c r="H786" s="1">
        <f>IF(B786="", "", "air")</f>
        <v>0</v>
      </c>
      <c r="I786" s="1">
        <f>IF(B786="", "", "air metagenome")</f>
        <v>0</v>
      </c>
      <c r="J786" s="1">
        <f>IF(B786="", "", "655179")</f>
        <v>0</v>
      </c>
    </row>
    <row r="787" spans="1:10">
      <c r="A787">
        <f>IF(COUNTBLANK(B787:J787)&lt;&gt;COLUMNS(B787:J787),786,"")</f>
        <v>0</v>
      </c>
      <c r="D787" s="1">
        <f>IF(B787="", "", "m")</f>
        <v>0</v>
      </c>
      <c r="F787" s="1">
        <f>IF(B787="", "", "air")</f>
        <v>0</v>
      </c>
      <c r="G787" s="1">
        <f>IF(B787="", "", "air")</f>
        <v>0</v>
      </c>
      <c r="H787" s="1">
        <f>IF(B787="", "", "air")</f>
        <v>0</v>
      </c>
      <c r="I787" s="1">
        <f>IF(B787="", "", "air metagenome")</f>
        <v>0</v>
      </c>
      <c r="J787" s="1">
        <f>IF(B787="", "", "655179")</f>
        <v>0</v>
      </c>
    </row>
    <row r="788" spans="1:10">
      <c r="A788">
        <f>IF(COUNTBLANK(B788:J788)&lt;&gt;COLUMNS(B788:J788),787,"")</f>
        <v>0</v>
      </c>
      <c r="D788" s="1">
        <f>IF(B788="", "", "m")</f>
        <v>0</v>
      </c>
      <c r="F788" s="1">
        <f>IF(B788="", "", "air")</f>
        <v>0</v>
      </c>
      <c r="G788" s="1">
        <f>IF(B788="", "", "air")</f>
        <v>0</v>
      </c>
      <c r="H788" s="1">
        <f>IF(B788="", "", "air")</f>
        <v>0</v>
      </c>
      <c r="I788" s="1">
        <f>IF(B788="", "", "air metagenome")</f>
        <v>0</v>
      </c>
      <c r="J788" s="1">
        <f>IF(B788="", "", "655179")</f>
        <v>0</v>
      </c>
    </row>
    <row r="789" spans="1:10">
      <c r="A789">
        <f>IF(COUNTBLANK(B789:J789)&lt;&gt;COLUMNS(B789:J789),788,"")</f>
        <v>0</v>
      </c>
      <c r="D789" s="1">
        <f>IF(B789="", "", "m")</f>
        <v>0</v>
      </c>
      <c r="F789" s="1">
        <f>IF(B789="", "", "air")</f>
        <v>0</v>
      </c>
      <c r="G789" s="1">
        <f>IF(B789="", "", "air")</f>
        <v>0</v>
      </c>
      <c r="H789" s="1">
        <f>IF(B789="", "", "air")</f>
        <v>0</v>
      </c>
      <c r="I789" s="1">
        <f>IF(B789="", "", "air metagenome")</f>
        <v>0</v>
      </c>
      <c r="J789" s="1">
        <f>IF(B789="", "", "655179")</f>
        <v>0</v>
      </c>
    </row>
    <row r="790" spans="1:10">
      <c r="A790">
        <f>IF(COUNTBLANK(B790:J790)&lt;&gt;COLUMNS(B790:J790),789,"")</f>
        <v>0</v>
      </c>
      <c r="D790" s="1">
        <f>IF(B790="", "", "m")</f>
        <v>0</v>
      </c>
      <c r="F790" s="1">
        <f>IF(B790="", "", "air")</f>
        <v>0</v>
      </c>
      <c r="G790" s="1">
        <f>IF(B790="", "", "air")</f>
        <v>0</v>
      </c>
      <c r="H790" s="1">
        <f>IF(B790="", "", "air")</f>
        <v>0</v>
      </c>
      <c r="I790" s="1">
        <f>IF(B790="", "", "air metagenome")</f>
        <v>0</v>
      </c>
      <c r="J790" s="1">
        <f>IF(B790="", "", "655179")</f>
        <v>0</v>
      </c>
    </row>
    <row r="791" spans="1:10">
      <c r="A791">
        <f>IF(COUNTBLANK(B791:J791)&lt;&gt;COLUMNS(B791:J791),790,"")</f>
        <v>0</v>
      </c>
      <c r="D791" s="1">
        <f>IF(B791="", "", "m")</f>
        <v>0</v>
      </c>
      <c r="F791" s="1">
        <f>IF(B791="", "", "air")</f>
        <v>0</v>
      </c>
      <c r="G791" s="1">
        <f>IF(B791="", "", "air")</f>
        <v>0</v>
      </c>
      <c r="H791" s="1">
        <f>IF(B791="", "", "air")</f>
        <v>0</v>
      </c>
      <c r="I791" s="1">
        <f>IF(B791="", "", "air metagenome")</f>
        <v>0</v>
      </c>
      <c r="J791" s="1">
        <f>IF(B791="", "", "655179")</f>
        <v>0</v>
      </c>
    </row>
    <row r="792" spans="1:10">
      <c r="A792">
        <f>IF(COUNTBLANK(B792:J792)&lt;&gt;COLUMNS(B792:J792),791,"")</f>
        <v>0</v>
      </c>
      <c r="D792" s="1">
        <f>IF(B792="", "", "m")</f>
        <v>0</v>
      </c>
      <c r="F792" s="1">
        <f>IF(B792="", "", "air")</f>
        <v>0</v>
      </c>
      <c r="G792" s="1">
        <f>IF(B792="", "", "air")</f>
        <v>0</v>
      </c>
      <c r="H792" s="1">
        <f>IF(B792="", "", "air")</f>
        <v>0</v>
      </c>
      <c r="I792" s="1">
        <f>IF(B792="", "", "air metagenome")</f>
        <v>0</v>
      </c>
      <c r="J792" s="1">
        <f>IF(B792="", "", "655179")</f>
        <v>0</v>
      </c>
    </row>
    <row r="793" spans="1:10">
      <c r="A793">
        <f>IF(COUNTBLANK(B793:J793)&lt;&gt;COLUMNS(B793:J793),792,"")</f>
        <v>0</v>
      </c>
      <c r="D793" s="1">
        <f>IF(B793="", "", "m")</f>
        <v>0</v>
      </c>
      <c r="F793" s="1">
        <f>IF(B793="", "", "air")</f>
        <v>0</v>
      </c>
      <c r="G793" s="1">
        <f>IF(B793="", "", "air")</f>
        <v>0</v>
      </c>
      <c r="H793" s="1">
        <f>IF(B793="", "", "air")</f>
        <v>0</v>
      </c>
      <c r="I793" s="1">
        <f>IF(B793="", "", "air metagenome")</f>
        <v>0</v>
      </c>
      <c r="J793" s="1">
        <f>IF(B793="", "", "655179")</f>
        <v>0</v>
      </c>
    </row>
    <row r="794" spans="1:10">
      <c r="A794">
        <f>IF(COUNTBLANK(B794:J794)&lt;&gt;COLUMNS(B794:J794),793,"")</f>
        <v>0</v>
      </c>
      <c r="D794" s="1">
        <f>IF(B794="", "", "m")</f>
        <v>0</v>
      </c>
      <c r="F794" s="1">
        <f>IF(B794="", "", "air")</f>
        <v>0</v>
      </c>
      <c r="G794" s="1">
        <f>IF(B794="", "", "air")</f>
        <v>0</v>
      </c>
      <c r="H794" s="1">
        <f>IF(B794="", "", "air")</f>
        <v>0</v>
      </c>
      <c r="I794" s="1">
        <f>IF(B794="", "", "air metagenome")</f>
        <v>0</v>
      </c>
      <c r="J794" s="1">
        <f>IF(B794="", "", "655179")</f>
        <v>0</v>
      </c>
    </row>
    <row r="795" spans="1:10">
      <c r="A795">
        <f>IF(COUNTBLANK(B795:J795)&lt;&gt;COLUMNS(B795:J795),794,"")</f>
        <v>0</v>
      </c>
      <c r="D795" s="1">
        <f>IF(B795="", "", "m")</f>
        <v>0</v>
      </c>
      <c r="F795" s="1">
        <f>IF(B795="", "", "air")</f>
        <v>0</v>
      </c>
      <c r="G795" s="1">
        <f>IF(B795="", "", "air")</f>
        <v>0</v>
      </c>
      <c r="H795" s="1">
        <f>IF(B795="", "", "air")</f>
        <v>0</v>
      </c>
      <c r="I795" s="1">
        <f>IF(B795="", "", "air metagenome")</f>
        <v>0</v>
      </c>
      <c r="J795" s="1">
        <f>IF(B795="", "", "655179")</f>
        <v>0</v>
      </c>
    </row>
    <row r="796" spans="1:10">
      <c r="A796">
        <f>IF(COUNTBLANK(B796:J796)&lt;&gt;COLUMNS(B796:J796),795,"")</f>
        <v>0</v>
      </c>
      <c r="D796" s="1">
        <f>IF(B796="", "", "m")</f>
        <v>0</v>
      </c>
      <c r="F796" s="1">
        <f>IF(B796="", "", "air")</f>
        <v>0</v>
      </c>
      <c r="G796" s="1">
        <f>IF(B796="", "", "air")</f>
        <v>0</v>
      </c>
      <c r="H796" s="1">
        <f>IF(B796="", "", "air")</f>
        <v>0</v>
      </c>
      <c r="I796" s="1">
        <f>IF(B796="", "", "air metagenome")</f>
        <v>0</v>
      </c>
      <c r="J796" s="1">
        <f>IF(B796="", "", "655179")</f>
        <v>0</v>
      </c>
    </row>
    <row r="797" spans="1:10">
      <c r="A797">
        <f>IF(COUNTBLANK(B797:J797)&lt;&gt;COLUMNS(B797:J797),796,"")</f>
        <v>0</v>
      </c>
      <c r="D797" s="1">
        <f>IF(B797="", "", "m")</f>
        <v>0</v>
      </c>
      <c r="F797" s="1">
        <f>IF(B797="", "", "air")</f>
        <v>0</v>
      </c>
      <c r="G797" s="1">
        <f>IF(B797="", "", "air")</f>
        <v>0</v>
      </c>
      <c r="H797" s="1">
        <f>IF(B797="", "", "air")</f>
        <v>0</v>
      </c>
      <c r="I797" s="1">
        <f>IF(B797="", "", "air metagenome")</f>
        <v>0</v>
      </c>
      <c r="J797" s="1">
        <f>IF(B797="", "", "655179")</f>
        <v>0</v>
      </c>
    </row>
    <row r="798" spans="1:10">
      <c r="A798">
        <f>IF(COUNTBLANK(B798:J798)&lt;&gt;COLUMNS(B798:J798),797,"")</f>
        <v>0</v>
      </c>
      <c r="D798" s="1">
        <f>IF(B798="", "", "m")</f>
        <v>0</v>
      </c>
      <c r="F798" s="1">
        <f>IF(B798="", "", "air")</f>
        <v>0</v>
      </c>
      <c r="G798" s="1">
        <f>IF(B798="", "", "air")</f>
        <v>0</v>
      </c>
      <c r="H798" s="1">
        <f>IF(B798="", "", "air")</f>
        <v>0</v>
      </c>
      <c r="I798" s="1">
        <f>IF(B798="", "", "air metagenome")</f>
        <v>0</v>
      </c>
      <c r="J798" s="1">
        <f>IF(B798="", "", "655179")</f>
        <v>0</v>
      </c>
    </row>
    <row r="799" spans="1:10">
      <c r="A799">
        <f>IF(COUNTBLANK(B799:J799)&lt;&gt;COLUMNS(B799:J799),798,"")</f>
        <v>0</v>
      </c>
      <c r="D799" s="1">
        <f>IF(B799="", "", "m")</f>
        <v>0</v>
      </c>
      <c r="F799" s="1">
        <f>IF(B799="", "", "air")</f>
        <v>0</v>
      </c>
      <c r="G799" s="1">
        <f>IF(B799="", "", "air")</f>
        <v>0</v>
      </c>
      <c r="H799" s="1">
        <f>IF(B799="", "", "air")</f>
        <v>0</v>
      </c>
      <c r="I799" s="1">
        <f>IF(B799="", "", "air metagenome")</f>
        <v>0</v>
      </c>
      <c r="J799" s="1">
        <f>IF(B799="", "", "655179")</f>
        <v>0</v>
      </c>
    </row>
    <row r="800" spans="1:10">
      <c r="A800">
        <f>IF(COUNTBLANK(B800:J800)&lt;&gt;COLUMNS(B800:J800),799,"")</f>
        <v>0</v>
      </c>
      <c r="D800" s="1">
        <f>IF(B800="", "", "m")</f>
        <v>0</v>
      </c>
      <c r="F800" s="1">
        <f>IF(B800="", "", "air")</f>
        <v>0</v>
      </c>
      <c r="G800" s="1">
        <f>IF(B800="", "", "air")</f>
        <v>0</v>
      </c>
      <c r="H800" s="1">
        <f>IF(B800="", "", "air")</f>
        <v>0</v>
      </c>
      <c r="I800" s="1">
        <f>IF(B800="", "", "air metagenome")</f>
        <v>0</v>
      </c>
      <c r="J800" s="1">
        <f>IF(B800="", "", "655179")</f>
        <v>0</v>
      </c>
    </row>
    <row r="801" spans="1:10">
      <c r="A801">
        <f>IF(COUNTBLANK(B801:J801)&lt;&gt;COLUMNS(B801:J801),800,"")</f>
        <v>0</v>
      </c>
      <c r="D801" s="1">
        <f>IF(B801="", "", "m")</f>
        <v>0</v>
      </c>
      <c r="F801" s="1">
        <f>IF(B801="", "", "air")</f>
        <v>0</v>
      </c>
      <c r="G801" s="1">
        <f>IF(B801="", "", "air")</f>
        <v>0</v>
      </c>
      <c r="H801" s="1">
        <f>IF(B801="", "", "air")</f>
        <v>0</v>
      </c>
      <c r="I801" s="1">
        <f>IF(B801="", "", "air metagenome")</f>
        <v>0</v>
      </c>
      <c r="J801" s="1">
        <f>IF(B801="", "", "655179")</f>
        <v>0</v>
      </c>
    </row>
    <row r="802" spans="1:10">
      <c r="A802">
        <f>IF(COUNTBLANK(B802:J802)&lt;&gt;COLUMNS(B802:J802),801,"")</f>
        <v>0</v>
      </c>
      <c r="D802" s="1">
        <f>IF(B802="", "", "m")</f>
        <v>0</v>
      </c>
      <c r="F802" s="1">
        <f>IF(B802="", "", "air")</f>
        <v>0</v>
      </c>
      <c r="G802" s="1">
        <f>IF(B802="", "", "air")</f>
        <v>0</v>
      </c>
      <c r="H802" s="1">
        <f>IF(B802="", "", "air")</f>
        <v>0</v>
      </c>
      <c r="I802" s="1">
        <f>IF(B802="", "", "air metagenome")</f>
        <v>0</v>
      </c>
      <c r="J802" s="1">
        <f>IF(B802="", "", "655179")</f>
        <v>0</v>
      </c>
    </row>
    <row r="803" spans="1:10">
      <c r="A803">
        <f>IF(COUNTBLANK(B803:J803)&lt;&gt;COLUMNS(B803:J803),802,"")</f>
        <v>0</v>
      </c>
      <c r="D803" s="1">
        <f>IF(B803="", "", "m")</f>
        <v>0</v>
      </c>
      <c r="F803" s="1">
        <f>IF(B803="", "", "air")</f>
        <v>0</v>
      </c>
      <c r="G803" s="1">
        <f>IF(B803="", "", "air")</f>
        <v>0</v>
      </c>
      <c r="H803" s="1">
        <f>IF(B803="", "", "air")</f>
        <v>0</v>
      </c>
      <c r="I803" s="1">
        <f>IF(B803="", "", "air metagenome")</f>
        <v>0</v>
      </c>
      <c r="J803" s="1">
        <f>IF(B803="", "", "655179")</f>
        <v>0</v>
      </c>
    </row>
    <row r="804" spans="1:10">
      <c r="A804">
        <f>IF(COUNTBLANK(B804:J804)&lt;&gt;COLUMNS(B804:J804),803,"")</f>
        <v>0</v>
      </c>
      <c r="D804" s="1">
        <f>IF(B804="", "", "m")</f>
        <v>0</v>
      </c>
      <c r="F804" s="1">
        <f>IF(B804="", "", "air")</f>
        <v>0</v>
      </c>
      <c r="G804" s="1">
        <f>IF(B804="", "", "air")</f>
        <v>0</v>
      </c>
      <c r="H804" s="1">
        <f>IF(B804="", "", "air")</f>
        <v>0</v>
      </c>
      <c r="I804" s="1">
        <f>IF(B804="", "", "air metagenome")</f>
        <v>0</v>
      </c>
      <c r="J804" s="1">
        <f>IF(B804="", "", "655179")</f>
        <v>0</v>
      </c>
    </row>
    <row r="805" spans="1:10">
      <c r="A805">
        <f>IF(COUNTBLANK(B805:J805)&lt;&gt;COLUMNS(B805:J805),804,"")</f>
        <v>0</v>
      </c>
      <c r="D805" s="1">
        <f>IF(B805="", "", "m")</f>
        <v>0</v>
      </c>
      <c r="F805" s="1">
        <f>IF(B805="", "", "air")</f>
        <v>0</v>
      </c>
      <c r="G805" s="1">
        <f>IF(B805="", "", "air")</f>
        <v>0</v>
      </c>
      <c r="H805" s="1">
        <f>IF(B805="", "", "air")</f>
        <v>0</v>
      </c>
      <c r="I805" s="1">
        <f>IF(B805="", "", "air metagenome")</f>
        <v>0</v>
      </c>
      <c r="J805" s="1">
        <f>IF(B805="", "", "655179")</f>
        <v>0</v>
      </c>
    </row>
    <row r="806" spans="1:10">
      <c r="A806">
        <f>IF(COUNTBLANK(B806:J806)&lt;&gt;COLUMNS(B806:J806),805,"")</f>
        <v>0</v>
      </c>
      <c r="D806" s="1">
        <f>IF(B806="", "", "m")</f>
        <v>0</v>
      </c>
      <c r="F806" s="1">
        <f>IF(B806="", "", "air")</f>
        <v>0</v>
      </c>
      <c r="G806" s="1">
        <f>IF(B806="", "", "air")</f>
        <v>0</v>
      </c>
      <c r="H806" s="1">
        <f>IF(B806="", "", "air")</f>
        <v>0</v>
      </c>
      <c r="I806" s="1">
        <f>IF(B806="", "", "air metagenome")</f>
        <v>0</v>
      </c>
      <c r="J806" s="1">
        <f>IF(B806="", "", "655179")</f>
        <v>0</v>
      </c>
    </row>
    <row r="807" spans="1:10">
      <c r="A807">
        <f>IF(COUNTBLANK(B807:J807)&lt;&gt;COLUMNS(B807:J807),806,"")</f>
        <v>0</v>
      </c>
      <c r="D807" s="1">
        <f>IF(B807="", "", "m")</f>
        <v>0</v>
      </c>
      <c r="F807" s="1">
        <f>IF(B807="", "", "air")</f>
        <v>0</v>
      </c>
      <c r="G807" s="1">
        <f>IF(B807="", "", "air")</f>
        <v>0</v>
      </c>
      <c r="H807" s="1">
        <f>IF(B807="", "", "air")</f>
        <v>0</v>
      </c>
      <c r="I807" s="1">
        <f>IF(B807="", "", "air metagenome")</f>
        <v>0</v>
      </c>
      <c r="J807" s="1">
        <f>IF(B807="", "", "655179")</f>
        <v>0</v>
      </c>
    </row>
    <row r="808" spans="1:10">
      <c r="A808">
        <f>IF(COUNTBLANK(B808:J808)&lt;&gt;COLUMNS(B808:J808),807,"")</f>
        <v>0</v>
      </c>
      <c r="D808" s="1">
        <f>IF(B808="", "", "m")</f>
        <v>0</v>
      </c>
      <c r="F808" s="1">
        <f>IF(B808="", "", "air")</f>
        <v>0</v>
      </c>
      <c r="G808" s="1">
        <f>IF(B808="", "", "air")</f>
        <v>0</v>
      </c>
      <c r="H808" s="1">
        <f>IF(B808="", "", "air")</f>
        <v>0</v>
      </c>
      <c r="I808" s="1">
        <f>IF(B808="", "", "air metagenome")</f>
        <v>0</v>
      </c>
      <c r="J808" s="1">
        <f>IF(B808="", "", "655179")</f>
        <v>0</v>
      </c>
    </row>
    <row r="809" spans="1:10">
      <c r="A809">
        <f>IF(COUNTBLANK(B809:J809)&lt;&gt;COLUMNS(B809:J809),808,"")</f>
        <v>0</v>
      </c>
      <c r="D809" s="1">
        <f>IF(B809="", "", "m")</f>
        <v>0</v>
      </c>
      <c r="F809" s="1">
        <f>IF(B809="", "", "air")</f>
        <v>0</v>
      </c>
      <c r="G809" s="1">
        <f>IF(B809="", "", "air")</f>
        <v>0</v>
      </c>
      <c r="H809" s="1">
        <f>IF(B809="", "", "air")</f>
        <v>0</v>
      </c>
      <c r="I809" s="1">
        <f>IF(B809="", "", "air metagenome")</f>
        <v>0</v>
      </c>
      <c r="J809" s="1">
        <f>IF(B809="", "", "655179")</f>
        <v>0</v>
      </c>
    </row>
    <row r="810" spans="1:10">
      <c r="A810">
        <f>IF(COUNTBLANK(B810:J810)&lt;&gt;COLUMNS(B810:J810),809,"")</f>
        <v>0</v>
      </c>
      <c r="D810" s="1">
        <f>IF(B810="", "", "m")</f>
        <v>0</v>
      </c>
      <c r="F810" s="1">
        <f>IF(B810="", "", "air")</f>
        <v>0</v>
      </c>
      <c r="G810" s="1">
        <f>IF(B810="", "", "air")</f>
        <v>0</v>
      </c>
      <c r="H810" s="1">
        <f>IF(B810="", "", "air")</f>
        <v>0</v>
      </c>
      <c r="I810" s="1">
        <f>IF(B810="", "", "air metagenome")</f>
        <v>0</v>
      </c>
      <c r="J810" s="1">
        <f>IF(B810="", "", "655179")</f>
        <v>0</v>
      </c>
    </row>
    <row r="811" spans="1:10">
      <c r="A811">
        <f>IF(COUNTBLANK(B811:J811)&lt;&gt;COLUMNS(B811:J811),810,"")</f>
        <v>0</v>
      </c>
      <c r="D811" s="1">
        <f>IF(B811="", "", "m")</f>
        <v>0</v>
      </c>
      <c r="F811" s="1">
        <f>IF(B811="", "", "air")</f>
        <v>0</v>
      </c>
      <c r="G811" s="1">
        <f>IF(B811="", "", "air")</f>
        <v>0</v>
      </c>
      <c r="H811" s="1">
        <f>IF(B811="", "", "air")</f>
        <v>0</v>
      </c>
      <c r="I811" s="1">
        <f>IF(B811="", "", "air metagenome")</f>
        <v>0</v>
      </c>
      <c r="J811" s="1">
        <f>IF(B811="", "", "655179")</f>
        <v>0</v>
      </c>
    </row>
    <row r="812" spans="1:10">
      <c r="A812">
        <f>IF(COUNTBLANK(B812:J812)&lt;&gt;COLUMNS(B812:J812),811,"")</f>
        <v>0</v>
      </c>
      <c r="D812" s="1">
        <f>IF(B812="", "", "m")</f>
        <v>0</v>
      </c>
      <c r="F812" s="1">
        <f>IF(B812="", "", "air")</f>
        <v>0</v>
      </c>
      <c r="G812" s="1">
        <f>IF(B812="", "", "air")</f>
        <v>0</v>
      </c>
      <c r="H812" s="1">
        <f>IF(B812="", "", "air")</f>
        <v>0</v>
      </c>
      <c r="I812" s="1">
        <f>IF(B812="", "", "air metagenome")</f>
        <v>0</v>
      </c>
      <c r="J812" s="1">
        <f>IF(B812="", "", "655179")</f>
        <v>0</v>
      </c>
    </row>
    <row r="813" spans="1:10">
      <c r="A813">
        <f>IF(COUNTBLANK(B813:J813)&lt;&gt;COLUMNS(B813:J813),812,"")</f>
        <v>0</v>
      </c>
      <c r="D813" s="1">
        <f>IF(B813="", "", "m")</f>
        <v>0</v>
      </c>
      <c r="F813" s="1">
        <f>IF(B813="", "", "air")</f>
        <v>0</v>
      </c>
      <c r="G813" s="1">
        <f>IF(B813="", "", "air")</f>
        <v>0</v>
      </c>
      <c r="H813" s="1">
        <f>IF(B813="", "", "air")</f>
        <v>0</v>
      </c>
      <c r="I813" s="1">
        <f>IF(B813="", "", "air metagenome")</f>
        <v>0</v>
      </c>
      <c r="J813" s="1">
        <f>IF(B813="", "", "655179")</f>
        <v>0</v>
      </c>
    </row>
    <row r="814" spans="1:10">
      <c r="A814">
        <f>IF(COUNTBLANK(B814:J814)&lt;&gt;COLUMNS(B814:J814),813,"")</f>
        <v>0</v>
      </c>
      <c r="D814" s="1">
        <f>IF(B814="", "", "m")</f>
        <v>0</v>
      </c>
      <c r="F814" s="1">
        <f>IF(B814="", "", "air")</f>
        <v>0</v>
      </c>
      <c r="G814" s="1">
        <f>IF(B814="", "", "air")</f>
        <v>0</v>
      </c>
      <c r="H814" s="1">
        <f>IF(B814="", "", "air")</f>
        <v>0</v>
      </c>
      <c r="I814" s="1">
        <f>IF(B814="", "", "air metagenome")</f>
        <v>0</v>
      </c>
      <c r="J814" s="1">
        <f>IF(B814="", "", "655179")</f>
        <v>0</v>
      </c>
    </row>
    <row r="815" spans="1:10">
      <c r="A815">
        <f>IF(COUNTBLANK(B815:J815)&lt;&gt;COLUMNS(B815:J815),814,"")</f>
        <v>0</v>
      </c>
      <c r="D815" s="1">
        <f>IF(B815="", "", "m")</f>
        <v>0</v>
      </c>
      <c r="F815" s="1">
        <f>IF(B815="", "", "air")</f>
        <v>0</v>
      </c>
      <c r="G815" s="1">
        <f>IF(B815="", "", "air")</f>
        <v>0</v>
      </c>
      <c r="H815" s="1">
        <f>IF(B815="", "", "air")</f>
        <v>0</v>
      </c>
      <c r="I815" s="1">
        <f>IF(B815="", "", "air metagenome")</f>
        <v>0</v>
      </c>
      <c r="J815" s="1">
        <f>IF(B815="", "", "655179")</f>
        <v>0</v>
      </c>
    </row>
    <row r="816" spans="1:10">
      <c r="A816">
        <f>IF(COUNTBLANK(B816:J816)&lt;&gt;COLUMNS(B816:J816),815,"")</f>
        <v>0</v>
      </c>
      <c r="D816" s="1">
        <f>IF(B816="", "", "m")</f>
        <v>0</v>
      </c>
      <c r="F816" s="1">
        <f>IF(B816="", "", "air")</f>
        <v>0</v>
      </c>
      <c r="G816" s="1">
        <f>IF(B816="", "", "air")</f>
        <v>0</v>
      </c>
      <c r="H816" s="1">
        <f>IF(B816="", "", "air")</f>
        <v>0</v>
      </c>
      <c r="I816" s="1">
        <f>IF(B816="", "", "air metagenome")</f>
        <v>0</v>
      </c>
      <c r="J816" s="1">
        <f>IF(B816="", "", "655179")</f>
        <v>0</v>
      </c>
    </row>
    <row r="817" spans="1:10">
      <c r="A817">
        <f>IF(COUNTBLANK(B817:J817)&lt;&gt;COLUMNS(B817:J817),816,"")</f>
        <v>0</v>
      </c>
      <c r="D817" s="1">
        <f>IF(B817="", "", "m")</f>
        <v>0</v>
      </c>
      <c r="F817" s="1">
        <f>IF(B817="", "", "air")</f>
        <v>0</v>
      </c>
      <c r="G817" s="1">
        <f>IF(B817="", "", "air")</f>
        <v>0</v>
      </c>
      <c r="H817" s="1">
        <f>IF(B817="", "", "air")</f>
        <v>0</v>
      </c>
      <c r="I817" s="1">
        <f>IF(B817="", "", "air metagenome")</f>
        <v>0</v>
      </c>
      <c r="J817" s="1">
        <f>IF(B817="", "", "655179")</f>
        <v>0</v>
      </c>
    </row>
    <row r="818" spans="1:10">
      <c r="A818">
        <f>IF(COUNTBLANK(B818:J818)&lt;&gt;COLUMNS(B818:J818),817,"")</f>
        <v>0</v>
      </c>
      <c r="D818" s="1">
        <f>IF(B818="", "", "m")</f>
        <v>0</v>
      </c>
      <c r="F818" s="1">
        <f>IF(B818="", "", "air")</f>
        <v>0</v>
      </c>
      <c r="G818" s="1">
        <f>IF(B818="", "", "air")</f>
        <v>0</v>
      </c>
      <c r="H818" s="1">
        <f>IF(B818="", "", "air")</f>
        <v>0</v>
      </c>
      <c r="I818" s="1">
        <f>IF(B818="", "", "air metagenome")</f>
        <v>0</v>
      </c>
      <c r="J818" s="1">
        <f>IF(B818="", "", "655179")</f>
        <v>0</v>
      </c>
    </row>
    <row r="819" spans="1:10">
      <c r="A819">
        <f>IF(COUNTBLANK(B819:J819)&lt;&gt;COLUMNS(B819:J819),818,"")</f>
        <v>0</v>
      </c>
      <c r="D819" s="1">
        <f>IF(B819="", "", "m")</f>
        <v>0</v>
      </c>
      <c r="F819" s="1">
        <f>IF(B819="", "", "air")</f>
        <v>0</v>
      </c>
      <c r="G819" s="1">
        <f>IF(B819="", "", "air")</f>
        <v>0</v>
      </c>
      <c r="H819" s="1">
        <f>IF(B819="", "", "air")</f>
        <v>0</v>
      </c>
      <c r="I819" s="1">
        <f>IF(B819="", "", "air metagenome")</f>
        <v>0</v>
      </c>
      <c r="J819" s="1">
        <f>IF(B819="", "", "655179")</f>
        <v>0</v>
      </c>
    </row>
    <row r="820" spans="1:10">
      <c r="A820">
        <f>IF(COUNTBLANK(B820:J820)&lt;&gt;COLUMNS(B820:J820),819,"")</f>
        <v>0</v>
      </c>
      <c r="D820" s="1">
        <f>IF(B820="", "", "m")</f>
        <v>0</v>
      </c>
      <c r="F820" s="1">
        <f>IF(B820="", "", "air")</f>
        <v>0</v>
      </c>
      <c r="G820" s="1">
        <f>IF(B820="", "", "air")</f>
        <v>0</v>
      </c>
      <c r="H820" s="1">
        <f>IF(B820="", "", "air")</f>
        <v>0</v>
      </c>
      <c r="I820" s="1">
        <f>IF(B820="", "", "air metagenome")</f>
        <v>0</v>
      </c>
      <c r="J820" s="1">
        <f>IF(B820="", "", "655179")</f>
        <v>0</v>
      </c>
    </row>
    <row r="821" spans="1:10">
      <c r="A821">
        <f>IF(COUNTBLANK(B821:J821)&lt;&gt;COLUMNS(B821:J821),820,"")</f>
        <v>0</v>
      </c>
      <c r="D821" s="1">
        <f>IF(B821="", "", "m")</f>
        <v>0</v>
      </c>
      <c r="F821" s="1">
        <f>IF(B821="", "", "air")</f>
        <v>0</v>
      </c>
      <c r="G821" s="1">
        <f>IF(B821="", "", "air")</f>
        <v>0</v>
      </c>
      <c r="H821" s="1">
        <f>IF(B821="", "", "air")</f>
        <v>0</v>
      </c>
      <c r="I821" s="1">
        <f>IF(B821="", "", "air metagenome")</f>
        <v>0</v>
      </c>
      <c r="J821" s="1">
        <f>IF(B821="", "", "655179")</f>
        <v>0</v>
      </c>
    </row>
    <row r="822" spans="1:10">
      <c r="A822">
        <f>IF(COUNTBLANK(B822:J822)&lt;&gt;COLUMNS(B822:J822),821,"")</f>
        <v>0</v>
      </c>
      <c r="D822" s="1">
        <f>IF(B822="", "", "m")</f>
        <v>0</v>
      </c>
      <c r="F822" s="1">
        <f>IF(B822="", "", "air")</f>
        <v>0</v>
      </c>
      <c r="G822" s="1">
        <f>IF(B822="", "", "air")</f>
        <v>0</v>
      </c>
      <c r="H822" s="1">
        <f>IF(B822="", "", "air")</f>
        <v>0</v>
      </c>
      <c r="I822" s="1">
        <f>IF(B822="", "", "air metagenome")</f>
        <v>0</v>
      </c>
      <c r="J822" s="1">
        <f>IF(B822="", "", "655179")</f>
        <v>0</v>
      </c>
    </row>
    <row r="823" spans="1:10">
      <c r="A823">
        <f>IF(COUNTBLANK(B823:J823)&lt;&gt;COLUMNS(B823:J823),822,"")</f>
        <v>0</v>
      </c>
      <c r="D823" s="1">
        <f>IF(B823="", "", "m")</f>
        <v>0</v>
      </c>
      <c r="F823" s="1">
        <f>IF(B823="", "", "air")</f>
        <v>0</v>
      </c>
      <c r="G823" s="1">
        <f>IF(B823="", "", "air")</f>
        <v>0</v>
      </c>
      <c r="H823" s="1">
        <f>IF(B823="", "", "air")</f>
        <v>0</v>
      </c>
      <c r="I823" s="1">
        <f>IF(B823="", "", "air metagenome")</f>
        <v>0</v>
      </c>
      <c r="J823" s="1">
        <f>IF(B823="", "", "655179")</f>
        <v>0</v>
      </c>
    </row>
    <row r="824" spans="1:10">
      <c r="A824">
        <f>IF(COUNTBLANK(B824:J824)&lt;&gt;COLUMNS(B824:J824),823,"")</f>
        <v>0</v>
      </c>
      <c r="D824" s="1">
        <f>IF(B824="", "", "m")</f>
        <v>0</v>
      </c>
      <c r="F824" s="1">
        <f>IF(B824="", "", "air")</f>
        <v>0</v>
      </c>
      <c r="G824" s="1">
        <f>IF(B824="", "", "air")</f>
        <v>0</v>
      </c>
      <c r="H824" s="1">
        <f>IF(B824="", "", "air")</f>
        <v>0</v>
      </c>
      <c r="I824" s="1">
        <f>IF(B824="", "", "air metagenome")</f>
        <v>0</v>
      </c>
      <c r="J824" s="1">
        <f>IF(B824="", "", "655179")</f>
        <v>0</v>
      </c>
    </row>
    <row r="825" spans="1:10">
      <c r="A825">
        <f>IF(COUNTBLANK(B825:J825)&lt;&gt;COLUMNS(B825:J825),824,"")</f>
        <v>0</v>
      </c>
      <c r="D825" s="1">
        <f>IF(B825="", "", "m")</f>
        <v>0</v>
      </c>
      <c r="F825" s="1">
        <f>IF(B825="", "", "air")</f>
        <v>0</v>
      </c>
      <c r="G825" s="1">
        <f>IF(B825="", "", "air")</f>
        <v>0</v>
      </c>
      <c r="H825" s="1">
        <f>IF(B825="", "", "air")</f>
        <v>0</v>
      </c>
      <c r="I825" s="1">
        <f>IF(B825="", "", "air metagenome")</f>
        <v>0</v>
      </c>
      <c r="J825" s="1">
        <f>IF(B825="", "", "655179")</f>
        <v>0</v>
      </c>
    </row>
    <row r="826" spans="1:10">
      <c r="A826">
        <f>IF(COUNTBLANK(B826:J826)&lt;&gt;COLUMNS(B826:J826),825,"")</f>
        <v>0</v>
      </c>
      <c r="D826" s="1">
        <f>IF(B826="", "", "m")</f>
        <v>0</v>
      </c>
      <c r="F826" s="1">
        <f>IF(B826="", "", "air")</f>
        <v>0</v>
      </c>
      <c r="G826" s="1">
        <f>IF(B826="", "", "air")</f>
        <v>0</v>
      </c>
      <c r="H826" s="1">
        <f>IF(B826="", "", "air")</f>
        <v>0</v>
      </c>
      <c r="I826" s="1">
        <f>IF(B826="", "", "air metagenome")</f>
        <v>0</v>
      </c>
      <c r="J826" s="1">
        <f>IF(B826="", "", "655179")</f>
        <v>0</v>
      </c>
    </row>
    <row r="827" spans="1:10">
      <c r="A827">
        <f>IF(COUNTBLANK(B827:J827)&lt;&gt;COLUMNS(B827:J827),826,"")</f>
        <v>0</v>
      </c>
      <c r="D827" s="1">
        <f>IF(B827="", "", "m")</f>
        <v>0</v>
      </c>
      <c r="F827" s="1">
        <f>IF(B827="", "", "air")</f>
        <v>0</v>
      </c>
      <c r="G827" s="1">
        <f>IF(B827="", "", "air")</f>
        <v>0</v>
      </c>
      <c r="H827" s="1">
        <f>IF(B827="", "", "air")</f>
        <v>0</v>
      </c>
      <c r="I827" s="1">
        <f>IF(B827="", "", "air metagenome")</f>
        <v>0</v>
      </c>
      <c r="J827" s="1">
        <f>IF(B827="", "", "655179")</f>
        <v>0</v>
      </c>
    </row>
    <row r="828" spans="1:10">
      <c r="A828">
        <f>IF(COUNTBLANK(B828:J828)&lt;&gt;COLUMNS(B828:J828),827,"")</f>
        <v>0</v>
      </c>
      <c r="D828" s="1">
        <f>IF(B828="", "", "m")</f>
        <v>0</v>
      </c>
      <c r="F828" s="1">
        <f>IF(B828="", "", "air")</f>
        <v>0</v>
      </c>
      <c r="G828" s="1">
        <f>IF(B828="", "", "air")</f>
        <v>0</v>
      </c>
      <c r="H828" s="1">
        <f>IF(B828="", "", "air")</f>
        <v>0</v>
      </c>
      <c r="I828" s="1">
        <f>IF(B828="", "", "air metagenome")</f>
        <v>0</v>
      </c>
      <c r="J828" s="1">
        <f>IF(B828="", "", "655179")</f>
        <v>0</v>
      </c>
    </row>
    <row r="829" spans="1:10">
      <c r="A829">
        <f>IF(COUNTBLANK(B829:J829)&lt;&gt;COLUMNS(B829:J829),828,"")</f>
        <v>0</v>
      </c>
      <c r="D829" s="1">
        <f>IF(B829="", "", "m")</f>
        <v>0</v>
      </c>
      <c r="F829" s="1">
        <f>IF(B829="", "", "air")</f>
        <v>0</v>
      </c>
      <c r="G829" s="1">
        <f>IF(B829="", "", "air")</f>
        <v>0</v>
      </c>
      <c r="H829" s="1">
        <f>IF(B829="", "", "air")</f>
        <v>0</v>
      </c>
      <c r="I829" s="1">
        <f>IF(B829="", "", "air metagenome")</f>
        <v>0</v>
      </c>
      <c r="J829" s="1">
        <f>IF(B829="", "", "655179")</f>
        <v>0</v>
      </c>
    </row>
    <row r="830" spans="1:10">
      <c r="A830">
        <f>IF(COUNTBLANK(B830:J830)&lt;&gt;COLUMNS(B830:J830),829,"")</f>
        <v>0</v>
      </c>
      <c r="D830" s="1">
        <f>IF(B830="", "", "m")</f>
        <v>0</v>
      </c>
      <c r="F830" s="1">
        <f>IF(B830="", "", "air")</f>
        <v>0</v>
      </c>
      <c r="G830" s="1">
        <f>IF(B830="", "", "air")</f>
        <v>0</v>
      </c>
      <c r="H830" s="1">
        <f>IF(B830="", "", "air")</f>
        <v>0</v>
      </c>
      <c r="I830" s="1">
        <f>IF(B830="", "", "air metagenome")</f>
        <v>0</v>
      </c>
      <c r="J830" s="1">
        <f>IF(B830="", "", "655179")</f>
        <v>0</v>
      </c>
    </row>
    <row r="831" spans="1:10">
      <c r="A831">
        <f>IF(COUNTBLANK(B831:J831)&lt;&gt;COLUMNS(B831:J831),830,"")</f>
        <v>0</v>
      </c>
      <c r="D831" s="1">
        <f>IF(B831="", "", "m")</f>
        <v>0</v>
      </c>
      <c r="F831" s="1">
        <f>IF(B831="", "", "air")</f>
        <v>0</v>
      </c>
      <c r="G831" s="1">
        <f>IF(B831="", "", "air")</f>
        <v>0</v>
      </c>
      <c r="H831" s="1">
        <f>IF(B831="", "", "air")</f>
        <v>0</v>
      </c>
      <c r="I831" s="1">
        <f>IF(B831="", "", "air metagenome")</f>
        <v>0</v>
      </c>
      <c r="J831" s="1">
        <f>IF(B831="", "", "655179")</f>
        <v>0</v>
      </c>
    </row>
    <row r="832" spans="1:10">
      <c r="A832">
        <f>IF(COUNTBLANK(B832:J832)&lt;&gt;COLUMNS(B832:J832),831,"")</f>
        <v>0</v>
      </c>
      <c r="D832" s="1">
        <f>IF(B832="", "", "m")</f>
        <v>0</v>
      </c>
      <c r="F832" s="1">
        <f>IF(B832="", "", "air")</f>
        <v>0</v>
      </c>
      <c r="G832" s="1">
        <f>IF(B832="", "", "air")</f>
        <v>0</v>
      </c>
      <c r="H832" s="1">
        <f>IF(B832="", "", "air")</f>
        <v>0</v>
      </c>
      <c r="I832" s="1">
        <f>IF(B832="", "", "air metagenome")</f>
        <v>0</v>
      </c>
      <c r="J832" s="1">
        <f>IF(B832="", "", "655179")</f>
        <v>0</v>
      </c>
    </row>
    <row r="833" spans="1:10">
      <c r="A833">
        <f>IF(COUNTBLANK(B833:J833)&lt;&gt;COLUMNS(B833:J833),832,"")</f>
        <v>0</v>
      </c>
      <c r="D833" s="1">
        <f>IF(B833="", "", "m")</f>
        <v>0</v>
      </c>
      <c r="F833" s="1">
        <f>IF(B833="", "", "air")</f>
        <v>0</v>
      </c>
      <c r="G833" s="1">
        <f>IF(B833="", "", "air")</f>
        <v>0</v>
      </c>
      <c r="H833" s="1">
        <f>IF(B833="", "", "air")</f>
        <v>0</v>
      </c>
      <c r="I833" s="1">
        <f>IF(B833="", "", "air metagenome")</f>
        <v>0</v>
      </c>
      <c r="J833" s="1">
        <f>IF(B833="", "", "655179")</f>
        <v>0</v>
      </c>
    </row>
    <row r="834" spans="1:10">
      <c r="A834">
        <f>IF(COUNTBLANK(B834:J834)&lt;&gt;COLUMNS(B834:J834),833,"")</f>
        <v>0</v>
      </c>
      <c r="D834" s="1">
        <f>IF(B834="", "", "m")</f>
        <v>0</v>
      </c>
      <c r="F834" s="1">
        <f>IF(B834="", "", "air")</f>
        <v>0</v>
      </c>
      <c r="G834" s="1">
        <f>IF(B834="", "", "air")</f>
        <v>0</v>
      </c>
      <c r="H834" s="1">
        <f>IF(B834="", "", "air")</f>
        <v>0</v>
      </c>
      <c r="I834" s="1">
        <f>IF(B834="", "", "air metagenome")</f>
        <v>0</v>
      </c>
      <c r="J834" s="1">
        <f>IF(B834="", "", "655179")</f>
        <v>0</v>
      </c>
    </row>
    <row r="835" spans="1:10">
      <c r="A835">
        <f>IF(COUNTBLANK(B835:J835)&lt;&gt;COLUMNS(B835:J835),834,"")</f>
        <v>0</v>
      </c>
      <c r="D835" s="1">
        <f>IF(B835="", "", "m")</f>
        <v>0</v>
      </c>
      <c r="F835" s="1">
        <f>IF(B835="", "", "air")</f>
        <v>0</v>
      </c>
      <c r="G835" s="1">
        <f>IF(B835="", "", "air")</f>
        <v>0</v>
      </c>
      <c r="H835" s="1">
        <f>IF(B835="", "", "air")</f>
        <v>0</v>
      </c>
      <c r="I835" s="1">
        <f>IF(B835="", "", "air metagenome")</f>
        <v>0</v>
      </c>
      <c r="J835" s="1">
        <f>IF(B835="", "", "655179")</f>
        <v>0</v>
      </c>
    </row>
    <row r="836" spans="1:10">
      <c r="A836">
        <f>IF(COUNTBLANK(B836:J836)&lt;&gt;COLUMNS(B836:J836),835,"")</f>
        <v>0</v>
      </c>
      <c r="D836" s="1">
        <f>IF(B836="", "", "m")</f>
        <v>0</v>
      </c>
      <c r="F836" s="1">
        <f>IF(B836="", "", "air")</f>
        <v>0</v>
      </c>
      <c r="G836" s="1">
        <f>IF(B836="", "", "air")</f>
        <v>0</v>
      </c>
      <c r="H836" s="1">
        <f>IF(B836="", "", "air")</f>
        <v>0</v>
      </c>
      <c r="I836" s="1">
        <f>IF(B836="", "", "air metagenome")</f>
        <v>0</v>
      </c>
      <c r="J836" s="1">
        <f>IF(B836="", "", "655179")</f>
        <v>0</v>
      </c>
    </row>
    <row r="837" spans="1:10">
      <c r="A837">
        <f>IF(COUNTBLANK(B837:J837)&lt;&gt;COLUMNS(B837:J837),836,"")</f>
        <v>0</v>
      </c>
      <c r="D837" s="1">
        <f>IF(B837="", "", "m")</f>
        <v>0</v>
      </c>
      <c r="F837" s="1">
        <f>IF(B837="", "", "air")</f>
        <v>0</v>
      </c>
      <c r="G837" s="1">
        <f>IF(B837="", "", "air")</f>
        <v>0</v>
      </c>
      <c r="H837" s="1">
        <f>IF(B837="", "", "air")</f>
        <v>0</v>
      </c>
      <c r="I837" s="1">
        <f>IF(B837="", "", "air metagenome")</f>
        <v>0</v>
      </c>
      <c r="J837" s="1">
        <f>IF(B837="", "", "655179")</f>
        <v>0</v>
      </c>
    </row>
    <row r="838" spans="1:10">
      <c r="A838">
        <f>IF(COUNTBLANK(B838:J838)&lt;&gt;COLUMNS(B838:J838),837,"")</f>
        <v>0</v>
      </c>
      <c r="D838" s="1">
        <f>IF(B838="", "", "m")</f>
        <v>0</v>
      </c>
      <c r="F838" s="1">
        <f>IF(B838="", "", "air")</f>
        <v>0</v>
      </c>
      <c r="G838" s="1">
        <f>IF(B838="", "", "air")</f>
        <v>0</v>
      </c>
      <c r="H838" s="1">
        <f>IF(B838="", "", "air")</f>
        <v>0</v>
      </c>
      <c r="I838" s="1">
        <f>IF(B838="", "", "air metagenome")</f>
        <v>0</v>
      </c>
      <c r="J838" s="1">
        <f>IF(B838="", "", "655179")</f>
        <v>0</v>
      </c>
    </row>
    <row r="839" spans="1:10">
      <c r="A839">
        <f>IF(COUNTBLANK(B839:J839)&lt;&gt;COLUMNS(B839:J839),838,"")</f>
        <v>0</v>
      </c>
      <c r="D839" s="1">
        <f>IF(B839="", "", "m")</f>
        <v>0</v>
      </c>
      <c r="F839" s="1">
        <f>IF(B839="", "", "air")</f>
        <v>0</v>
      </c>
      <c r="G839" s="1">
        <f>IF(B839="", "", "air")</f>
        <v>0</v>
      </c>
      <c r="H839" s="1">
        <f>IF(B839="", "", "air")</f>
        <v>0</v>
      </c>
      <c r="I839" s="1">
        <f>IF(B839="", "", "air metagenome")</f>
        <v>0</v>
      </c>
      <c r="J839" s="1">
        <f>IF(B839="", "", "655179")</f>
        <v>0</v>
      </c>
    </row>
    <row r="840" spans="1:10">
      <c r="A840">
        <f>IF(COUNTBLANK(B840:J840)&lt;&gt;COLUMNS(B840:J840),839,"")</f>
        <v>0</v>
      </c>
      <c r="D840" s="1">
        <f>IF(B840="", "", "m")</f>
        <v>0</v>
      </c>
      <c r="F840" s="1">
        <f>IF(B840="", "", "air")</f>
        <v>0</v>
      </c>
      <c r="G840" s="1">
        <f>IF(B840="", "", "air")</f>
        <v>0</v>
      </c>
      <c r="H840" s="1">
        <f>IF(B840="", "", "air")</f>
        <v>0</v>
      </c>
      <c r="I840" s="1">
        <f>IF(B840="", "", "air metagenome")</f>
        <v>0</v>
      </c>
      <c r="J840" s="1">
        <f>IF(B840="", "", "655179")</f>
        <v>0</v>
      </c>
    </row>
    <row r="841" spans="1:10">
      <c r="A841">
        <f>IF(COUNTBLANK(B841:J841)&lt;&gt;COLUMNS(B841:J841),840,"")</f>
        <v>0</v>
      </c>
      <c r="D841" s="1">
        <f>IF(B841="", "", "m")</f>
        <v>0</v>
      </c>
      <c r="F841" s="1">
        <f>IF(B841="", "", "air")</f>
        <v>0</v>
      </c>
      <c r="G841" s="1">
        <f>IF(B841="", "", "air")</f>
        <v>0</v>
      </c>
      <c r="H841" s="1">
        <f>IF(B841="", "", "air")</f>
        <v>0</v>
      </c>
      <c r="I841" s="1">
        <f>IF(B841="", "", "air metagenome")</f>
        <v>0</v>
      </c>
      <c r="J841" s="1">
        <f>IF(B841="", "", "655179")</f>
        <v>0</v>
      </c>
    </row>
    <row r="842" spans="1:10">
      <c r="A842">
        <f>IF(COUNTBLANK(B842:J842)&lt;&gt;COLUMNS(B842:J842),841,"")</f>
        <v>0</v>
      </c>
      <c r="D842" s="1">
        <f>IF(B842="", "", "m")</f>
        <v>0</v>
      </c>
      <c r="F842" s="1">
        <f>IF(B842="", "", "air")</f>
        <v>0</v>
      </c>
      <c r="G842" s="1">
        <f>IF(B842="", "", "air")</f>
        <v>0</v>
      </c>
      <c r="H842" s="1">
        <f>IF(B842="", "", "air")</f>
        <v>0</v>
      </c>
      <c r="I842" s="1">
        <f>IF(B842="", "", "air metagenome")</f>
        <v>0</v>
      </c>
      <c r="J842" s="1">
        <f>IF(B842="", "", "655179")</f>
        <v>0</v>
      </c>
    </row>
    <row r="843" spans="1:10">
      <c r="A843">
        <f>IF(COUNTBLANK(B843:J843)&lt;&gt;COLUMNS(B843:J843),842,"")</f>
        <v>0</v>
      </c>
      <c r="D843" s="1">
        <f>IF(B843="", "", "m")</f>
        <v>0</v>
      </c>
      <c r="F843" s="1">
        <f>IF(B843="", "", "air")</f>
        <v>0</v>
      </c>
      <c r="G843" s="1">
        <f>IF(B843="", "", "air")</f>
        <v>0</v>
      </c>
      <c r="H843" s="1">
        <f>IF(B843="", "", "air")</f>
        <v>0</v>
      </c>
      <c r="I843" s="1">
        <f>IF(B843="", "", "air metagenome")</f>
        <v>0</v>
      </c>
      <c r="J843" s="1">
        <f>IF(B843="", "", "655179")</f>
        <v>0</v>
      </c>
    </row>
    <row r="844" spans="1:10">
      <c r="A844">
        <f>IF(COUNTBLANK(B844:J844)&lt;&gt;COLUMNS(B844:J844),843,"")</f>
        <v>0</v>
      </c>
      <c r="D844" s="1">
        <f>IF(B844="", "", "m")</f>
        <v>0</v>
      </c>
      <c r="F844" s="1">
        <f>IF(B844="", "", "air")</f>
        <v>0</v>
      </c>
      <c r="G844" s="1">
        <f>IF(B844="", "", "air")</f>
        <v>0</v>
      </c>
      <c r="H844" s="1">
        <f>IF(B844="", "", "air")</f>
        <v>0</v>
      </c>
      <c r="I844" s="1">
        <f>IF(B844="", "", "air metagenome")</f>
        <v>0</v>
      </c>
      <c r="J844" s="1">
        <f>IF(B844="", "", "655179")</f>
        <v>0</v>
      </c>
    </row>
    <row r="845" spans="1:10">
      <c r="A845">
        <f>IF(COUNTBLANK(B845:J845)&lt;&gt;COLUMNS(B845:J845),844,"")</f>
        <v>0</v>
      </c>
      <c r="D845" s="1">
        <f>IF(B845="", "", "m")</f>
        <v>0</v>
      </c>
      <c r="F845" s="1">
        <f>IF(B845="", "", "air")</f>
        <v>0</v>
      </c>
      <c r="G845" s="1">
        <f>IF(B845="", "", "air")</f>
        <v>0</v>
      </c>
      <c r="H845" s="1">
        <f>IF(B845="", "", "air")</f>
        <v>0</v>
      </c>
      <c r="I845" s="1">
        <f>IF(B845="", "", "air metagenome")</f>
        <v>0</v>
      </c>
      <c r="J845" s="1">
        <f>IF(B845="", "", "655179")</f>
        <v>0</v>
      </c>
    </row>
    <row r="846" spans="1:10">
      <c r="A846">
        <f>IF(COUNTBLANK(B846:J846)&lt;&gt;COLUMNS(B846:J846),845,"")</f>
        <v>0</v>
      </c>
      <c r="D846" s="1">
        <f>IF(B846="", "", "m")</f>
        <v>0</v>
      </c>
      <c r="F846" s="1">
        <f>IF(B846="", "", "air")</f>
        <v>0</v>
      </c>
      <c r="G846" s="1">
        <f>IF(B846="", "", "air")</f>
        <v>0</v>
      </c>
      <c r="H846" s="1">
        <f>IF(B846="", "", "air")</f>
        <v>0</v>
      </c>
      <c r="I846" s="1">
        <f>IF(B846="", "", "air metagenome")</f>
        <v>0</v>
      </c>
      <c r="J846" s="1">
        <f>IF(B846="", "", "655179")</f>
        <v>0</v>
      </c>
    </row>
    <row r="847" spans="1:10">
      <c r="A847">
        <f>IF(COUNTBLANK(B847:J847)&lt;&gt;COLUMNS(B847:J847),846,"")</f>
        <v>0</v>
      </c>
      <c r="D847" s="1">
        <f>IF(B847="", "", "m")</f>
        <v>0</v>
      </c>
      <c r="F847" s="1">
        <f>IF(B847="", "", "air")</f>
        <v>0</v>
      </c>
      <c r="G847" s="1">
        <f>IF(B847="", "", "air")</f>
        <v>0</v>
      </c>
      <c r="H847" s="1">
        <f>IF(B847="", "", "air")</f>
        <v>0</v>
      </c>
      <c r="I847" s="1">
        <f>IF(B847="", "", "air metagenome")</f>
        <v>0</v>
      </c>
      <c r="J847" s="1">
        <f>IF(B847="", "", "655179")</f>
        <v>0</v>
      </c>
    </row>
    <row r="848" spans="1:10">
      <c r="A848">
        <f>IF(COUNTBLANK(B848:J848)&lt;&gt;COLUMNS(B848:J848),847,"")</f>
        <v>0</v>
      </c>
      <c r="D848" s="1">
        <f>IF(B848="", "", "m")</f>
        <v>0</v>
      </c>
      <c r="F848" s="1">
        <f>IF(B848="", "", "air")</f>
        <v>0</v>
      </c>
      <c r="G848" s="1">
        <f>IF(B848="", "", "air")</f>
        <v>0</v>
      </c>
      <c r="H848" s="1">
        <f>IF(B848="", "", "air")</f>
        <v>0</v>
      </c>
      <c r="I848" s="1">
        <f>IF(B848="", "", "air metagenome")</f>
        <v>0</v>
      </c>
      <c r="J848" s="1">
        <f>IF(B848="", "", "655179")</f>
        <v>0</v>
      </c>
    </row>
    <row r="849" spans="1:10">
      <c r="A849">
        <f>IF(COUNTBLANK(B849:J849)&lt;&gt;COLUMNS(B849:J849),848,"")</f>
        <v>0</v>
      </c>
      <c r="D849" s="1">
        <f>IF(B849="", "", "m")</f>
        <v>0</v>
      </c>
      <c r="F849" s="1">
        <f>IF(B849="", "", "air")</f>
        <v>0</v>
      </c>
      <c r="G849" s="1">
        <f>IF(B849="", "", "air")</f>
        <v>0</v>
      </c>
      <c r="H849" s="1">
        <f>IF(B849="", "", "air")</f>
        <v>0</v>
      </c>
      <c r="I849" s="1">
        <f>IF(B849="", "", "air metagenome")</f>
        <v>0</v>
      </c>
      <c r="J849" s="1">
        <f>IF(B849="", "", "655179")</f>
        <v>0</v>
      </c>
    </row>
    <row r="850" spans="1:10">
      <c r="A850">
        <f>IF(COUNTBLANK(B850:J850)&lt;&gt;COLUMNS(B850:J850),849,"")</f>
        <v>0</v>
      </c>
      <c r="D850" s="1">
        <f>IF(B850="", "", "m")</f>
        <v>0</v>
      </c>
      <c r="F850" s="1">
        <f>IF(B850="", "", "air")</f>
        <v>0</v>
      </c>
      <c r="G850" s="1">
        <f>IF(B850="", "", "air")</f>
        <v>0</v>
      </c>
      <c r="H850" s="1">
        <f>IF(B850="", "", "air")</f>
        <v>0</v>
      </c>
      <c r="I850" s="1">
        <f>IF(B850="", "", "air metagenome")</f>
        <v>0</v>
      </c>
      <c r="J850" s="1">
        <f>IF(B850="", "", "655179")</f>
        <v>0</v>
      </c>
    </row>
    <row r="851" spans="1:10">
      <c r="A851">
        <f>IF(COUNTBLANK(B851:J851)&lt;&gt;COLUMNS(B851:J851),850,"")</f>
        <v>0</v>
      </c>
      <c r="D851" s="1">
        <f>IF(B851="", "", "m")</f>
        <v>0</v>
      </c>
      <c r="F851" s="1">
        <f>IF(B851="", "", "air")</f>
        <v>0</v>
      </c>
      <c r="G851" s="1">
        <f>IF(B851="", "", "air")</f>
        <v>0</v>
      </c>
      <c r="H851" s="1">
        <f>IF(B851="", "", "air")</f>
        <v>0</v>
      </c>
      <c r="I851" s="1">
        <f>IF(B851="", "", "air metagenome")</f>
        <v>0</v>
      </c>
      <c r="J851" s="1">
        <f>IF(B851="", "", "655179")</f>
        <v>0</v>
      </c>
    </row>
    <row r="852" spans="1:10">
      <c r="A852">
        <f>IF(COUNTBLANK(B852:J852)&lt;&gt;COLUMNS(B852:J852),851,"")</f>
        <v>0</v>
      </c>
      <c r="D852" s="1">
        <f>IF(B852="", "", "m")</f>
        <v>0</v>
      </c>
      <c r="F852" s="1">
        <f>IF(B852="", "", "air")</f>
        <v>0</v>
      </c>
      <c r="G852" s="1">
        <f>IF(B852="", "", "air")</f>
        <v>0</v>
      </c>
      <c r="H852" s="1">
        <f>IF(B852="", "", "air")</f>
        <v>0</v>
      </c>
      <c r="I852" s="1">
        <f>IF(B852="", "", "air metagenome")</f>
        <v>0</v>
      </c>
      <c r="J852" s="1">
        <f>IF(B852="", "", "655179")</f>
        <v>0</v>
      </c>
    </row>
    <row r="853" spans="1:10">
      <c r="A853">
        <f>IF(COUNTBLANK(B853:J853)&lt;&gt;COLUMNS(B853:J853),852,"")</f>
        <v>0</v>
      </c>
      <c r="D853" s="1">
        <f>IF(B853="", "", "m")</f>
        <v>0</v>
      </c>
      <c r="F853" s="1">
        <f>IF(B853="", "", "air")</f>
        <v>0</v>
      </c>
      <c r="G853" s="1">
        <f>IF(B853="", "", "air")</f>
        <v>0</v>
      </c>
      <c r="H853" s="1">
        <f>IF(B853="", "", "air")</f>
        <v>0</v>
      </c>
      <c r="I853" s="1">
        <f>IF(B853="", "", "air metagenome")</f>
        <v>0</v>
      </c>
      <c r="J853" s="1">
        <f>IF(B853="", "", "655179")</f>
        <v>0</v>
      </c>
    </row>
    <row r="854" spans="1:10">
      <c r="A854">
        <f>IF(COUNTBLANK(B854:J854)&lt;&gt;COLUMNS(B854:J854),853,"")</f>
        <v>0</v>
      </c>
      <c r="D854" s="1">
        <f>IF(B854="", "", "m")</f>
        <v>0</v>
      </c>
      <c r="F854" s="1">
        <f>IF(B854="", "", "air")</f>
        <v>0</v>
      </c>
      <c r="G854" s="1">
        <f>IF(B854="", "", "air")</f>
        <v>0</v>
      </c>
      <c r="H854" s="1">
        <f>IF(B854="", "", "air")</f>
        <v>0</v>
      </c>
      <c r="I854" s="1">
        <f>IF(B854="", "", "air metagenome")</f>
        <v>0</v>
      </c>
      <c r="J854" s="1">
        <f>IF(B854="", "", "655179")</f>
        <v>0</v>
      </c>
    </row>
    <row r="855" spans="1:10">
      <c r="A855">
        <f>IF(COUNTBLANK(B855:J855)&lt;&gt;COLUMNS(B855:J855),854,"")</f>
        <v>0</v>
      </c>
      <c r="D855" s="1">
        <f>IF(B855="", "", "m")</f>
        <v>0</v>
      </c>
      <c r="F855" s="1">
        <f>IF(B855="", "", "air")</f>
        <v>0</v>
      </c>
      <c r="G855" s="1">
        <f>IF(B855="", "", "air")</f>
        <v>0</v>
      </c>
      <c r="H855" s="1">
        <f>IF(B855="", "", "air")</f>
        <v>0</v>
      </c>
      <c r="I855" s="1">
        <f>IF(B855="", "", "air metagenome")</f>
        <v>0</v>
      </c>
      <c r="J855" s="1">
        <f>IF(B855="", "", "655179")</f>
        <v>0</v>
      </c>
    </row>
    <row r="856" spans="1:10">
      <c r="A856">
        <f>IF(COUNTBLANK(B856:J856)&lt;&gt;COLUMNS(B856:J856),855,"")</f>
        <v>0</v>
      </c>
      <c r="D856" s="1">
        <f>IF(B856="", "", "m")</f>
        <v>0</v>
      </c>
      <c r="F856" s="1">
        <f>IF(B856="", "", "air")</f>
        <v>0</v>
      </c>
      <c r="G856" s="1">
        <f>IF(B856="", "", "air")</f>
        <v>0</v>
      </c>
      <c r="H856" s="1">
        <f>IF(B856="", "", "air")</f>
        <v>0</v>
      </c>
      <c r="I856" s="1">
        <f>IF(B856="", "", "air metagenome")</f>
        <v>0</v>
      </c>
      <c r="J856" s="1">
        <f>IF(B856="", "", "655179")</f>
        <v>0</v>
      </c>
    </row>
    <row r="857" spans="1:10">
      <c r="A857">
        <f>IF(COUNTBLANK(B857:J857)&lt;&gt;COLUMNS(B857:J857),856,"")</f>
        <v>0</v>
      </c>
      <c r="D857" s="1">
        <f>IF(B857="", "", "m")</f>
        <v>0</v>
      </c>
      <c r="F857" s="1">
        <f>IF(B857="", "", "air")</f>
        <v>0</v>
      </c>
      <c r="G857" s="1">
        <f>IF(B857="", "", "air")</f>
        <v>0</v>
      </c>
      <c r="H857" s="1">
        <f>IF(B857="", "", "air")</f>
        <v>0</v>
      </c>
      <c r="I857" s="1">
        <f>IF(B857="", "", "air metagenome")</f>
        <v>0</v>
      </c>
      <c r="J857" s="1">
        <f>IF(B857="", "", "655179")</f>
        <v>0</v>
      </c>
    </row>
    <row r="858" spans="1:10">
      <c r="A858">
        <f>IF(COUNTBLANK(B858:J858)&lt;&gt;COLUMNS(B858:J858),857,"")</f>
        <v>0</v>
      </c>
      <c r="D858" s="1">
        <f>IF(B858="", "", "m")</f>
        <v>0</v>
      </c>
      <c r="F858" s="1">
        <f>IF(B858="", "", "air")</f>
        <v>0</v>
      </c>
      <c r="G858" s="1">
        <f>IF(B858="", "", "air")</f>
        <v>0</v>
      </c>
      <c r="H858" s="1">
        <f>IF(B858="", "", "air")</f>
        <v>0</v>
      </c>
      <c r="I858" s="1">
        <f>IF(B858="", "", "air metagenome")</f>
        <v>0</v>
      </c>
      <c r="J858" s="1">
        <f>IF(B858="", "", "655179")</f>
        <v>0</v>
      </c>
    </row>
    <row r="859" spans="1:10">
      <c r="A859">
        <f>IF(COUNTBLANK(B859:J859)&lt;&gt;COLUMNS(B859:J859),858,"")</f>
        <v>0</v>
      </c>
      <c r="D859" s="1">
        <f>IF(B859="", "", "m")</f>
        <v>0</v>
      </c>
      <c r="F859" s="1">
        <f>IF(B859="", "", "air")</f>
        <v>0</v>
      </c>
      <c r="G859" s="1">
        <f>IF(B859="", "", "air")</f>
        <v>0</v>
      </c>
      <c r="H859" s="1">
        <f>IF(B859="", "", "air")</f>
        <v>0</v>
      </c>
      <c r="I859" s="1">
        <f>IF(B859="", "", "air metagenome")</f>
        <v>0</v>
      </c>
      <c r="J859" s="1">
        <f>IF(B859="", "", "655179")</f>
        <v>0</v>
      </c>
    </row>
    <row r="860" spans="1:10">
      <c r="A860">
        <f>IF(COUNTBLANK(B860:J860)&lt;&gt;COLUMNS(B860:J860),859,"")</f>
        <v>0</v>
      </c>
      <c r="D860" s="1">
        <f>IF(B860="", "", "m")</f>
        <v>0</v>
      </c>
      <c r="F860" s="1">
        <f>IF(B860="", "", "air")</f>
        <v>0</v>
      </c>
      <c r="G860" s="1">
        <f>IF(B860="", "", "air")</f>
        <v>0</v>
      </c>
      <c r="H860" s="1">
        <f>IF(B860="", "", "air")</f>
        <v>0</v>
      </c>
      <c r="I860" s="1">
        <f>IF(B860="", "", "air metagenome")</f>
        <v>0</v>
      </c>
      <c r="J860" s="1">
        <f>IF(B860="", "", "655179")</f>
        <v>0</v>
      </c>
    </row>
    <row r="861" spans="1:10">
      <c r="A861">
        <f>IF(COUNTBLANK(B861:J861)&lt;&gt;COLUMNS(B861:J861),860,"")</f>
        <v>0</v>
      </c>
      <c r="D861" s="1">
        <f>IF(B861="", "", "m")</f>
        <v>0</v>
      </c>
      <c r="F861" s="1">
        <f>IF(B861="", "", "air")</f>
        <v>0</v>
      </c>
      <c r="G861" s="1">
        <f>IF(B861="", "", "air")</f>
        <v>0</v>
      </c>
      <c r="H861" s="1">
        <f>IF(B861="", "", "air")</f>
        <v>0</v>
      </c>
      <c r="I861" s="1">
        <f>IF(B861="", "", "air metagenome")</f>
        <v>0</v>
      </c>
      <c r="J861" s="1">
        <f>IF(B861="", "", "655179")</f>
        <v>0</v>
      </c>
    </row>
    <row r="862" spans="1:10">
      <c r="A862">
        <f>IF(COUNTBLANK(B862:J862)&lt;&gt;COLUMNS(B862:J862),861,"")</f>
        <v>0</v>
      </c>
      <c r="D862" s="1">
        <f>IF(B862="", "", "m")</f>
        <v>0</v>
      </c>
      <c r="F862" s="1">
        <f>IF(B862="", "", "air")</f>
        <v>0</v>
      </c>
      <c r="G862" s="1">
        <f>IF(B862="", "", "air")</f>
        <v>0</v>
      </c>
      <c r="H862" s="1">
        <f>IF(B862="", "", "air")</f>
        <v>0</v>
      </c>
      <c r="I862" s="1">
        <f>IF(B862="", "", "air metagenome")</f>
        <v>0</v>
      </c>
      <c r="J862" s="1">
        <f>IF(B862="", "", "655179")</f>
        <v>0</v>
      </c>
    </row>
    <row r="863" spans="1:10">
      <c r="A863">
        <f>IF(COUNTBLANK(B863:J863)&lt;&gt;COLUMNS(B863:J863),862,"")</f>
        <v>0</v>
      </c>
      <c r="D863" s="1">
        <f>IF(B863="", "", "m")</f>
        <v>0</v>
      </c>
      <c r="F863" s="1">
        <f>IF(B863="", "", "air")</f>
        <v>0</v>
      </c>
      <c r="G863" s="1">
        <f>IF(B863="", "", "air")</f>
        <v>0</v>
      </c>
      <c r="H863" s="1">
        <f>IF(B863="", "", "air")</f>
        <v>0</v>
      </c>
      <c r="I863" s="1">
        <f>IF(B863="", "", "air metagenome")</f>
        <v>0</v>
      </c>
      <c r="J863" s="1">
        <f>IF(B863="", "", "655179")</f>
        <v>0</v>
      </c>
    </row>
    <row r="864" spans="1:10">
      <c r="A864">
        <f>IF(COUNTBLANK(B864:J864)&lt;&gt;COLUMNS(B864:J864),863,"")</f>
        <v>0</v>
      </c>
      <c r="D864" s="1">
        <f>IF(B864="", "", "m")</f>
        <v>0</v>
      </c>
      <c r="F864" s="1">
        <f>IF(B864="", "", "air")</f>
        <v>0</v>
      </c>
      <c r="G864" s="1">
        <f>IF(B864="", "", "air")</f>
        <v>0</v>
      </c>
      <c r="H864" s="1">
        <f>IF(B864="", "", "air")</f>
        <v>0</v>
      </c>
      <c r="I864" s="1">
        <f>IF(B864="", "", "air metagenome")</f>
        <v>0</v>
      </c>
      <c r="J864" s="1">
        <f>IF(B864="", "", "655179")</f>
        <v>0</v>
      </c>
    </row>
    <row r="865" spans="1:10">
      <c r="A865">
        <f>IF(COUNTBLANK(B865:J865)&lt;&gt;COLUMNS(B865:J865),864,"")</f>
        <v>0</v>
      </c>
      <c r="D865" s="1">
        <f>IF(B865="", "", "m")</f>
        <v>0</v>
      </c>
      <c r="F865" s="1">
        <f>IF(B865="", "", "air")</f>
        <v>0</v>
      </c>
      <c r="G865" s="1">
        <f>IF(B865="", "", "air")</f>
        <v>0</v>
      </c>
      <c r="H865" s="1">
        <f>IF(B865="", "", "air")</f>
        <v>0</v>
      </c>
      <c r="I865" s="1">
        <f>IF(B865="", "", "air metagenome")</f>
        <v>0</v>
      </c>
      <c r="J865" s="1">
        <f>IF(B865="", "", "655179")</f>
        <v>0</v>
      </c>
    </row>
    <row r="866" spans="1:10">
      <c r="A866">
        <f>IF(COUNTBLANK(B866:J866)&lt;&gt;COLUMNS(B866:J866),865,"")</f>
        <v>0</v>
      </c>
      <c r="D866" s="1">
        <f>IF(B866="", "", "m")</f>
        <v>0</v>
      </c>
      <c r="F866" s="1">
        <f>IF(B866="", "", "air")</f>
        <v>0</v>
      </c>
      <c r="G866" s="1">
        <f>IF(B866="", "", "air")</f>
        <v>0</v>
      </c>
      <c r="H866" s="1">
        <f>IF(B866="", "", "air")</f>
        <v>0</v>
      </c>
      <c r="I866" s="1">
        <f>IF(B866="", "", "air metagenome")</f>
        <v>0</v>
      </c>
      <c r="J866" s="1">
        <f>IF(B866="", "", "655179")</f>
        <v>0</v>
      </c>
    </row>
    <row r="867" spans="1:10">
      <c r="A867">
        <f>IF(COUNTBLANK(B867:J867)&lt;&gt;COLUMNS(B867:J867),866,"")</f>
        <v>0</v>
      </c>
      <c r="D867" s="1">
        <f>IF(B867="", "", "m")</f>
        <v>0</v>
      </c>
      <c r="F867" s="1">
        <f>IF(B867="", "", "air")</f>
        <v>0</v>
      </c>
      <c r="G867" s="1">
        <f>IF(B867="", "", "air")</f>
        <v>0</v>
      </c>
      <c r="H867" s="1">
        <f>IF(B867="", "", "air")</f>
        <v>0</v>
      </c>
      <c r="I867" s="1">
        <f>IF(B867="", "", "air metagenome")</f>
        <v>0</v>
      </c>
      <c r="J867" s="1">
        <f>IF(B867="", "", "655179")</f>
        <v>0</v>
      </c>
    </row>
    <row r="868" spans="1:10">
      <c r="A868">
        <f>IF(COUNTBLANK(B868:J868)&lt;&gt;COLUMNS(B868:J868),867,"")</f>
        <v>0</v>
      </c>
      <c r="D868" s="1">
        <f>IF(B868="", "", "m")</f>
        <v>0</v>
      </c>
      <c r="F868" s="1">
        <f>IF(B868="", "", "air")</f>
        <v>0</v>
      </c>
      <c r="G868" s="1">
        <f>IF(B868="", "", "air")</f>
        <v>0</v>
      </c>
      <c r="H868" s="1">
        <f>IF(B868="", "", "air")</f>
        <v>0</v>
      </c>
      <c r="I868" s="1">
        <f>IF(B868="", "", "air metagenome")</f>
        <v>0</v>
      </c>
      <c r="J868" s="1">
        <f>IF(B868="", "", "655179")</f>
        <v>0</v>
      </c>
    </row>
    <row r="869" spans="1:10">
      <c r="A869">
        <f>IF(COUNTBLANK(B869:J869)&lt;&gt;COLUMNS(B869:J869),868,"")</f>
        <v>0</v>
      </c>
      <c r="D869" s="1">
        <f>IF(B869="", "", "m")</f>
        <v>0</v>
      </c>
      <c r="F869" s="1">
        <f>IF(B869="", "", "air")</f>
        <v>0</v>
      </c>
      <c r="G869" s="1">
        <f>IF(B869="", "", "air")</f>
        <v>0</v>
      </c>
      <c r="H869" s="1">
        <f>IF(B869="", "", "air")</f>
        <v>0</v>
      </c>
      <c r="I869" s="1">
        <f>IF(B869="", "", "air metagenome")</f>
        <v>0</v>
      </c>
      <c r="J869" s="1">
        <f>IF(B869="", "", "655179")</f>
        <v>0</v>
      </c>
    </row>
    <row r="870" spans="1:10">
      <c r="A870">
        <f>IF(COUNTBLANK(B870:J870)&lt;&gt;COLUMNS(B870:J870),869,"")</f>
        <v>0</v>
      </c>
      <c r="D870" s="1">
        <f>IF(B870="", "", "m")</f>
        <v>0</v>
      </c>
      <c r="F870" s="1">
        <f>IF(B870="", "", "air")</f>
        <v>0</v>
      </c>
      <c r="G870" s="1">
        <f>IF(B870="", "", "air")</f>
        <v>0</v>
      </c>
      <c r="H870" s="1">
        <f>IF(B870="", "", "air")</f>
        <v>0</v>
      </c>
      <c r="I870" s="1">
        <f>IF(B870="", "", "air metagenome")</f>
        <v>0</v>
      </c>
      <c r="J870" s="1">
        <f>IF(B870="", "", "655179")</f>
        <v>0</v>
      </c>
    </row>
    <row r="871" spans="1:10">
      <c r="A871">
        <f>IF(COUNTBLANK(B871:J871)&lt;&gt;COLUMNS(B871:J871),870,"")</f>
        <v>0</v>
      </c>
      <c r="D871" s="1">
        <f>IF(B871="", "", "m")</f>
        <v>0</v>
      </c>
      <c r="F871" s="1">
        <f>IF(B871="", "", "air")</f>
        <v>0</v>
      </c>
      <c r="G871" s="1">
        <f>IF(B871="", "", "air")</f>
        <v>0</v>
      </c>
      <c r="H871" s="1">
        <f>IF(B871="", "", "air")</f>
        <v>0</v>
      </c>
      <c r="I871" s="1">
        <f>IF(B871="", "", "air metagenome")</f>
        <v>0</v>
      </c>
      <c r="J871" s="1">
        <f>IF(B871="", "", "655179")</f>
        <v>0</v>
      </c>
    </row>
    <row r="872" spans="1:10">
      <c r="A872">
        <f>IF(COUNTBLANK(B872:J872)&lt;&gt;COLUMNS(B872:J872),871,"")</f>
        <v>0</v>
      </c>
      <c r="D872" s="1">
        <f>IF(B872="", "", "m")</f>
        <v>0</v>
      </c>
      <c r="F872" s="1">
        <f>IF(B872="", "", "air")</f>
        <v>0</v>
      </c>
      <c r="G872" s="1">
        <f>IF(B872="", "", "air")</f>
        <v>0</v>
      </c>
      <c r="H872" s="1">
        <f>IF(B872="", "", "air")</f>
        <v>0</v>
      </c>
      <c r="I872" s="1">
        <f>IF(B872="", "", "air metagenome")</f>
        <v>0</v>
      </c>
      <c r="J872" s="1">
        <f>IF(B872="", "", "655179")</f>
        <v>0</v>
      </c>
    </row>
    <row r="873" spans="1:10">
      <c r="A873">
        <f>IF(COUNTBLANK(B873:J873)&lt;&gt;COLUMNS(B873:J873),872,"")</f>
        <v>0</v>
      </c>
      <c r="D873" s="1">
        <f>IF(B873="", "", "m")</f>
        <v>0</v>
      </c>
      <c r="F873" s="1">
        <f>IF(B873="", "", "air")</f>
        <v>0</v>
      </c>
      <c r="G873" s="1">
        <f>IF(B873="", "", "air")</f>
        <v>0</v>
      </c>
      <c r="H873" s="1">
        <f>IF(B873="", "", "air")</f>
        <v>0</v>
      </c>
      <c r="I873" s="1">
        <f>IF(B873="", "", "air metagenome")</f>
        <v>0</v>
      </c>
      <c r="J873" s="1">
        <f>IF(B873="", "", "655179")</f>
        <v>0</v>
      </c>
    </row>
    <row r="874" spans="1:10">
      <c r="A874">
        <f>IF(COUNTBLANK(B874:J874)&lt;&gt;COLUMNS(B874:J874),873,"")</f>
        <v>0</v>
      </c>
      <c r="D874" s="1">
        <f>IF(B874="", "", "m")</f>
        <v>0</v>
      </c>
      <c r="F874" s="1">
        <f>IF(B874="", "", "air")</f>
        <v>0</v>
      </c>
      <c r="G874" s="1">
        <f>IF(B874="", "", "air")</f>
        <v>0</v>
      </c>
      <c r="H874" s="1">
        <f>IF(B874="", "", "air")</f>
        <v>0</v>
      </c>
      <c r="I874" s="1">
        <f>IF(B874="", "", "air metagenome")</f>
        <v>0</v>
      </c>
      <c r="J874" s="1">
        <f>IF(B874="", "", "655179")</f>
        <v>0</v>
      </c>
    </row>
    <row r="875" spans="1:10">
      <c r="A875">
        <f>IF(COUNTBLANK(B875:J875)&lt;&gt;COLUMNS(B875:J875),874,"")</f>
        <v>0</v>
      </c>
      <c r="D875" s="1">
        <f>IF(B875="", "", "m")</f>
        <v>0</v>
      </c>
      <c r="F875" s="1">
        <f>IF(B875="", "", "air")</f>
        <v>0</v>
      </c>
      <c r="G875" s="1">
        <f>IF(B875="", "", "air")</f>
        <v>0</v>
      </c>
      <c r="H875" s="1">
        <f>IF(B875="", "", "air")</f>
        <v>0</v>
      </c>
      <c r="I875" s="1">
        <f>IF(B875="", "", "air metagenome")</f>
        <v>0</v>
      </c>
      <c r="J875" s="1">
        <f>IF(B875="", "", "655179")</f>
        <v>0</v>
      </c>
    </row>
    <row r="876" spans="1:10">
      <c r="A876">
        <f>IF(COUNTBLANK(B876:J876)&lt;&gt;COLUMNS(B876:J876),875,"")</f>
        <v>0</v>
      </c>
      <c r="D876" s="1">
        <f>IF(B876="", "", "m")</f>
        <v>0</v>
      </c>
      <c r="F876" s="1">
        <f>IF(B876="", "", "air")</f>
        <v>0</v>
      </c>
      <c r="G876" s="1">
        <f>IF(B876="", "", "air")</f>
        <v>0</v>
      </c>
      <c r="H876" s="1">
        <f>IF(B876="", "", "air")</f>
        <v>0</v>
      </c>
      <c r="I876" s="1">
        <f>IF(B876="", "", "air metagenome")</f>
        <v>0</v>
      </c>
      <c r="J876" s="1">
        <f>IF(B876="", "", "655179")</f>
        <v>0</v>
      </c>
    </row>
    <row r="877" spans="1:10">
      <c r="A877">
        <f>IF(COUNTBLANK(B877:J877)&lt;&gt;COLUMNS(B877:J877),876,"")</f>
        <v>0</v>
      </c>
      <c r="D877" s="1">
        <f>IF(B877="", "", "m")</f>
        <v>0</v>
      </c>
      <c r="F877" s="1">
        <f>IF(B877="", "", "air")</f>
        <v>0</v>
      </c>
      <c r="G877" s="1">
        <f>IF(B877="", "", "air")</f>
        <v>0</v>
      </c>
      <c r="H877" s="1">
        <f>IF(B877="", "", "air")</f>
        <v>0</v>
      </c>
      <c r="I877" s="1">
        <f>IF(B877="", "", "air metagenome")</f>
        <v>0</v>
      </c>
      <c r="J877" s="1">
        <f>IF(B877="", "", "655179")</f>
        <v>0</v>
      </c>
    </row>
    <row r="878" spans="1:10">
      <c r="A878">
        <f>IF(COUNTBLANK(B878:J878)&lt;&gt;COLUMNS(B878:J878),877,"")</f>
        <v>0</v>
      </c>
      <c r="D878" s="1">
        <f>IF(B878="", "", "m")</f>
        <v>0</v>
      </c>
      <c r="F878" s="1">
        <f>IF(B878="", "", "air")</f>
        <v>0</v>
      </c>
      <c r="G878" s="1">
        <f>IF(B878="", "", "air")</f>
        <v>0</v>
      </c>
      <c r="H878" s="1">
        <f>IF(B878="", "", "air")</f>
        <v>0</v>
      </c>
      <c r="I878" s="1">
        <f>IF(B878="", "", "air metagenome")</f>
        <v>0</v>
      </c>
      <c r="J878" s="1">
        <f>IF(B878="", "", "655179")</f>
        <v>0</v>
      </c>
    </row>
    <row r="879" spans="1:10">
      <c r="A879">
        <f>IF(COUNTBLANK(B879:J879)&lt;&gt;COLUMNS(B879:J879),878,"")</f>
        <v>0</v>
      </c>
      <c r="D879" s="1">
        <f>IF(B879="", "", "m")</f>
        <v>0</v>
      </c>
      <c r="F879" s="1">
        <f>IF(B879="", "", "air")</f>
        <v>0</v>
      </c>
      <c r="G879" s="1">
        <f>IF(B879="", "", "air")</f>
        <v>0</v>
      </c>
      <c r="H879" s="1">
        <f>IF(B879="", "", "air")</f>
        <v>0</v>
      </c>
      <c r="I879" s="1">
        <f>IF(B879="", "", "air metagenome")</f>
        <v>0</v>
      </c>
      <c r="J879" s="1">
        <f>IF(B879="", "", "655179")</f>
        <v>0</v>
      </c>
    </row>
    <row r="880" spans="1:10">
      <c r="A880">
        <f>IF(COUNTBLANK(B880:J880)&lt;&gt;COLUMNS(B880:J880),879,"")</f>
        <v>0</v>
      </c>
      <c r="D880" s="1">
        <f>IF(B880="", "", "m")</f>
        <v>0</v>
      </c>
      <c r="F880" s="1">
        <f>IF(B880="", "", "air")</f>
        <v>0</v>
      </c>
      <c r="G880" s="1">
        <f>IF(B880="", "", "air")</f>
        <v>0</v>
      </c>
      <c r="H880" s="1">
        <f>IF(B880="", "", "air")</f>
        <v>0</v>
      </c>
      <c r="I880" s="1">
        <f>IF(B880="", "", "air metagenome")</f>
        <v>0</v>
      </c>
      <c r="J880" s="1">
        <f>IF(B880="", "", "655179")</f>
        <v>0</v>
      </c>
    </row>
    <row r="881" spans="1:10">
      <c r="A881">
        <f>IF(COUNTBLANK(B881:J881)&lt;&gt;COLUMNS(B881:J881),880,"")</f>
        <v>0</v>
      </c>
      <c r="D881" s="1">
        <f>IF(B881="", "", "m")</f>
        <v>0</v>
      </c>
      <c r="F881" s="1">
        <f>IF(B881="", "", "air")</f>
        <v>0</v>
      </c>
      <c r="G881" s="1">
        <f>IF(B881="", "", "air")</f>
        <v>0</v>
      </c>
      <c r="H881" s="1">
        <f>IF(B881="", "", "air")</f>
        <v>0</v>
      </c>
      <c r="I881" s="1">
        <f>IF(B881="", "", "air metagenome")</f>
        <v>0</v>
      </c>
      <c r="J881" s="1">
        <f>IF(B881="", "", "655179")</f>
        <v>0</v>
      </c>
    </row>
    <row r="882" spans="1:10">
      <c r="A882">
        <f>IF(COUNTBLANK(B882:J882)&lt;&gt;COLUMNS(B882:J882),881,"")</f>
        <v>0</v>
      </c>
      <c r="D882" s="1">
        <f>IF(B882="", "", "m")</f>
        <v>0</v>
      </c>
      <c r="F882" s="1">
        <f>IF(B882="", "", "air")</f>
        <v>0</v>
      </c>
      <c r="G882" s="1">
        <f>IF(B882="", "", "air")</f>
        <v>0</v>
      </c>
      <c r="H882" s="1">
        <f>IF(B882="", "", "air")</f>
        <v>0</v>
      </c>
      <c r="I882" s="1">
        <f>IF(B882="", "", "air metagenome")</f>
        <v>0</v>
      </c>
      <c r="J882" s="1">
        <f>IF(B882="", "", "655179")</f>
        <v>0</v>
      </c>
    </row>
    <row r="883" spans="1:10">
      <c r="A883">
        <f>IF(COUNTBLANK(B883:J883)&lt;&gt;COLUMNS(B883:J883),882,"")</f>
        <v>0</v>
      </c>
      <c r="D883" s="1">
        <f>IF(B883="", "", "m")</f>
        <v>0</v>
      </c>
      <c r="F883" s="1">
        <f>IF(B883="", "", "air")</f>
        <v>0</v>
      </c>
      <c r="G883" s="1">
        <f>IF(B883="", "", "air")</f>
        <v>0</v>
      </c>
      <c r="H883" s="1">
        <f>IF(B883="", "", "air")</f>
        <v>0</v>
      </c>
      <c r="I883" s="1">
        <f>IF(B883="", "", "air metagenome")</f>
        <v>0</v>
      </c>
      <c r="J883" s="1">
        <f>IF(B883="", "", "655179")</f>
        <v>0</v>
      </c>
    </row>
    <row r="884" spans="1:10">
      <c r="A884">
        <f>IF(COUNTBLANK(B884:J884)&lt;&gt;COLUMNS(B884:J884),883,"")</f>
        <v>0</v>
      </c>
      <c r="D884" s="1">
        <f>IF(B884="", "", "m")</f>
        <v>0</v>
      </c>
      <c r="F884" s="1">
        <f>IF(B884="", "", "air")</f>
        <v>0</v>
      </c>
      <c r="G884" s="1">
        <f>IF(B884="", "", "air")</f>
        <v>0</v>
      </c>
      <c r="H884" s="1">
        <f>IF(B884="", "", "air")</f>
        <v>0</v>
      </c>
      <c r="I884" s="1">
        <f>IF(B884="", "", "air metagenome")</f>
        <v>0</v>
      </c>
      <c r="J884" s="1">
        <f>IF(B884="", "", "655179")</f>
        <v>0</v>
      </c>
    </row>
    <row r="885" spans="1:10">
      <c r="A885">
        <f>IF(COUNTBLANK(B885:J885)&lt;&gt;COLUMNS(B885:J885),884,"")</f>
        <v>0</v>
      </c>
      <c r="D885" s="1">
        <f>IF(B885="", "", "m")</f>
        <v>0</v>
      </c>
      <c r="F885" s="1">
        <f>IF(B885="", "", "air")</f>
        <v>0</v>
      </c>
      <c r="G885" s="1">
        <f>IF(B885="", "", "air")</f>
        <v>0</v>
      </c>
      <c r="H885" s="1">
        <f>IF(B885="", "", "air")</f>
        <v>0</v>
      </c>
      <c r="I885" s="1">
        <f>IF(B885="", "", "air metagenome")</f>
        <v>0</v>
      </c>
      <c r="J885" s="1">
        <f>IF(B885="", "", "655179")</f>
        <v>0</v>
      </c>
    </row>
    <row r="886" spans="1:10">
      <c r="A886">
        <f>IF(COUNTBLANK(B886:J886)&lt;&gt;COLUMNS(B886:J886),885,"")</f>
        <v>0</v>
      </c>
      <c r="D886" s="1">
        <f>IF(B886="", "", "m")</f>
        <v>0</v>
      </c>
      <c r="F886" s="1">
        <f>IF(B886="", "", "air")</f>
        <v>0</v>
      </c>
      <c r="G886" s="1">
        <f>IF(B886="", "", "air")</f>
        <v>0</v>
      </c>
      <c r="H886" s="1">
        <f>IF(B886="", "", "air")</f>
        <v>0</v>
      </c>
      <c r="I886" s="1">
        <f>IF(B886="", "", "air metagenome")</f>
        <v>0</v>
      </c>
      <c r="J886" s="1">
        <f>IF(B886="", "", "655179")</f>
        <v>0</v>
      </c>
    </row>
    <row r="887" spans="1:10">
      <c r="A887">
        <f>IF(COUNTBLANK(B887:J887)&lt;&gt;COLUMNS(B887:J887),886,"")</f>
        <v>0</v>
      </c>
      <c r="D887" s="1">
        <f>IF(B887="", "", "m")</f>
        <v>0</v>
      </c>
      <c r="F887" s="1">
        <f>IF(B887="", "", "air")</f>
        <v>0</v>
      </c>
      <c r="G887" s="1">
        <f>IF(B887="", "", "air")</f>
        <v>0</v>
      </c>
      <c r="H887" s="1">
        <f>IF(B887="", "", "air")</f>
        <v>0</v>
      </c>
      <c r="I887" s="1">
        <f>IF(B887="", "", "air metagenome")</f>
        <v>0</v>
      </c>
      <c r="J887" s="1">
        <f>IF(B887="", "", "655179")</f>
        <v>0</v>
      </c>
    </row>
    <row r="888" spans="1:10">
      <c r="A888">
        <f>IF(COUNTBLANK(B888:J888)&lt;&gt;COLUMNS(B888:J888),887,"")</f>
        <v>0</v>
      </c>
      <c r="D888" s="1">
        <f>IF(B888="", "", "m")</f>
        <v>0</v>
      </c>
      <c r="F888" s="1">
        <f>IF(B888="", "", "air")</f>
        <v>0</v>
      </c>
      <c r="G888" s="1">
        <f>IF(B888="", "", "air")</f>
        <v>0</v>
      </c>
      <c r="H888" s="1">
        <f>IF(B888="", "", "air")</f>
        <v>0</v>
      </c>
      <c r="I888" s="1">
        <f>IF(B888="", "", "air metagenome")</f>
        <v>0</v>
      </c>
      <c r="J888" s="1">
        <f>IF(B888="", "", "655179")</f>
        <v>0</v>
      </c>
    </row>
    <row r="889" spans="1:10">
      <c r="A889">
        <f>IF(COUNTBLANK(B889:J889)&lt;&gt;COLUMNS(B889:J889),888,"")</f>
        <v>0</v>
      </c>
      <c r="D889" s="1">
        <f>IF(B889="", "", "m")</f>
        <v>0</v>
      </c>
      <c r="F889" s="1">
        <f>IF(B889="", "", "air")</f>
        <v>0</v>
      </c>
      <c r="G889" s="1">
        <f>IF(B889="", "", "air")</f>
        <v>0</v>
      </c>
      <c r="H889" s="1">
        <f>IF(B889="", "", "air")</f>
        <v>0</v>
      </c>
      <c r="I889" s="1">
        <f>IF(B889="", "", "air metagenome")</f>
        <v>0</v>
      </c>
      <c r="J889" s="1">
        <f>IF(B889="", "", "655179")</f>
        <v>0</v>
      </c>
    </row>
    <row r="890" spans="1:10">
      <c r="A890">
        <f>IF(COUNTBLANK(B890:J890)&lt;&gt;COLUMNS(B890:J890),889,"")</f>
        <v>0</v>
      </c>
      <c r="D890" s="1">
        <f>IF(B890="", "", "m")</f>
        <v>0</v>
      </c>
      <c r="F890" s="1">
        <f>IF(B890="", "", "air")</f>
        <v>0</v>
      </c>
      <c r="G890" s="1">
        <f>IF(B890="", "", "air")</f>
        <v>0</v>
      </c>
      <c r="H890" s="1">
        <f>IF(B890="", "", "air")</f>
        <v>0</v>
      </c>
      <c r="I890" s="1">
        <f>IF(B890="", "", "air metagenome")</f>
        <v>0</v>
      </c>
      <c r="J890" s="1">
        <f>IF(B890="", "", "655179")</f>
        <v>0</v>
      </c>
    </row>
    <row r="891" spans="1:10">
      <c r="A891">
        <f>IF(COUNTBLANK(B891:J891)&lt;&gt;COLUMNS(B891:J891),890,"")</f>
        <v>0</v>
      </c>
      <c r="D891" s="1">
        <f>IF(B891="", "", "m")</f>
        <v>0</v>
      </c>
      <c r="F891" s="1">
        <f>IF(B891="", "", "air")</f>
        <v>0</v>
      </c>
      <c r="G891" s="1">
        <f>IF(B891="", "", "air")</f>
        <v>0</v>
      </c>
      <c r="H891" s="1">
        <f>IF(B891="", "", "air")</f>
        <v>0</v>
      </c>
      <c r="I891" s="1">
        <f>IF(B891="", "", "air metagenome")</f>
        <v>0</v>
      </c>
      <c r="J891" s="1">
        <f>IF(B891="", "", "655179")</f>
        <v>0</v>
      </c>
    </row>
    <row r="892" spans="1:10">
      <c r="A892">
        <f>IF(COUNTBLANK(B892:J892)&lt;&gt;COLUMNS(B892:J892),891,"")</f>
        <v>0</v>
      </c>
      <c r="D892" s="1">
        <f>IF(B892="", "", "m")</f>
        <v>0</v>
      </c>
      <c r="F892" s="1">
        <f>IF(B892="", "", "air")</f>
        <v>0</v>
      </c>
      <c r="G892" s="1">
        <f>IF(B892="", "", "air")</f>
        <v>0</v>
      </c>
      <c r="H892" s="1">
        <f>IF(B892="", "", "air")</f>
        <v>0</v>
      </c>
      <c r="I892" s="1">
        <f>IF(B892="", "", "air metagenome")</f>
        <v>0</v>
      </c>
      <c r="J892" s="1">
        <f>IF(B892="", "", "655179")</f>
        <v>0</v>
      </c>
    </row>
    <row r="893" spans="1:10">
      <c r="A893">
        <f>IF(COUNTBLANK(B893:J893)&lt;&gt;COLUMNS(B893:J893),892,"")</f>
        <v>0</v>
      </c>
      <c r="D893" s="1">
        <f>IF(B893="", "", "m")</f>
        <v>0</v>
      </c>
      <c r="F893" s="1">
        <f>IF(B893="", "", "air")</f>
        <v>0</v>
      </c>
      <c r="G893" s="1">
        <f>IF(B893="", "", "air")</f>
        <v>0</v>
      </c>
      <c r="H893" s="1">
        <f>IF(B893="", "", "air")</f>
        <v>0</v>
      </c>
      <c r="I893" s="1">
        <f>IF(B893="", "", "air metagenome")</f>
        <v>0</v>
      </c>
      <c r="J893" s="1">
        <f>IF(B893="", "", "655179")</f>
        <v>0</v>
      </c>
    </row>
    <row r="894" spans="1:10">
      <c r="A894">
        <f>IF(COUNTBLANK(B894:J894)&lt;&gt;COLUMNS(B894:J894),893,"")</f>
        <v>0</v>
      </c>
      <c r="D894" s="1">
        <f>IF(B894="", "", "m")</f>
        <v>0</v>
      </c>
      <c r="F894" s="1">
        <f>IF(B894="", "", "air")</f>
        <v>0</v>
      </c>
      <c r="G894" s="1">
        <f>IF(B894="", "", "air")</f>
        <v>0</v>
      </c>
      <c r="H894" s="1">
        <f>IF(B894="", "", "air")</f>
        <v>0</v>
      </c>
      <c r="I894" s="1">
        <f>IF(B894="", "", "air metagenome")</f>
        <v>0</v>
      </c>
      <c r="J894" s="1">
        <f>IF(B894="", "", "655179")</f>
        <v>0</v>
      </c>
    </row>
    <row r="895" spans="1:10">
      <c r="A895">
        <f>IF(COUNTBLANK(B895:J895)&lt;&gt;COLUMNS(B895:J895),894,"")</f>
        <v>0</v>
      </c>
      <c r="D895" s="1">
        <f>IF(B895="", "", "m")</f>
        <v>0</v>
      </c>
      <c r="F895" s="1">
        <f>IF(B895="", "", "air")</f>
        <v>0</v>
      </c>
      <c r="G895" s="1">
        <f>IF(B895="", "", "air")</f>
        <v>0</v>
      </c>
      <c r="H895" s="1">
        <f>IF(B895="", "", "air")</f>
        <v>0</v>
      </c>
      <c r="I895" s="1">
        <f>IF(B895="", "", "air metagenome")</f>
        <v>0</v>
      </c>
      <c r="J895" s="1">
        <f>IF(B895="", "", "655179")</f>
        <v>0</v>
      </c>
    </row>
    <row r="896" spans="1:10">
      <c r="A896">
        <f>IF(COUNTBLANK(B896:J896)&lt;&gt;COLUMNS(B896:J896),895,"")</f>
        <v>0</v>
      </c>
      <c r="D896" s="1">
        <f>IF(B896="", "", "m")</f>
        <v>0</v>
      </c>
      <c r="F896" s="1">
        <f>IF(B896="", "", "air")</f>
        <v>0</v>
      </c>
      <c r="G896" s="1">
        <f>IF(B896="", "", "air")</f>
        <v>0</v>
      </c>
      <c r="H896" s="1">
        <f>IF(B896="", "", "air")</f>
        <v>0</v>
      </c>
      <c r="I896" s="1">
        <f>IF(B896="", "", "air metagenome")</f>
        <v>0</v>
      </c>
      <c r="J896" s="1">
        <f>IF(B896="", "", "655179")</f>
        <v>0</v>
      </c>
    </row>
    <row r="897" spans="1:10">
      <c r="A897">
        <f>IF(COUNTBLANK(B897:J897)&lt;&gt;COLUMNS(B897:J897),896,"")</f>
        <v>0</v>
      </c>
      <c r="D897" s="1">
        <f>IF(B897="", "", "m")</f>
        <v>0</v>
      </c>
      <c r="F897" s="1">
        <f>IF(B897="", "", "air")</f>
        <v>0</v>
      </c>
      <c r="G897" s="1">
        <f>IF(B897="", "", "air")</f>
        <v>0</v>
      </c>
      <c r="H897" s="1">
        <f>IF(B897="", "", "air")</f>
        <v>0</v>
      </c>
      <c r="I897" s="1">
        <f>IF(B897="", "", "air metagenome")</f>
        <v>0</v>
      </c>
      <c r="J897" s="1">
        <f>IF(B897="", "", "655179")</f>
        <v>0</v>
      </c>
    </row>
    <row r="898" spans="1:10">
      <c r="A898">
        <f>IF(COUNTBLANK(B898:J898)&lt;&gt;COLUMNS(B898:J898),897,"")</f>
        <v>0</v>
      </c>
      <c r="D898" s="1">
        <f>IF(B898="", "", "m")</f>
        <v>0</v>
      </c>
      <c r="F898" s="1">
        <f>IF(B898="", "", "air")</f>
        <v>0</v>
      </c>
      <c r="G898" s="1">
        <f>IF(B898="", "", "air")</f>
        <v>0</v>
      </c>
      <c r="H898" s="1">
        <f>IF(B898="", "", "air")</f>
        <v>0</v>
      </c>
      <c r="I898" s="1">
        <f>IF(B898="", "", "air metagenome")</f>
        <v>0</v>
      </c>
      <c r="J898" s="1">
        <f>IF(B898="", "", "655179")</f>
        <v>0</v>
      </c>
    </row>
    <row r="899" spans="1:10">
      <c r="A899">
        <f>IF(COUNTBLANK(B899:J899)&lt;&gt;COLUMNS(B899:J899),898,"")</f>
        <v>0</v>
      </c>
      <c r="D899" s="1">
        <f>IF(B899="", "", "m")</f>
        <v>0</v>
      </c>
      <c r="F899" s="1">
        <f>IF(B899="", "", "air")</f>
        <v>0</v>
      </c>
      <c r="G899" s="1">
        <f>IF(B899="", "", "air")</f>
        <v>0</v>
      </c>
      <c r="H899" s="1">
        <f>IF(B899="", "", "air")</f>
        <v>0</v>
      </c>
      <c r="I899" s="1">
        <f>IF(B899="", "", "air metagenome")</f>
        <v>0</v>
      </c>
      <c r="J899" s="1">
        <f>IF(B899="", "", "655179")</f>
        <v>0</v>
      </c>
    </row>
    <row r="900" spans="1:10">
      <c r="A900">
        <f>IF(COUNTBLANK(B900:J900)&lt;&gt;COLUMNS(B900:J900),899,"")</f>
        <v>0</v>
      </c>
      <c r="D900" s="1">
        <f>IF(B900="", "", "m")</f>
        <v>0</v>
      </c>
      <c r="F900" s="1">
        <f>IF(B900="", "", "air")</f>
        <v>0</v>
      </c>
      <c r="G900" s="1">
        <f>IF(B900="", "", "air")</f>
        <v>0</v>
      </c>
      <c r="H900" s="1">
        <f>IF(B900="", "", "air")</f>
        <v>0</v>
      </c>
      <c r="I900" s="1">
        <f>IF(B900="", "", "air metagenome")</f>
        <v>0</v>
      </c>
      <c r="J900" s="1">
        <f>IF(B900="", "", "655179")</f>
        <v>0</v>
      </c>
    </row>
    <row r="901" spans="1:10">
      <c r="A901">
        <f>IF(COUNTBLANK(B901:J901)&lt;&gt;COLUMNS(B901:J901),900,"")</f>
        <v>0</v>
      </c>
      <c r="D901" s="1">
        <f>IF(B901="", "", "m")</f>
        <v>0</v>
      </c>
      <c r="F901" s="1">
        <f>IF(B901="", "", "air")</f>
        <v>0</v>
      </c>
      <c r="G901" s="1">
        <f>IF(B901="", "", "air")</f>
        <v>0</v>
      </c>
      <c r="H901" s="1">
        <f>IF(B901="", "", "air")</f>
        <v>0</v>
      </c>
      <c r="I901" s="1">
        <f>IF(B901="", "", "air metagenome")</f>
        <v>0</v>
      </c>
      <c r="J901" s="1">
        <f>IF(B901="", "", "655179")</f>
        <v>0</v>
      </c>
    </row>
    <row r="902" spans="1:10">
      <c r="A902">
        <f>IF(COUNTBLANK(B902:J902)&lt;&gt;COLUMNS(B902:J902),901,"")</f>
        <v>0</v>
      </c>
      <c r="D902" s="1">
        <f>IF(B902="", "", "m")</f>
        <v>0</v>
      </c>
      <c r="F902" s="1">
        <f>IF(B902="", "", "air")</f>
        <v>0</v>
      </c>
      <c r="G902" s="1">
        <f>IF(B902="", "", "air")</f>
        <v>0</v>
      </c>
      <c r="H902" s="1">
        <f>IF(B902="", "", "air")</f>
        <v>0</v>
      </c>
      <c r="I902" s="1">
        <f>IF(B902="", "", "air metagenome")</f>
        <v>0</v>
      </c>
      <c r="J902" s="1">
        <f>IF(B902="", "", "655179")</f>
        <v>0</v>
      </c>
    </row>
    <row r="903" spans="1:10">
      <c r="A903">
        <f>IF(COUNTBLANK(B903:J903)&lt;&gt;COLUMNS(B903:J903),902,"")</f>
        <v>0</v>
      </c>
      <c r="D903" s="1">
        <f>IF(B903="", "", "m")</f>
        <v>0</v>
      </c>
      <c r="F903" s="1">
        <f>IF(B903="", "", "air")</f>
        <v>0</v>
      </c>
      <c r="G903" s="1">
        <f>IF(B903="", "", "air")</f>
        <v>0</v>
      </c>
      <c r="H903" s="1">
        <f>IF(B903="", "", "air")</f>
        <v>0</v>
      </c>
      <c r="I903" s="1">
        <f>IF(B903="", "", "air metagenome")</f>
        <v>0</v>
      </c>
      <c r="J903" s="1">
        <f>IF(B903="", "", "655179")</f>
        <v>0</v>
      </c>
    </row>
    <row r="904" spans="1:10">
      <c r="A904">
        <f>IF(COUNTBLANK(B904:J904)&lt;&gt;COLUMNS(B904:J904),903,"")</f>
        <v>0</v>
      </c>
      <c r="D904" s="1">
        <f>IF(B904="", "", "m")</f>
        <v>0</v>
      </c>
      <c r="F904" s="1">
        <f>IF(B904="", "", "air")</f>
        <v>0</v>
      </c>
      <c r="G904" s="1">
        <f>IF(B904="", "", "air")</f>
        <v>0</v>
      </c>
      <c r="H904" s="1">
        <f>IF(B904="", "", "air")</f>
        <v>0</v>
      </c>
      <c r="I904" s="1">
        <f>IF(B904="", "", "air metagenome")</f>
        <v>0</v>
      </c>
      <c r="J904" s="1">
        <f>IF(B904="", "", "655179")</f>
        <v>0</v>
      </c>
    </row>
    <row r="905" spans="1:10">
      <c r="A905">
        <f>IF(COUNTBLANK(B905:J905)&lt;&gt;COLUMNS(B905:J905),904,"")</f>
        <v>0</v>
      </c>
      <c r="D905" s="1">
        <f>IF(B905="", "", "m")</f>
        <v>0</v>
      </c>
      <c r="F905" s="1">
        <f>IF(B905="", "", "air")</f>
        <v>0</v>
      </c>
      <c r="G905" s="1">
        <f>IF(B905="", "", "air")</f>
        <v>0</v>
      </c>
      <c r="H905" s="1">
        <f>IF(B905="", "", "air")</f>
        <v>0</v>
      </c>
      <c r="I905" s="1">
        <f>IF(B905="", "", "air metagenome")</f>
        <v>0</v>
      </c>
      <c r="J905" s="1">
        <f>IF(B905="", "", "655179")</f>
        <v>0</v>
      </c>
    </row>
    <row r="906" spans="1:10">
      <c r="A906">
        <f>IF(COUNTBLANK(B906:J906)&lt;&gt;COLUMNS(B906:J906),905,"")</f>
        <v>0</v>
      </c>
      <c r="D906" s="1">
        <f>IF(B906="", "", "m")</f>
        <v>0</v>
      </c>
      <c r="F906" s="1">
        <f>IF(B906="", "", "air")</f>
        <v>0</v>
      </c>
      <c r="G906" s="1">
        <f>IF(B906="", "", "air")</f>
        <v>0</v>
      </c>
      <c r="H906" s="1">
        <f>IF(B906="", "", "air")</f>
        <v>0</v>
      </c>
      <c r="I906" s="1">
        <f>IF(B906="", "", "air metagenome")</f>
        <v>0</v>
      </c>
      <c r="J906" s="1">
        <f>IF(B906="", "", "655179")</f>
        <v>0</v>
      </c>
    </row>
    <row r="907" spans="1:10">
      <c r="A907">
        <f>IF(COUNTBLANK(B907:J907)&lt;&gt;COLUMNS(B907:J907),906,"")</f>
        <v>0</v>
      </c>
      <c r="D907" s="1">
        <f>IF(B907="", "", "m")</f>
        <v>0</v>
      </c>
      <c r="F907" s="1">
        <f>IF(B907="", "", "air")</f>
        <v>0</v>
      </c>
      <c r="G907" s="1">
        <f>IF(B907="", "", "air")</f>
        <v>0</v>
      </c>
      <c r="H907" s="1">
        <f>IF(B907="", "", "air")</f>
        <v>0</v>
      </c>
      <c r="I907" s="1">
        <f>IF(B907="", "", "air metagenome")</f>
        <v>0</v>
      </c>
      <c r="J907" s="1">
        <f>IF(B907="", "", "655179")</f>
        <v>0</v>
      </c>
    </row>
    <row r="908" spans="1:10">
      <c r="A908">
        <f>IF(COUNTBLANK(B908:J908)&lt;&gt;COLUMNS(B908:J908),907,"")</f>
        <v>0</v>
      </c>
      <c r="D908" s="1">
        <f>IF(B908="", "", "m")</f>
        <v>0</v>
      </c>
      <c r="F908" s="1">
        <f>IF(B908="", "", "air")</f>
        <v>0</v>
      </c>
      <c r="G908" s="1">
        <f>IF(B908="", "", "air")</f>
        <v>0</v>
      </c>
      <c r="H908" s="1">
        <f>IF(B908="", "", "air")</f>
        <v>0</v>
      </c>
      <c r="I908" s="1">
        <f>IF(B908="", "", "air metagenome")</f>
        <v>0</v>
      </c>
      <c r="J908" s="1">
        <f>IF(B908="", "", "655179")</f>
        <v>0</v>
      </c>
    </row>
    <row r="909" spans="1:10">
      <c r="A909">
        <f>IF(COUNTBLANK(B909:J909)&lt;&gt;COLUMNS(B909:J909),908,"")</f>
        <v>0</v>
      </c>
      <c r="D909" s="1">
        <f>IF(B909="", "", "m")</f>
        <v>0</v>
      </c>
      <c r="F909" s="1">
        <f>IF(B909="", "", "air")</f>
        <v>0</v>
      </c>
      <c r="G909" s="1">
        <f>IF(B909="", "", "air")</f>
        <v>0</v>
      </c>
      <c r="H909" s="1">
        <f>IF(B909="", "", "air")</f>
        <v>0</v>
      </c>
      <c r="I909" s="1">
        <f>IF(B909="", "", "air metagenome")</f>
        <v>0</v>
      </c>
      <c r="J909" s="1">
        <f>IF(B909="", "", "655179")</f>
        <v>0</v>
      </c>
    </row>
    <row r="910" spans="1:10">
      <c r="A910">
        <f>IF(COUNTBLANK(B910:J910)&lt;&gt;COLUMNS(B910:J910),909,"")</f>
        <v>0</v>
      </c>
      <c r="D910" s="1">
        <f>IF(B910="", "", "m")</f>
        <v>0</v>
      </c>
      <c r="F910" s="1">
        <f>IF(B910="", "", "air")</f>
        <v>0</v>
      </c>
      <c r="G910" s="1">
        <f>IF(B910="", "", "air")</f>
        <v>0</v>
      </c>
      <c r="H910" s="1">
        <f>IF(B910="", "", "air")</f>
        <v>0</v>
      </c>
      <c r="I910" s="1">
        <f>IF(B910="", "", "air metagenome")</f>
        <v>0</v>
      </c>
      <c r="J910" s="1">
        <f>IF(B910="", "", "655179")</f>
        <v>0</v>
      </c>
    </row>
    <row r="911" spans="1:10">
      <c r="A911">
        <f>IF(COUNTBLANK(B911:J911)&lt;&gt;COLUMNS(B911:J911),910,"")</f>
        <v>0</v>
      </c>
      <c r="D911" s="1">
        <f>IF(B911="", "", "m")</f>
        <v>0</v>
      </c>
      <c r="F911" s="1">
        <f>IF(B911="", "", "air")</f>
        <v>0</v>
      </c>
      <c r="G911" s="1">
        <f>IF(B911="", "", "air")</f>
        <v>0</v>
      </c>
      <c r="H911" s="1">
        <f>IF(B911="", "", "air")</f>
        <v>0</v>
      </c>
      <c r="I911" s="1">
        <f>IF(B911="", "", "air metagenome")</f>
        <v>0</v>
      </c>
      <c r="J911" s="1">
        <f>IF(B911="", "", "655179")</f>
        <v>0</v>
      </c>
    </row>
    <row r="912" spans="1:10">
      <c r="A912">
        <f>IF(COUNTBLANK(B912:J912)&lt;&gt;COLUMNS(B912:J912),911,"")</f>
        <v>0</v>
      </c>
      <c r="D912" s="1">
        <f>IF(B912="", "", "m")</f>
        <v>0</v>
      </c>
      <c r="F912" s="1">
        <f>IF(B912="", "", "air")</f>
        <v>0</v>
      </c>
      <c r="G912" s="1">
        <f>IF(B912="", "", "air")</f>
        <v>0</v>
      </c>
      <c r="H912" s="1">
        <f>IF(B912="", "", "air")</f>
        <v>0</v>
      </c>
      <c r="I912" s="1">
        <f>IF(B912="", "", "air metagenome")</f>
        <v>0</v>
      </c>
      <c r="J912" s="1">
        <f>IF(B912="", "", "655179")</f>
        <v>0</v>
      </c>
    </row>
    <row r="913" spans="1:10">
      <c r="A913">
        <f>IF(COUNTBLANK(B913:J913)&lt;&gt;COLUMNS(B913:J913),912,"")</f>
        <v>0</v>
      </c>
      <c r="D913" s="1">
        <f>IF(B913="", "", "m")</f>
        <v>0</v>
      </c>
      <c r="F913" s="1">
        <f>IF(B913="", "", "air")</f>
        <v>0</v>
      </c>
      <c r="G913" s="1">
        <f>IF(B913="", "", "air")</f>
        <v>0</v>
      </c>
      <c r="H913" s="1">
        <f>IF(B913="", "", "air")</f>
        <v>0</v>
      </c>
      <c r="I913" s="1">
        <f>IF(B913="", "", "air metagenome")</f>
        <v>0</v>
      </c>
      <c r="J913" s="1">
        <f>IF(B913="", "", "655179")</f>
        <v>0</v>
      </c>
    </row>
    <row r="914" spans="1:10">
      <c r="A914">
        <f>IF(COUNTBLANK(B914:J914)&lt;&gt;COLUMNS(B914:J914),913,"")</f>
        <v>0</v>
      </c>
      <c r="D914" s="1">
        <f>IF(B914="", "", "m")</f>
        <v>0</v>
      </c>
      <c r="F914" s="1">
        <f>IF(B914="", "", "air")</f>
        <v>0</v>
      </c>
      <c r="G914" s="1">
        <f>IF(B914="", "", "air")</f>
        <v>0</v>
      </c>
      <c r="H914" s="1">
        <f>IF(B914="", "", "air")</f>
        <v>0</v>
      </c>
      <c r="I914" s="1">
        <f>IF(B914="", "", "air metagenome")</f>
        <v>0</v>
      </c>
      <c r="J914" s="1">
        <f>IF(B914="", "", "655179")</f>
        <v>0</v>
      </c>
    </row>
    <row r="915" spans="1:10">
      <c r="A915">
        <f>IF(COUNTBLANK(B915:J915)&lt;&gt;COLUMNS(B915:J915),914,"")</f>
        <v>0</v>
      </c>
      <c r="D915" s="1">
        <f>IF(B915="", "", "m")</f>
        <v>0</v>
      </c>
      <c r="F915" s="1">
        <f>IF(B915="", "", "air")</f>
        <v>0</v>
      </c>
      <c r="G915" s="1">
        <f>IF(B915="", "", "air")</f>
        <v>0</v>
      </c>
      <c r="H915" s="1">
        <f>IF(B915="", "", "air")</f>
        <v>0</v>
      </c>
      <c r="I915" s="1">
        <f>IF(B915="", "", "air metagenome")</f>
        <v>0</v>
      </c>
      <c r="J915" s="1">
        <f>IF(B915="", "", "655179")</f>
        <v>0</v>
      </c>
    </row>
    <row r="916" spans="1:10">
      <c r="A916">
        <f>IF(COUNTBLANK(B916:J916)&lt;&gt;COLUMNS(B916:J916),915,"")</f>
        <v>0</v>
      </c>
      <c r="D916" s="1">
        <f>IF(B916="", "", "m")</f>
        <v>0</v>
      </c>
      <c r="F916" s="1">
        <f>IF(B916="", "", "air")</f>
        <v>0</v>
      </c>
      <c r="G916" s="1">
        <f>IF(B916="", "", "air")</f>
        <v>0</v>
      </c>
      <c r="H916" s="1">
        <f>IF(B916="", "", "air")</f>
        <v>0</v>
      </c>
      <c r="I916" s="1">
        <f>IF(B916="", "", "air metagenome")</f>
        <v>0</v>
      </c>
      <c r="J916" s="1">
        <f>IF(B916="", "", "655179")</f>
        <v>0</v>
      </c>
    </row>
    <row r="917" spans="1:10">
      <c r="A917">
        <f>IF(COUNTBLANK(B917:J917)&lt;&gt;COLUMNS(B917:J917),916,"")</f>
        <v>0</v>
      </c>
      <c r="D917" s="1">
        <f>IF(B917="", "", "m")</f>
        <v>0</v>
      </c>
      <c r="F917" s="1">
        <f>IF(B917="", "", "air")</f>
        <v>0</v>
      </c>
      <c r="G917" s="1">
        <f>IF(B917="", "", "air")</f>
        <v>0</v>
      </c>
      <c r="H917" s="1">
        <f>IF(B917="", "", "air")</f>
        <v>0</v>
      </c>
      <c r="I917" s="1">
        <f>IF(B917="", "", "air metagenome")</f>
        <v>0</v>
      </c>
      <c r="J917" s="1">
        <f>IF(B917="", "", "655179")</f>
        <v>0</v>
      </c>
    </row>
    <row r="918" spans="1:10">
      <c r="A918">
        <f>IF(COUNTBLANK(B918:J918)&lt;&gt;COLUMNS(B918:J918),917,"")</f>
        <v>0</v>
      </c>
      <c r="D918" s="1">
        <f>IF(B918="", "", "m")</f>
        <v>0</v>
      </c>
      <c r="F918" s="1">
        <f>IF(B918="", "", "air")</f>
        <v>0</v>
      </c>
      <c r="G918" s="1">
        <f>IF(B918="", "", "air")</f>
        <v>0</v>
      </c>
      <c r="H918" s="1">
        <f>IF(B918="", "", "air")</f>
        <v>0</v>
      </c>
      <c r="I918" s="1">
        <f>IF(B918="", "", "air metagenome")</f>
        <v>0</v>
      </c>
      <c r="J918" s="1">
        <f>IF(B918="", "", "655179")</f>
        <v>0</v>
      </c>
    </row>
    <row r="919" spans="1:10">
      <c r="A919">
        <f>IF(COUNTBLANK(B919:J919)&lt;&gt;COLUMNS(B919:J919),918,"")</f>
        <v>0</v>
      </c>
      <c r="D919" s="1">
        <f>IF(B919="", "", "m")</f>
        <v>0</v>
      </c>
      <c r="F919" s="1">
        <f>IF(B919="", "", "air")</f>
        <v>0</v>
      </c>
      <c r="G919" s="1">
        <f>IF(B919="", "", "air")</f>
        <v>0</v>
      </c>
      <c r="H919" s="1">
        <f>IF(B919="", "", "air")</f>
        <v>0</v>
      </c>
      <c r="I919" s="1">
        <f>IF(B919="", "", "air metagenome")</f>
        <v>0</v>
      </c>
      <c r="J919" s="1">
        <f>IF(B919="", "", "655179")</f>
        <v>0</v>
      </c>
    </row>
    <row r="920" spans="1:10">
      <c r="A920">
        <f>IF(COUNTBLANK(B920:J920)&lt;&gt;COLUMNS(B920:J920),919,"")</f>
        <v>0</v>
      </c>
      <c r="D920" s="1">
        <f>IF(B920="", "", "m")</f>
        <v>0</v>
      </c>
      <c r="F920" s="1">
        <f>IF(B920="", "", "air")</f>
        <v>0</v>
      </c>
      <c r="G920" s="1">
        <f>IF(B920="", "", "air")</f>
        <v>0</v>
      </c>
      <c r="H920" s="1">
        <f>IF(B920="", "", "air")</f>
        <v>0</v>
      </c>
      <c r="I920" s="1">
        <f>IF(B920="", "", "air metagenome")</f>
        <v>0</v>
      </c>
      <c r="J920" s="1">
        <f>IF(B920="", "", "655179")</f>
        <v>0</v>
      </c>
    </row>
    <row r="921" spans="1:10">
      <c r="A921">
        <f>IF(COUNTBLANK(B921:J921)&lt;&gt;COLUMNS(B921:J921),920,"")</f>
        <v>0</v>
      </c>
      <c r="D921" s="1">
        <f>IF(B921="", "", "m")</f>
        <v>0</v>
      </c>
      <c r="F921" s="1">
        <f>IF(B921="", "", "air")</f>
        <v>0</v>
      </c>
      <c r="G921" s="1">
        <f>IF(B921="", "", "air")</f>
        <v>0</v>
      </c>
      <c r="H921" s="1">
        <f>IF(B921="", "", "air")</f>
        <v>0</v>
      </c>
      <c r="I921" s="1">
        <f>IF(B921="", "", "air metagenome")</f>
        <v>0</v>
      </c>
      <c r="J921" s="1">
        <f>IF(B921="", "", "655179")</f>
        <v>0</v>
      </c>
    </row>
    <row r="922" spans="1:10">
      <c r="A922">
        <f>IF(COUNTBLANK(B922:J922)&lt;&gt;COLUMNS(B922:J922),921,"")</f>
        <v>0</v>
      </c>
      <c r="D922" s="1">
        <f>IF(B922="", "", "m")</f>
        <v>0</v>
      </c>
      <c r="F922" s="1">
        <f>IF(B922="", "", "air")</f>
        <v>0</v>
      </c>
      <c r="G922" s="1">
        <f>IF(B922="", "", "air")</f>
        <v>0</v>
      </c>
      <c r="H922" s="1">
        <f>IF(B922="", "", "air")</f>
        <v>0</v>
      </c>
      <c r="I922" s="1">
        <f>IF(B922="", "", "air metagenome")</f>
        <v>0</v>
      </c>
      <c r="J922" s="1">
        <f>IF(B922="", "", "655179")</f>
        <v>0</v>
      </c>
    </row>
    <row r="923" spans="1:10">
      <c r="A923">
        <f>IF(COUNTBLANK(B923:J923)&lt;&gt;COLUMNS(B923:J923),922,"")</f>
        <v>0</v>
      </c>
      <c r="D923" s="1">
        <f>IF(B923="", "", "m")</f>
        <v>0</v>
      </c>
      <c r="F923" s="1">
        <f>IF(B923="", "", "air")</f>
        <v>0</v>
      </c>
      <c r="G923" s="1">
        <f>IF(B923="", "", "air")</f>
        <v>0</v>
      </c>
      <c r="H923" s="1">
        <f>IF(B923="", "", "air")</f>
        <v>0</v>
      </c>
      <c r="I923" s="1">
        <f>IF(B923="", "", "air metagenome")</f>
        <v>0</v>
      </c>
      <c r="J923" s="1">
        <f>IF(B923="", "", "655179")</f>
        <v>0</v>
      </c>
    </row>
    <row r="924" spans="1:10">
      <c r="A924">
        <f>IF(COUNTBLANK(B924:J924)&lt;&gt;COLUMNS(B924:J924),923,"")</f>
        <v>0</v>
      </c>
      <c r="D924" s="1">
        <f>IF(B924="", "", "m")</f>
        <v>0</v>
      </c>
      <c r="F924" s="1">
        <f>IF(B924="", "", "air")</f>
        <v>0</v>
      </c>
      <c r="G924" s="1">
        <f>IF(B924="", "", "air")</f>
        <v>0</v>
      </c>
      <c r="H924" s="1">
        <f>IF(B924="", "", "air")</f>
        <v>0</v>
      </c>
      <c r="I924" s="1">
        <f>IF(B924="", "", "air metagenome")</f>
        <v>0</v>
      </c>
      <c r="J924" s="1">
        <f>IF(B924="", "", "655179")</f>
        <v>0</v>
      </c>
    </row>
    <row r="925" spans="1:10">
      <c r="A925">
        <f>IF(COUNTBLANK(B925:J925)&lt;&gt;COLUMNS(B925:J925),924,"")</f>
        <v>0</v>
      </c>
      <c r="D925" s="1">
        <f>IF(B925="", "", "m")</f>
        <v>0</v>
      </c>
      <c r="F925" s="1">
        <f>IF(B925="", "", "air")</f>
        <v>0</v>
      </c>
      <c r="G925" s="1">
        <f>IF(B925="", "", "air")</f>
        <v>0</v>
      </c>
      <c r="H925" s="1">
        <f>IF(B925="", "", "air")</f>
        <v>0</v>
      </c>
      <c r="I925" s="1">
        <f>IF(B925="", "", "air metagenome")</f>
        <v>0</v>
      </c>
      <c r="J925" s="1">
        <f>IF(B925="", "", "655179")</f>
        <v>0</v>
      </c>
    </row>
    <row r="926" spans="1:10">
      <c r="A926">
        <f>IF(COUNTBLANK(B926:J926)&lt;&gt;COLUMNS(B926:J926),925,"")</f>
        <v>0</v>
      </c>
      <c r="D926" s="1">
        <f>IF(B926="", "", "m")</f>
        <v>0</v>
      </c>
      <c r="F926" s="1">
        <f>IF(B926="", "", "air")</f>
        <v>0</v>
      </c>
      <c r="G926" s="1">
        <f>IF(B926="", "", "air")</f>
        <v>0</v>
      </c>
      <c r="H926" s="1">
        <f>IF(B926="", "", "air")</f>
        <v>0</v>
      </c>
      <c r="I926" s="1">
        <f>IF(B926="", "", "air metagenome")</f>
        <v>0</v>
      </c>
      <c r="J926" s="1">
        <f>IF(B926="", "", "655179")</f>
        <v>0</v>
      </c>
    </row>
    <row r="927" spans="1:10">
      <c r="A927">
        <f>IF(COUNTBLANK(B927:J927)&lt;&gt;COLUMNS(B927:J927),926,"")</f>
        <v>0</v>
      </c>
      <c r="D927" s="1">
        <f>IF(B927="", "", "m")</f>
        <v>0</v>
      </c>
      <c r="F927" s="1">
        <f>IF(B927="", "", "air")</f>
        <v>0</v>
      </c>
      <c r="G927" s="1">
        <f>IF(B927="", "", "air")</f>
        <v>0</v>
      </c>
      <c r="H927" s="1">
        <f>IF(B927="", "", "air")</f>
        <v>0</v>
      </c>
      <c r="I927" s="1">
        <f>IF(B927="", "", "air metagenome")</f>
        <v>0</v>
      </c>
      <c r="J927" s="1">
        <f>IF(B927="", "", "655179")</f>
        <v>0</v>
      </c>
    </row>
    <row r="928" spans="1:10">
      <c r="A928">
        <f>IF(COUNTBLANK(B928:J928)&lt;&gt;COLUMNS(B928:J928),927,"")</f>
        <v>0</v>
      </c>
      <c r="D928" s="1">
        <f>IF(B928="", "", "m")</f>
        <v>0</v>
      </c>
      <c r="F928" s="1">
        <f>IF(B928="", "", "air")</f>
        <v>0</v>
      </c>
      <c r="G928" s="1">
        <f>IF(B928="", "", "air")</f>
        <v>0</v>
      </c>
      <c r="H928" s="1">
        <f>IF(B928="", "", "air")</f>
        <v>0</v>
      </c>
      <c r="I928" s="1">
        <f>IF(B928="", "", "air metagenome")</f>
        <v>0</v>
      </c>
      <c r="J928" s="1">
        <f>IF(B928="", "", "655179")</f>
        <v>0</v>
      </c>
    </row>
    <row r="929" spans="1:10">
      <c r="A929">
        <f>IF(COUNTBLANK(B929:J929)&lt;&gt;COLUMNS(B929:J929),928,"")</f>
        <v>0</v>
      </c>
      <c r="D929" s="1">
        <f>IF(B929="", "", "m")</f>
        <v>0</v>
      </c>
      <c r="F929" s="1">
        <f>IF(B929="", "", "air")</f>
        <v>0</v>
      </c>
      <c r="G929" s="1">
        <f>IF(B929="", "", "air")</f>
        <v>0</v>
      </c>
      <c r="H929" s="1">
        <f>IF(B929="", "", "air")</f>
        <v>0</v>
      </c>
      <c r="I929" s="1">
        <f>IF(B929="", "", "air metagenome")</f>
        <v>0</v>
      </c>
      <c r="J929" s="1">
        <f>IF(B929="", "", "655179")</f>
        <v>0</v>
      </c>
    </row>
    <row r="930" spans="1:10">
      <c r="A930">
        <f>IF(COUNTBLANK(B930:J930)&lt;&gt;COLUMNS(B930:J930),929,"")</f>
        <v>0</v>
      </c>
      <c r="D930" s="1">
        <f>IF(B930="", "", "m")</f>
        <v>0</v>
      </c>
      <c r="F930" s="1">
        <f>IF(B930="", "", "air")</f>
        <v>0</v>
      </c>
      <c r="G930" s="1">
        <f>IF(B930="", "", "air")</f>
        <v>0</v>
      </c>
      <c r="H930" s="1">
        <f>IF(B930="", "", "air")</f>
        <v>0</v>
      </c>
      <c r="I930" s="1">
        <f>IF(B930="", "", "air metagenome")</f>
        <v>0</v>
      </c>
      <c r="J930" s="1">
        <f>IF(B930="", "", "655179")</f>
        <v>0</v>
      </c>
    </row>
    <row r="931" spans="1:10">
      <c r="A931">
        <f>IF(COUNTBLANK(B931:J931)&lt;&gt;COLUMNS(B931:J931),930,"")</f>
        <v>0</v>
      </c>
      <c r="D931" s="1">
        <f>IF(B931="", "", "m")</f>
        <v>0</v>
      </c>
      <c r="F931" s="1">
        <f>IF(B931="", "", "air")</f>
        <v>0</v>
      </c>
      <c r="G931" s="1">
        <f>IF(B931="", "", "air")</f>
        <v>0</v>
      </c>
      <c r="H931" s="1">
        <f>IF(B931="", "", "air")</f>
        <v>0</v>
      </c>
      <c r="I931" s="1">
        <f>IF(B931="", "", "air metagenome")</f>
        <v>0</v>
      </c>
      <c r="J931" s="1">
        <f>IF(B931="", "", "655179")</f>
        <v>0</v>
      </c>
    </row>
    <row r="932" spans="1:10">
      <c r="A932">
        <f>IF(COUNTBLANK(B932:J932)&lt;&gt;COLUMNS(B932:J932),931,"")</f>
        <v>0</v>
      </c>
      <c r="D932" s="1">
        <f>IF(B932="", "", "m")</f>
        <v>0</v>
      </c>
      <c r="F932" s="1">
        <f>IF(B932="", "", "air")</f>
        <v>0</v>
      </c>
      <c r="G932" s="1">
        <f>IF(B932="", "", "air")</f>
        <v>0</v>
      </c>
      <c r="H932" s="1">
        <f>IF(B932="", "", "air")</f>
        <v>0</v>
      </c>
      <c r="I932" s="1">
        <f>IF(B932="", "", "air metagenome")</f>
        <v>0</v>
      </c>
      <c r="J932" s="1">
        <f>IF(B932="", "", "655179")</f>
        <v>0</v>
      </c>
    </row>
    <row r="933" spans="1:10">
      <c r="A933">
        <f>IF(COUNTBLANK(B933:J933)&lt;&gt;COLUMNS(B933:J933),932,"")</f>
        <v>0</v>
      </c>
      <c r="D933" s="1">
        <f>IF(B933="", "", "m")</f>
        <v>0</v>
      </c>
      <c r="F933" s="1">
        <f>IF(B933="", "", "air")</f>
        <v>0</v>
      </c>
      <c r="G933" s="1">
        <f>IF(B933="", "", "air")</f>
        <v>0</v>
      </c>
      <c r="H933" s="1">
        <f>IF(B933="", "", "air")</f>
        <v>0</v>
      </c>
      <c r="I933" s="1">
        <f>IF(B933="", "", "air metagenome")</f>
        <v>0</v>
      </c>
      <c r="J933" s="1">
        <f>IF(B933="", "", "655179")</f>
        <v>0</v>
      </c>
    </row>
    <row r="934" spans="1:10">
      <c r="A934">
        <f>IF(COUNTBLANK(B934:J934)&lt;&gt;COLUMNS(B934:J934),933,"")</f>
        <v>0</v>
      </c>
      <c r="D934" s="1">
        <f>IF(B934="", "", "m")</f>
        <v>0</v>
      </c>
      <c r="F934" s="1">
        <f>IF(B934="", "", "air")</f>
        <v>0</v>
      </c>
      <c r="G934" s="1">
        <f>IF(B934="", "", "air")</f>
        <v>0</v>
      </c>
      <c r="H934" s="1">
        <f>IF(B934="", "", "air")</f>
        <v>0</v>
      </c>
      <c r="I934" s="1">
        <f>IF(B934="", "", "air metagenome")</f>
        <v>0</v>
      </c>
      <c r="J934" s="1">
        <f>IF(B934="", "", "655179")</f>
        <v>0</v>
      </c>
    </row>
    <row r="935" spans="1:10">
      <c r="A935">
        <f>IF(COUNTBLANK(B935:J935)&lt;&gt;COLUMNS(B935:J935),934,"")</f>
        <v>0</v>
      </c>
      <c r="D935" s="1">
        <f>IF(B935="", "", "m")</f>
        <v>0</v>
      </c>
      <c r="F935" s="1">
        <f>IF(B935="", "", "air")</f>
        <v>0</v>
      </c>
      <c r="G935" s="1">
        <f>IF(B935="", "", "air")</f>
        <v>0</v>
      </c>
      <c r="H935" s="1">
        <f>IF(B935="", "", "air")</f>
        <v>0</v>
      </c>
      <c r="I935" s="1">
        <f>IF(B935="", "", "air metagenome")</f>
        <v>0</v>
      </c>
      <c r="J935" s="1">
        <f>IF(B935="", "", "655179")</f>
        <v>0</v>
      </c>
    </row>
    <row r="936" spans="1:10">
      <c r="A936">
        <f>IF(COUNTBLANK(B936:J936)&lt;&gt;COLUMNS(B936:J936),935,"")</f>
        <v>0</v>
      </c>
      <c r="D936" s="1">
        <f>IF(B936="", "", "m")</f>
        <v>0</v>
      </c>
      <c r="F936" s="1">
        <f>IF(B936="", "", "air")</f>
        <v>0</v>
      </c>
      <c r="G936" s="1">
        <f>IF(B936="", "", "air")</f>
        <v>0</v>
      </c>
      <c r="H936" s="1">
        <f>IF(B936="", "", "air")</f>
        <v>0</v>
      </c>
      <c r="I936" s="1">
        <f>IF(B936="", "", "air metagenome")</f>
        <v>0</v>
      </c>
      <c r="J936" s="1">
        <f>IF(B936="", "", "655179")</f>
        <v>0</v>
      </c>
    </row>
    <row r="937" spans="1:10">
      <c r="A937">
        <f>IF(COUNTBLANK(B937:J937)&lt;&gt;COLUMNS(B937:J937),936,"")</f>
        <v>0</v>
      </c>
      <c r="D937" s="1">
        <f>IF(B937="", "", "m")</f>
        <v>0</v>
      </c>
      <c r="F937" s="1">
        <f>IF(B937="", "", "air")</f>
        <v>0</v>
      </c>
      <c r="G937" s="1">
        <f>IF(B937="", "", "air")</f>
        <v>0</v>
      </c>
      <c r="H937" s="1">
        <f>IF(B937="", "", "air")</f>
        <v>0</v>
      </c>
      <c r="I937" s="1">
        <f>IF(B937="", "", "air metagenome")</f>
        <v>0</v>
      </c>
      <c r="J937" s="1">
        <f>IF(B937="", "", "655179")</f>
        <v>0</v>
      </c>
    </row>
    <row r="938" spans="1:10">
      <c r="A938">
        <f>IF(COUNTBLANK(B938:J938)&lt;&gt;COLUMNS(B938:J938),937,"")</f>
        <v>0</v>
      </c>
      <c r="D938" s="1">
        <f>IF(B938="", "", "m")</f>
        <v>0</v>
      </c>
      <c r="F938" s="1">
        <f>IF(B938="", "", "air")</f>
        <v>0</v>
      </c>
      <c r="G938" s="1">
        <f>IF(B938="", "", "air")</f>
        <v>0</v>
      </c>
      <c r="H938" s="1">
        <f>IF(B938="", "", "air")</f>
        <v>0</v>
      </c>
      <c r="I938" s="1">
        <f>IF(B938="", "", "air metagenome")</f>
        <v>0</v>
      </c>
      <c r="J938" s="1">
        <f>IF(B938="", "", "655179")</f>
        <v>0</v>
      </c>
    </row>
    <row r="939" spans="1:10">
      <c r="A939">
        <f>IF(COUNTBLANK(B939:J939)&lt;&gt;COLUMNS(B939:J939),938,"")</f>
        <v>0</v>
      </c>
      <c r="D939" s="1">
        <f>IF(B939="", "", "m")</f>
        <v>0</v>
      </c>
      <c r="F939" s="1">
        <f>IF(B939="", "", "air")</f>
        <v>0</v>
      </c>
      <c r="G939" s="1">
        <f>IF(B939="", "", "air")</f>
        <v>0</v>
      </c>
      <c r="H939" s="1">
        <f>IF(B939="", "", "air")</f>
        <v>0</v>
      </c>
      <c r="I939" s="1">
        <f>IF(B939="", "", "air metagenome")</f>
        <v>0</v>
      </c>
      <c r="J939" s="1">
        <f>IF(B939="", "", "655179")</f>
        <v>0</v>
      </c>
    </row>
    <row r="940" spans="1:10">
      <c r="A940">
        <f>IF(COUNTBLANK(B940:J940)&lt;&gt;COLUMNS(B940:J940),939,"")</f>
        <v>0</v>
      </c>
      <c r="D940" s="1">
        <f>IF(B940="", "", "m")</f>
        <v>0</v>
      </c>
      <c r="F940" s="1">
        <f>IF(B940="", "", "air")</f>
        <v>0</v>
      </c>
      <c r="G940" s="1">
        <f>IF(B940="", "", "air")</f>
        <v>0</v>
      </c>
      <c r="H940" s="1">
        <f>IF(B940="", "", "air")</f>
        <v>0</v>
      </c>
      <c r="I940" s="1">
        <f>IF(B940="", "", "air metagenome")</f>
        <v>0</v>
      </c>
      <c r="J940" s="1">
        <f>IF(B940="", "", "655179")</f>
        <v>0</v>
      </c>
    </row>
    <row r="941" spans="1:10">
      <c r="A941">
        <f>IF(COUNTBLANK(B941:J941)&lt;&gt;COLUMNS(B941:J941),940,"")</f>
        <v>0</v>
      </c>
      <c r="D941" s="1">
        <f>IF(B941="", "", "m")</f>
        <v>0</v>
      </c>
      <c r="F941" s="1">
        <f>IF(B941="", "", "air")</f>
        <v>0</v>
      </c>
      <c r="G941" s="1">
        <f>IF(B941="", "", "air")</f>
        <v>0</v>
      </c>
      <c r="H941" s="1">
        <f>IF(B941="", "", "air")</f>
        <v>0</v>
      </c>
      <c r="I941" s="1">
        <f>IF(B941="", "", "air metagenome")</f>
        <v>0</v>
      </c>
      <c r="J941" s="1">
        <f>IF(B941="", "", "655179")</f>
        <v>0</v>
      </c>
    </row>
    <row r="942" spans="1:10">
      <c r="A942">
        <f>IF(COUNTBLANK(B942:J942)&lt;&gt;COLUMNS(B942:J942),941,"")</f>
        <v>0</v>
      </c>
      <c r="D942" s="1">
        <f>IF(B942="", "", "m")</f>
        <v>0</v>
      </c>
      <c r="F942" s="1">
        <f>IF(B942="", "", "air")</f>
        <v>0</v>
      </c>
      <c r="G942" s="1">
        <f>IF(B942="", "", "air")</f>
        <v>0</v>
      </c>
      <c r="H942" s="1">
        <f>IF(B942="", "", "air")</f>
        <v>0</v>
      </c>
      <c r="I942" s="1">
        <f>IF(B942="", "", "air metagenome")</f>
        <v>0</v>
      </c>
      <c r="J942" s="1">
        <f>IF(B942="", "", "655179")</f>
        <v>0</v>
      </c>
    </row>
    <row r="943" spans="1:10">
      <c r="A943">
        <f>IF(COUNTBLANK(B943:J943)&lt;&gt;COLUMNS(B943:J943),942,"")</f>
        <v>0</v>
      </c>
      <c r="D943" s="1">
        <f>IF(B943="", "", "m")</f>
        <v>0</v>
      </c>
      <c r="F943" s="1">
        <f>IF(B943="", "", "air")</f>
        <v>0</v>
      </c>
      <c r="G943" s="1">
        <f>IF(B943="", "", "air")</f>
        <v>0</v>
      </c>
      <c r="H943" s="1">
        <f>IF(B943="", "", "air")</f>
        <v>0</v>
      </c>
      <c r="I943" s="1">
        <f>IF(B943="", "", "air metagenome")</f>
        <v>0</v>
      </c>
      <c r="J943" s="1">
        <f>IF(B943="", "", "655179")</f>
        <v>0</v>
      </c>
    </row>
    <row r="944" spans="1:10">
      <c r="A944">
        <f>IF(COUNTBLANK(B944:J944)&lt;&gt;COLUMNS(B944:J944),943,"")</f>
        <v>0</v>
      </c>
      <c r="D944" s="1">
        <f>IF(B944="", "", "m")</f>
        <v>0</v>
      </c>
      <c r="F944" s="1">
        <f>IF(B944="", "", "air")</f>
        <v>0</v>
      </c>
      <c r="G944" s="1">
        <f>IF(B944="", "", "air")</f>
        <v>0</v>
      </c>
      <c r="H944" s="1">
        <f>IF(B944="", "", "air")</f>
        <v>0</v>
      </c>
      <c r="I944" s="1">
        <f>IF(B944="", "", "air metagenome")</f>
        <v>0</v>
      </c>
      <c r="J944" s="1">
        <f>IF(B944="", "", "655179")</f>
        <v>0</v>
      </c>
    </row>
    <row r="945" spans="1:10">
      <c r="A945">
        <f>IF(COUNTBLANK(B945:J945)&lt;&gt;COLUMNS(B945:J945),944,"")</f>
        <v>0</v>
      </c>
      <c r="D945" s="1">
        <f>IF(B945="", "", "m")</f>
        <v>0</v>
      </c>
      <c r="F945" s="1">
        <f>IF(B945="", "", "air")</f>
        <v>0</v>
      </c>
      <c r="G945" s="1">
        <f>IF(B945="", "", "air")</f>
        <v>0</v>
      </c>
      <c r="H945" s="1">
        <f>IF(B945="", "", "air")</f>
        <v>0</v>
      </c>
      <c r="I945" s="1">
        <f>IF(B945="", "", "air metagenome")</f>
        <v>0</v>
      </c>
      <c r="J945" s="1">
        <f>IF(B945="", "", "655179")</f>
        <v>0</v>
      </c>
    </row>
    <row r="946" spans="1:10">
      <c r="A946">
        <f>IF(COUNTBLANK(B946:J946)&lt;&gt;COLUMNS(B946:J946),945,"")</f>
        <v>0</v>
      </c>
      <c r="D946" s="1">
        <f>IF(B946="", "", "m")</f>
        <v>0</v>
      </c>
      <c r="F946" s="1">
        <f>IF(B946="", "", "air")</f>
        <v>0</v>
      </c>
      <c r="G946" s="1">
        <f>IF(B946="", "", "air")</f>
        <v>0</v>
      </c>
      <c r="H946" s="1">
        <f>IF(B946="", "", "air")</f>
        <v>0</v>
      </c>
      <c r="I946" s="1">
        <f>IF(B946="", "", "air metagenome")</f>
        <v>0</v>
      </c>
      <c r="J946" s="1">
        <f>IF(B946="", "", "655179")</f>
        <v>0</v>
      </c>
    </row>
    <row r="947" spans="1:10">
      <c r="A947">
        <f>IF(COUNTBLANK(B947:J947)&lt;&gt;COLUMNS(B947:J947),946,"")</f>
        <v>0</v>
      </c>
      <c r="D947" s="1">
        <f>IF(B947="", "", "m")</f>
        <v>0</v>
      </c>
      <c r="F947" s="1">
        <f>IF(B947="", "", "air")</f>
        <v>0</v>
      </c>
      <c r="G947" s="1">
        <f>IF(B947="", "", "air")</f>
        <v>0</v>
      </c>
      <c r="H947" s="1">
        <f>IF(B947="", "", "air")</f>
        <v>0</v>
      </c>
      <c r="I947" s="1">
        <f>IF(B947="", "", "air metagenome")</f>
        <v>0</v>
      </c>
      <c r="J947" s="1">
        <f>IF(B947="", "", "655179")</f>
        <v>0</v>
      </c>
    </row>
    <row r="948" spans="1:10">
      <c r="A948">
        <f>IF(COUNTBLANK(B948:J948)&lt;&gt;COLUMNS(B948:J948),947,"")</f>
        <v>0</v>
      </c>
      <c r="D948" s="1">
        <f>IF(B948="", "", "m")</f>
        <v>0</v>
      </c>
      <c r="F948" s="1">
        <f>IF(B948="", "", "air")</f>
        <v>0</v>
      </c>
      <c r="G948" s="1">
        <f>IF(B948="", "", "air")</f>
        <v>0</v>
      </c>
      <c r="H948" s="1">
        <f>IF(B948="", "", "air")</f>
        <v>0</v>
      </c>
      <c r="I948" s="1">
        <f>IF(B948="", "", "air metagenome")</f>
        <v>0</v>
      </c>
      <c r="J948" s="1">
        <f>IF(B948="", "", "655179")</f>
        <v>0</v>
      </c>
    </row>
    <row r="949" spans="1:10">
      <c r="A949">
        <f>IF(COUNTBLANK(B949:J949)&lt;&gt;COLUMNS(B949:J949),948,"")</f>
        <v>0</v>
      </c>
      <c r="D949" s="1">
        <f>IF(B949="", "", "m")</f>
        <v>0</v>
      </c>
      <c r="F949" s="1">
        <f>IF(B949="", "", "air")</f>
        <v>0</v>
      </c>
      <c r="G949" s="1">
        <f>IF(B949="", "", "air")</f>
        <v>0</v>
      </c>
      <c r="H949" s="1">
        <f>IF(B949="", "", "air")</f>
        <v>0</v>
      </c>
      <c r="I949" s="1">
        <f>IF(B949="", "", "air metagenome")</f>
        <v>0</v>
      </c>
      <c r="J949" s="1">
        <f>IF(B949="", "", "655179")</f>
        <v>0</v>
      </c>
    </row>
    <row r="950" spans="1:10">
      <c r="A950">
        <f>IF(COUNTBLANK(B950:J950)&lt;&gt;COLUMNS(B950:J950),949,"")</f>
        <v>0</v>
      </c>
      <c r="D950" s="1">
        <f>IF(B950="", "", "m")</f>
        <v>0</v>
      </c>
      <c r="F950" s="1">
        <f>IF(B950="", "", "air")</f>
        <v>0</v>
      </c>
      <c r="G950" s="1">
        <f>IF(B950="", "", "air")</f>
        <v>0</v>
      </c>
      <c r="H950" s="1">
        <f>IF(B950="", "", "air")</f>
        <v>0</v>
      </c>
      <c r="I950" s="1">
        <f>IF(B950="", "", "air metagenome")</f>
        <v>0</v>
      </c>
      <c r="J950" s="1">
        <f>IF(B950="", "", "655179")</f>
        <v>0</v>
      </c>
    </row>
    <row r="951" spans="1:10">
      <c r="A951">
        <f>IF(COUNTBLANK(B951:J951)&lt;&gt;COLUMNS(B951:J951),950,"")</f>
        <v>0</v>
      </c>
      <c r="D951" s="1">
        <f>IF(B951="", "", "m")</f>
        <v>0</v>
      </c>
      <c r="F951" s="1">
        <f>IF(B951="", "", "air")</f>
        <v>0</v>
      </c>
      <c r="G951" s="1">
        <f>IF(B951="", "", "air")</f>
        <v>0</v>
      </c>
      <c r="H951" s="1">
        <f>IF(B951="", "", "air")</f>
        <v>0</v>
      </c>
      <c r="I951" s="1">
        <f>IF(B951="", "", "air metagenome")</f>
        <v>0</v>
      </c>
      <c r="J951" s="1">
        <f>IF(B951="", "", "655179")</f>
        <v>0</v>
      </c>
    </row>
    <row r="952" spans="1:10">
      <c r="A952">
        <f>IF(COUNTBLANK(B952:J952)&lt;&gt;COLUMNS(B952:J952),951,"")</f>
        <v>0</v>
      </c>
      <c r="D952" s="1">
        <f>IF(B952="", "", "m")</f>
        <v>0</v>
      </c>
      <c r="F952" s="1">
        <f>IF(B952="", "", "air")</f>
        <v>0</v>
      </c>
      <c r="G952" s="1">
        <f>IF(B952="", "", "air")</f>
        <v>0</v>
      </c>
      <c r="H952" s="1">
        <f>IF(B952="", "", "air")</f>
        <v>0</v>
      </c>
      <c r="I952" s="1">
        <f>IF(B952="", "", "air metagenome")</f>
        <v>0</v>
      </c>
      <c r="J952" s="1">
        <f>IF(B952="", "", "655179")</f>
        <v>0</v>
      </c>
    </row>
    <row r="953" spans="1:10">
      <c r="A953">
        <f>IF(COUNTBLANK(B953:J953)&lt;&gt;COLUMNS(B953:J953),952,"")</f>
        <v>0</v>
      </c>
      <c r="D953" s="1">
        <f>IF(B953="", "", "m")</f>
        <v>0</v>
      </c>
      <c r="F953" s="1">
        <f>IF(B953="", "", "air")</f>
        <v>0</v>
      </c>
      <c r="G953" s="1">
        <f>IF(B953="", "", "air")</f>
        <v>0</v>
      </c>
      <c r="H953" s="1">
        <f>IF(B953="", "", "air")</f>
        <v>0</v>
      </c>
      <c r="I953" s="1">
        <f>IF(B953="", "", "air metagenome")</f>
        <v>0</v>
      </c>
      <c r="J953" s="1">
        <f>IF(B953="", "", "655179")</f>
        <v>0</v>
      </c>
    </row>
    <row r="954" spans="1:10">
      <c r="A954">
        <f>IF(COUNTBLANK(B954:J954)&lt;&gt;COLUMNS(B954:J954),953,"")</f>
        <v>0</v>
      </c>
      <c r="D954" s="1">
        <f>IF(B954="", "", "m")</f>
        <v>0</v>
      </c>
      <c r="F954" s="1">
        <f>IF(B954="", "", "air")</f>
        <v>0</v>
      </c>
      <c r="G954" s="1">
        <f>IF(B954="", "", "air")</f>
        <v>0</v>
      </c>
      <c r="H954" s="1">
        <f>IF(B954="", "", "air")</f>
        <v>0</v>
      </c>
      <c r="I954" s="1">
        <f>IF(B954="", "", "air metagenome")</f>
        <v>0</v>
      </c>
      <c r="J954" s="1">
        <f>IF(B954="", "", "655179")</f>
        <v>0</v>
      </c>
    </row>
    <row r="955" spans="1:10">
      <c r="A955">
        <f>IF(COUNTBLANK(B955:J955)&lt;&gt;COLUMNS(B955:J955),954,"")</f>
        <v>0</v>
      </c>
      <c r="D955" s="1">
        <f>IF(B955="", "", "m")</f>
        <v>0</v>
      </c>
      <c r="F955" s="1">
        <f>IF(B955="", "", "air")</f>
        <v>0</v>
      </c>
      <c r="G955" s="1">
        <f>IF(B955="", "", "air")</f>
        <v>0</v>
      </c>
      <c r="H955" s="1">
        <f>IF(B955="", "", "air")</f>
        <v>0</v>
      </c>
      <c r="I955" s="1">
        <f>IF(B955="", "", "air metagenome")</f>
        <v>0</v>
      </c>
      <c r="J955" s="1">
        <f>IF(B955="", "", "655179")</f>
        <v>0</v>
      </c>
    </row>
    <row r="956" spans="1:10">
      <c r="A956">
        <f>IF(COUNTBLANK(B956:J956)&lt;&gt;COLUMNS(B956:J956),955,"")</f>
        <v>0</v>
      </c>
      <c r="D956" s="1">
        <f>IF(B956="", "", "m")</f>
        <v>0</v>
      </c>
      <c r="F956" s="1">
        <f>IF(B956="", "", "air")</f>
        <v>0</v>
      </c>
      <c r="G956" s="1">
        <f>IF(B956="", "", "air")</f>
        <v>0</v>
      </c>
      <c r="H956" s="1">
        <f>IF(B956="", "", "air")</f>
        <v>0</v>
      </c>
      <c r="I956" s="1">
        <f>IF(B956="", "", "air metagenome")</f>
        <v>0</v>
      </c>
      <c r="J956" s="1">
        <f>IF(B956="", "", "655179")</f>
        <v>0</v>
      </c>
    </row>
    <row r="957" spans="1:10">
      <c r="A957">
        <f>IF(COUNTBLANK(B957:J957)&lt;&gt;COLUMNS(B957:J957),956,"")</f>
        <v>0</v>
      </c>
      <c r="D957" s="1">
        <f>IF(B957="", "", "m")</f>
        <v>0</v>
      </c>
      <c r="F957" s="1">
        <f>IF(B957="", "", "air")</f>
        <v>0</v>
      </c>
      <c r="G957" s="1">
        <f>IF(B957="", "", "air")</f>
        <v>0</v>
      </c>
      <c r="H957" s="1">
        <f>IF(B957="", "", "air")</f>
        <v>0</v>
      </c>
      <c r="I957" s="1">
        <f>IF(B957="", "", "air metagenome")</f>
        <v>0</v>
      </c>
      <c r="J957" s="1">
        <f>IF(B957="", "", "655179")</f>
        <v>0</v>
      </c>
    </row>
    <row r="958" spans="1:10">
      <c r="A958">
        <f>IF(COUNTBLANK(B958:J958)&lt;&gt;COLUMNS(B958:J958),957,"")</f>
        <v>0</v>
      </c>
      <c r="D958" s="1">
        <f>IF(B958="", "", "m")</f>
        <v>0</v>
      </c>
      <c r="F958" s="1">
        <f>IF(B958="", "", "air")</f>
        <v>0</v>
      </c>
      <c r="G958" s="1">
        <f>IF(B958="", "", "air")</f>
        <v>0</v>
      </c>
      <c r="H958" s="1">
        <f>IF(B958="", "", "air")</f>
        <v>0</v>
      </c>
      <c r="I958" s="1">
        <f>IF(B958="", "", "air metagenome")</f>
        <v>0</v>
      </c>
      <c r="J958" s="1">
        <f>IF(B958="", "", "655179")</f>
        <v>0</v>
      </c>
    </row>
    <row r="959" spans="1:10">
      <c r="A959">
        <f>IF(COUNTBLANK(B959:J959)&lt;&gt;COLUMNS(B959:J959),958,"")</f>
        <v>0</v>
      </c>
      <c r="D959" s="1">
        <f>IF(B959="", "", "m")</f>
        <v>0</v>
      </c>
      <c r="F959" s="1">
        <f>IF(B959="", "", "air")</f>
        <v>0</v>
      </c>
      <c r="G959" s="1">
        <f>IF(B959="", "", "air")</f>
        <v>0</v>
      </c>
      <c r="H959" s="1">
        <f>IF(B959="", "", "air")</f>
        <v>0</v>
      </c>
      <c r="I959" s="1">
        <f>IF(B959="", "", "air metagenome")</f>
        <v>0</v>
      </c>
      <c r="J959" s="1">
        <f>IF(B959="", "", "655179")</f>
        <v>0</v>
      </c>
    </row>
    <row r="960" spans="1:10">
      <c r="A960">
        <f>IF(COUNTBLANK(B960:J960)&lt;&gt;COLUMNS(B960:J960),959,"")</f>
        <v>0</v>
      </c>
      <c r="D960" s="1">
        <f>IF(B960="", "", "m")</f>
        <v>0</v>
      </c>
      <c r="F960" s="1">
        <f>IF(B960="", "", "air")</f>
        <v>0</v>
      </c>
      <c r="G960" s="1">
        <f>IF(B960="", "", "air")</f>
        <v>0</v>
      </c>
      <c r="H960" s="1">
        <f>IF(B960="", "", "air")</f>
        <v>0</v>
      </c>
      <c r="I960" s="1">
        <f>IF(B960="", "", "air metagenome")</f>
        <v>0</v>
      </c>
      <c r="J960" s="1">
        <f>IF(B960="", "", "655179")</f>
        <v>0</v>
      </c>
    </row>
    <row r="961" spans="1:10">
      <c r="A961">
        <f>IF(COUNTBLANK(B961:J961)&lt;&gt;COLUMNS(B961:J961),960,"")</f>
        <v>0</v>
      </c>
      <c r="D961" s="1">
        <f>IF(B961="", "", "m")</f>
        <v>0</v>
      </c>
      <c r="F961" s="1">
        <f>IF(B961="", "", "air")</f>
        <v>0</v>
      </c>
      <c r="G961" s="1">
        <f>IF(B961="", "", "air")</f>
        <v>0</v>
      </c>
      <c r="H961" s="1">
        <f>IF(B961="", "", "air")</f>
        <v>0</v>
      </c>
      <c r="I961" s="1">
        <f>IF(B961="", "", "air metagenome")</f>
        <v>0</v>
      </c>
      <c r="J961" s="1">
        <f>IF(B961="", "", "655179")</f>
        <v>0</v>
      </c>
    </row>
    <row r="962" spans="1:10">
      <c r="A962">
        <f>IF(COUNTBLANK(B962:J962)&lt;&gt;COLUMNS(B962:J962),961,"")</f>
        <v>0</v>
      </c>
      <c r="D962" s="1">
        <f>IF(B962="", "", "m")</f>
        <v>0</v>
      </c>
      <c r="F962" s="1">
        <f>IF(B962="", "", "air")</f>
        <v>0</v>
      </c>
      <c r="G962" s="1">
        <f>IF(B962="", "", "air")</f>
        <v>0</v>
      </c>
      <c r="H962" s="1">
        <f>IF(B962="", "", "air")</f>
        <v>0</v>
      </c>
      <c r="I962" s="1">
        <f>IF(B962="", "", "air metagenome")</f>
        <v>0</v>
      </c>
      <c r="J962" s="1">
        <f>IF(B962="", "", "655179")</f>
        <v>0</v>
      </c>
    </row>
    <row r="963" spans="1:10">
      <c r="A963">
        <f>IF(COUNTBLANK(B963:J963)&lt;&gt;COLUMNS(B963:J963),962,"")</f>
        <v>0</v>
      </c>
      <c r="D963" s="1">
        <f>IF(B963="", "", "m")</f>
        <v>0</v>
      </c>
      <c r="F963" s="1">
        <f>IF(B963="", "", "air")</f>
        <v>0</v>
      </c>
      <c r="G963" s="1">
        <f>IF(B963="", "", "air")</f>
        <v>0</v>
      </c>
      <c r="H963" s="1">
        <f>IF(B963="", "", "air")</f>
        <v>0</v>
      </c>
      <c r="I963" s="1">
        <f>IF(B963="", "", "air metagenome")</f>
        <v>0</v>
      </c>
      <c r="J963" s="1">
        <f>IF(B963="", "", "655179")</f>
        <v>0</v>
      </c>
    </row>
    <row r="964" spans="1:10">
      <c r="A964">
        <f>IF(COUNTBLANK(B964:J964)&lt;&gt;COLUMNS(B964:J964),963,"")</f>
        <v>0</v>
      </c>
      <c r="D964" s="1">
        <f>IF(B964="", "", "m")</f>
        <v>0</v>
      </c>
      <c r="F964" s="1">
        <f>IF(B964="", "", "air")</f>
        <v>0</v>
      </c>
      <c r="G964" s="1">
        <f>IF(B964="", "", "air")</f>
        <v>0</v>
      </c>
      <c r="H964" s="1">
        <f>IF(B964="", "", "air")</f>
        <v>0</v>
      </c>
      <c r="I964" s="1">
        <f>IF(B964="", "", "air metagenome")</f>
        <v>0</v>
      </c>
      <c r="J964" s="1">
        <f>IF(B964="", "", "655179")</f>
        <v>0</v>
      </c>
    </row>
    <row r="965" spans="1:10">
      <c r="A965">
        <f>IF(COUNTBLANK(B965:J965)&lt;&gt;COLUMNS(B965:J965),964,"")</f>
        <v>0</v>
      </c>
      <c r="D965" s="1">
        <f>IF(B965="", "", "m")</f>
        <v>0</v>
      </c>
      <c r="F965" s="1">
        <f>IF(B965="", "", "air")</f>
        <v>0</v>
      </c>
      <c r="G965" s="1">
        <f>IF(B965="", "", "air")</f>
        <v>0</v>
      </c>
      <c r="H965" s="1">
        <f>IF(B965="", "", "air")</f>
        <v>0</v>
      </c>
      <c r="I965" s="1">
        <f>IF(B965="", "", "air metagenome")</f>
        <v>0</v>
      </c>
      <c r="J965" s="1">
        <f>IF(B965="", "", "655179")</f>
        <v>0</v>
      </c>
    </row>
    <row r="966" spans="1:10">
      <c r="A966">
        <f>IF(COUNTBLANK(B966:J966)&lt;&gt;COLUMNS(B966:J966),965,"")</f>
        <v>0</v>
      </c>
      <c r="D966" s="1">
        <f>IF(B966="", "", "m")</f>
        <v>0</v>
      </c>
      <c r="F966" s="1">
        <f>IF(B966="", "", "air")</f>
        <v>0</v>
      </c>
      <c r="G966" s="1">
        <f>IF(B966="", "", "air")</f>
        <v>0</v>
      </c>
      <c r="H966" s="1">
        <f>IF(B966="", "", "air")</f>
        <v>0</v>
      </c>
      <c r="I966" s="1">
        <f>IF(B966="", "", "air metagenome")</f>
        <v>0</v>
      </c>
      <c r="J966" s="1">
        <f>IF(B966="", "", "655179")</f>
        <v>0</v>
      </c>
    </row>
    <row r="967" spans="1:10">
      <c r="A967">
        <f>IF(COUNTBLANK(B967:J967)&lt;&gt;COLUMNS(B967:J967),966,"")</f>
        <v>0</v>
      </c>
      <c r="D967" s="1">
        <f>IF(B967="", "", "m")</f>
        <v>0</v>
      </c>
      <c r="F967" s="1">
        <f>IF(B967="", "", "air")</f>
        <v>0</v>
      </c>
      <c r="G967" s="1">
        <f>IF(B967="", "", "air")</f>
        <v>0</v>
      </c>
      <c r="H967" s="1">
        <f>IF(B967="", "", "air")</f>
        <v>0</v>
      </c>
      <c r="I967" s="1">
        <f>IF(B967="", "", "air metagenome")</f>
        <v>0</v>
      </c>
      <c r="J967" s="1">
        <f>IF(B967="", "", "655179")</f>
        <v>0</v>
      </c>
    </row>
    <row r="968" spans="1:10">
      <c r="A968">
        <f>IF(COUNTBLANK(B968:J968)&lt;&gt;COLUMNS(B968:J968),967,"")</f>
        <v>0</v>
      </c>
      <c r="D968" s="1">
        <f>IF(B968="", "", "m")</f>
        <v>0</v>
      </c>
      <c r="F968" s="1">
        <f>IF(B968="", "", "air")</f>
        <v>0</v>
      </c>
      <c r="G968" s="1">
        <f>IF(B968="", "", "air")</f>
        <v>0</v>
      </c>
      <c r="H968" s="1">
        <f>IF(B968="", "", "air")</f>
        <v>0</v>
      </c>
      <c r="I968" s="1">
        <f>IF(B968="", "", "air metagenome")</f>
        <v>0</v>
      </c>
      <c r="J968" s="1">
        <f>IF(B968="", "", "655179")</f>
        <v>0</v>
      </c>
    </row>
    <row r="969" spans="1:10">
      <c r="A969">
        <f>IF(COUNTBLANK(B969:J969)&lt;&gt;COLUMNS(B969:J969),968,"")</f>
        <v>0</v>
      </c>
      <c r="D969" s="1">
        <f>IF(B969="", "", "m")</f>
        <v>0</v>
      </c>
      <c r="F969" s="1">
        <f>IF(B969="", "", "air")</f>
        <v>0</v>
      </c>
      <c r="G969" s="1">
        <f>IF(B969="", "", "air")</f>
        <v>0</v>
      </c>
      <c r="H969" s="1">
        <f>IF(B969="", "", "air")</f>
        <v>0</v>
      </c>
      <c r="I969" s="1">
        <f>IF(B969="", "", "air metagenome")</f>
        <v>0</v>
      </c>
      <c r="J969" s="1">
        <f>IF(B969="", "", "655179")</f>
        <v>0</v>
      </c>
    </row>
    <row r="970" spans="1:10">
      <c r="A970">
        <f>IF(COUNTBLANK(B970:J970)&lt;&gt;COLUMNS(B970:J970),969,"")</f>
        <v>0</v>
      </c>
      <c r="D970" s="1">
        <f>IF(B970="", "", "m")</f>
        <v>0</v>
      </c>
      <c r="F970" s="1">
        <f>IF(B970="", "", "air")</f>
        <v>0</v>
      </c>
      <c r="G970" s="1">
        <f>IF(B970="", "", "air")</f>
        <v>0</v>
      </c>
      <c r="H970" s="1">
        <f>IF(B970="", "", "air")</f>
        <v>0</v>
      </c>
      <c r="I970" s="1">
        <f>IF(B970="", "", "air metagenome")</f>
        <v>0</v>
      </c>
      <c r="J970" s="1">
        <f>IF(B970="", "", "655179")</f>
        <v>0</v>
      </c>
    </row>
    <row r="971" spans="1:10">
      <c r="A971">
        <f>IF(COUNTBLANK(B971:J971)&lt;&gt;COLUMNS(B971:J971),970,"")</f>
        <v>0</v>
      </c>
      <c r="D971" s="1">
        <f>IF(B971="", "", "m")</f>
        <v>0</v>
      </c>
      <c r="F971" s="1">
        <f>IF(B971="", "", "air")</f>
        <v>0</v>
      </c>
      <c r="G971" s="1">
        <f>IF(B971="", "", "air")</f>
        <v>0</v>
      </c>
      <c r="H971" s="1">
        <f>IF(B971="", "", "air")</f>
        <v>0</v>
      </c>
      <c r="I971" s="1">
        <f>IF(B971="", "", "air metagenome")</f>
        <v>0</v>
      </c>
      <c r="J971" s="1">
        <f>IF(B971="", "", "655179")</f>
        <v>0</v>
      </c>
    </row>
    <row r="972" spans="1:10">
      <c r="A972">
        <f>IF(COUNTBLANK(B972:J972)&lt;&gt;COLUMNS(B972:J972),971,"")</f>
        <v>0</v>
      </c>
      <c r="D972" s="1">
        <f>IF(B972="", "", "m")</f>
        <v>0</v>
      </c>
      <c r="F972" s="1">
        <f>IF(B972="", "", "air")</f>
        <v>0</v>
      </c>
      <c r="G972" s="1">
        <f>IF(B972="", "", "air")</f>
        <v>0</v>
      </c>
      <c r="H972" s="1">
        <f>IF(B972="", "", "air")</f>
        <v>0</v>
      </c>
      <c r="I972" s="1">
        <f>IF(B972="", "", "air metagenome")</f>
        <v>0</v>
      </c>
      <c r="J972" s="1">
        <f>IF(B972="", "", "655179")</f>
        <v>0</v>
      </c>
    </row>
    <row r="973" spans="1:10">
      <c r="A973">
        <f>IF(COUNTBLANK(B973:J973)&lt;&gt;COLUMNS(B973:J973),972,"")</f>
        <v>0</v>
      </c>
      <c r="D973" s="1">
        <f>IF(B973="", "", "m")</f>
        <v>0</v>
      </c>
      <c r="F973" s="1">
        <f>IF(B973="", "", "air")</f>
        <v>0</v>
      </c>
      <c r="G973" s="1">
        <f>IF(B973="", "", "air")</f>
        <v>0</v>
      </c>
      <c r="H973" s="1">
        <f>IF(B973="", "", "air")</f>
        <v>0</v>
      </c>
      <c r="I973" s="1">
        <f>IF(B973="", "", "air metagenome")</f>
        <v>0</v>
      </c>
      <c r="J973" s="1">
        <f>IF(B973="", "", "655179")</f>
        <v>0</v>
      </c>
    </row>
    <row r="974" spans="1:10">
      <c r="A974">
        <f>IF(COUNTBLANK(B974:J974)&lt;&gt;COLUMNS(B974:J974),973,"")</f>
        <v>0</v>
      </c>
      <c r="D974" s="1">
        <f>IF(B974="", "", "m")</f>
        <v>0</v>
      </c>
      <c r="F974" s="1">
        <f>IF(B974="", "", "air")</f>
        <v>0</v>
      </c>
      <c r="G974" s="1">
        <f>IF(B974="", "", "air")</f>
        <v>0</v>
      </c>
      <c r="H974" s="1">
        <f>IF(B974="", "", "air")</f>
        <v>0</v>
      </c>
      <c r="I974" s="1">
        <f>IF(B974="", "", "air metagenome")</f>
        <v>0</v>
      </c>
      <c r="J974" s="1">
        <f>IF(B974="", "", "655179")</f>
        <v>0</v>
      </c>
    </row>
    <row r="975" spans="1:10">
      <c r="A975">
        <f>IF(COUNTBLANK(B975:J975)&lt;&gt;COLUMNS(B975:J975),974,"")</f>
        <v>0</v>
      </c>
      <c r="D975" s="1">
        <f>IF(B975="", "", "m")</f>
        <v>0</v>
      </c>
      <c r="F975" s="1">
        <f>IF(B975="", "", "air")</f>
        <v>0</v>
      </c>
      <c r="G975" s="1">
        <f>IF(B975="", "", "air")</f>
        <v>0</v>
      </c>
      <c r="H975" s="1">
        <f>IF(B975="", "", "air")</f>
        <v>0</v>
      </c>
      <c r="I975" s="1">
        <f>IF(B975="", "", "air metagenome")</f>
        <v>0</v>
      </c>
      <c r="J975" s="1">
        <f>IF(B975="", "", "655179")</f>
        <v>0</v>
      </c>
    </row>
    <row r="976" spans="1:10">
      <c r="A976">
        <f>IF(COUNTBLANK(B976:J976)&lt;&gt;COLUMNS(B976:J976),975,"")</f>
        <v>0</v>
      </c>
      <c r="D976" s="1">
        <f>IF(B976="", "", "m")</f>
        <v>0</v>
      </c>
      <c r="F976" s="1">
        <f>IF(B976="", "", "air")</f>
        <v>0</v>
      </c>
      <c r="G976" s="1">
        <f>IF(B976="", "", "air")</f>
        <v>0</v>
      </c>
      <c r="H976" s="1">
        <f>IF(B976="", "", "air")</f>
        <v>0</v>
      </c>
      <c r="I976" s="1">
        <f>IF(B976="", "", "air metagenome")</f>
        <v>0</v>
      </c>
      <c r="J976" s="1">
        <f>IF(B976="", "", "655179")</f>
        <v>0</v>
      </c>
    </row>
    <row r="977" spans="1:10">
      <c r="A977">
        <f>IF(COUNTBLANK(B977:J977)&lt;&gt;COLUMNS(B977:J977),976,"")</f>
        <v>0</v>
      </c>
      <c r="D977" s="1">
        <f>IF(B977="", "", "m")</f>
        <v>0</v>
      </c>
      <c r="F977" s="1">
        <f>IF(B977="", "", "air")</f>
        <v>0</v>
      </c>
      <c r="G977" s="1">
        <f>IF(B977="", "", "air")</f>
        <v>0</v>
      </c>
      <c r="H977" s="1">
        <f>IF(B977="", "", "air")</f>
        <v>0</v>
      </c>
      <c r="I977" s="1">
        <f>IF(B977="", "", "air metagenome")</f>
        <v>0</v>
      </c>
      <c r="J977" s="1">
        <f>IF(B977="", "", "655179")</f>
        <v>0</v>
      </c>
    </row>
    <row r="978" spans="1:10">
      <c r="A978">
        <f>IF(COUNTBLANK(B978:J978)&lt;&gt;COLUMNS(B978:J978),977,"")</f>
        <v>0</v>
      </c>
      <c r="D978" s="1">
        <f>IF(B978="", "", "m")</f>
        <v>0</v>
      </c>
      <c r="F978" s="1">
        <f>IF(B978="", "", "air")</f>
        <v>0</v>
      </c>
      <c r="G978" s="1">
        <f>IF(B978="", "", "air")</f>
        <v>0</v>
      </c>
      <c r="H978" s="1">
        <f>IF(B978="", "", "air")</f>
        <v>0</v>
      </c>
      <c r="I978" s="1">
        <f>IF(B978="", "", "air metagenome")</f>
        <v>0</v>
      </c>
      <c r="J978" s="1">
        <f>IF(B978="", "", "655179")</f>
        <v>0</v>
      </c>
    </row>
    <row r="979" spans="1:10">
      <c r="A979">
        <f>IF(COUNTBLANK(B979:J979)&lt;&gt;COLUMNS(B979:J979),978,"")</f>
        <v>0</v>
      </c>
      <c r="D979" s="1">
        <f>IF(B979="", "", "m")</f>
        <v>0</v>
      </c>
      <c r="F979" s="1">
        <f>IF(B979="", "", "air")</f>
        <v>0</v>
      </c>
      <c r="G979" s="1">
        <f>IF(B979="", "", "air")</f>
        <v>0</v>
      </c>
      <c r="H979" s="1">
        <f>IF(B979="", "", "air")</f>
        <v>0</v>
      </c>
      <c r="I979" s="1">
        <f>IF(B979="", "", "air metagenome")</f>
        <v>0</v>
      </c>
      <c r="J979" s="1">
        <f>IF(B979="", "", "655179")</f>
        <v>0</v>
      </c>
    </row>
    <row r="980" spans="1:10">
      <c r="A980">
        <f>IF(COUNTBLANK(B980:J980)&lt;&gt;COLUMNS(B980:J980),979,"")</f>
        <v>0</v>
      </c>
      <c r="D980" s="1">
        <f>IF(B980="", "", "m")</f>
        <v>0</v>
      </c>
      <c r="F980" s="1">
        <f>IF(B980="", "", "air")</f>
        <v>0</v>
      </c>
      <c r="G980" s="1">
        <f>IF(B980="", "", "air")</f>
        <v>0</v>
      </c>
      <c r="H980" s="1">
        <f>IF(B980="", "", "air")</f>
        <v>0</v>
      </c>
      <c r="I980" s="1">
        <f>IF(B980="", "", "air metagenome")</f>
        <v>0</v>
      </c>
      <c r="J980" s="1">
        <f>IF(B980="", "", "655179")</f>
        <v>0</v>
      </c>
    </row>
    <row r="981" spans="1:10">
      <c r="A981">
        <f>IF(COUNTBLANK(B981:J981)&lt;&gt;COLUMNS(B981:J981),980,"")</f>
        <v>0</v>
      </c>
      <c r="D981" s="1">
        <f>IF(B981="", "", "m")</f>
        <v>0</v>
      </c>
      <c r="F981" s="1">
        <f>IF(B981="", "", "air")</f>
        <v>0</v>
      </c>
      <c r="G981" s="1">
        <f>IF(B981="", "", "air")</f>
        <v>0</v>
      </c>
      <c r="H981" s="1">
        <f>IF(B981="", "", "air")</f>
        <v>0</v>
      </c>
      <c r="I981" s="1">
        <f>IF(B981="", "", "air metagenome")</f>
        <v>0</v>
      </c>
      <c r="J981" s="1">
        <f>IF(B981="", "", "655179")</f>
        <v>0</v>
      </c>
    </row>
    <row r="982" spans="1:10">
      <c r="A982">
        <f>IF(COUNTBLANK(B982:J982)&lt;&gt;COLUMNS(B982:J982),981,"")</f>
        <v>0</v>
      </c>
      <c r="D982" s="1">
        <f>IF(B982="", "", "m")</f>
        <v>0</v>
      </c>
      <c r="F982" s="1">
        <f>IF(B982="", "", "air")</f>
        <v>0</v>
      </c>
      <c r="G982" s="1">
        <f>IF(B982="", "", "air")</f>
        <v>0</v>
      </c>
      <c r="H982" s="1">
        <f>IF(B982="", "", "air")</f>
        <v>0</v>
      </c>
      <c r="I982" s="1">
        <f>IF(B982="", "", "air metagenome")</f>
        <v>0</v>
      </c>
      <c r="J982" s="1">
        <f>IF(B982="", "", "655179")</f>
        <v>0</v>
      </c>
    </row>
    <row r="983" spans="1:10">
      <c r="A983">
        <f>IF(COUNTBLANK(B983:J983)&lt;&gt;COLUMNS(B983:J983),982,"")</f>
        <v>0</v>
      </c>
      <c r="D983" s="1">
        <f>IF(B983="", "", "m")</f>
        <v>0</v>
      </c>
      <c r="F983" s="1">
        <f>IF(B983="", "", "air")</f>
        <v>0</v>
      </c>
      <c r="G983" s="1">
        <f>IF(B983="", "", "air")</f>
        <v>0</v>
      </c>
      <c r="H983" s="1">
        <f>IF(B983="", "", "air")</f>
        <v>0</v>
      </c>
      <c r="I983" s="1">
        <f>IF(B983="", "", "air metagenome")</f>
        <v>0</v>
      </c>
      <c r="J983" s="1">
        <f>IF(B983="", "", "655179")</f>
        <v>0</v>
      </c>
    </row>
    <row r="984" spans="1:10">
      <c r="A984">
        <f>IF(COUNTBLANK(B984:J984)&lt;&gt;COLUMNS(B984:J984),983,"")</f>
        <v>0</v>
      </c>
      <c r="D984" s="1">
        <f>IF(B984="", "", "m")</f>
        <v>0</v>
      </c>
      <c r="F984" s="1">
        <f>IF(B984="", "", "air")</f>
        <v>0</v>
      </c>
      <c r="G984" s="1">
        <f>IF(B984="", "", "air")</f>
        <v>0</v>
      </c>
      <c r="H984" s="1">
        <f>IF(B984="", "", "air")</f>
        <v>0</v>
      </c>
      <c r="I984" s="1">
        <f>IF(B984="", "", "air metagenome")</f>
        <v>0</v>
      </c>
      <c r="J984" s="1">
        <f>IF(B984="", "", "655179")</f>
        <v>0</v>
      </c>
    </row>
    <row r="985" spans="1:10">
      <c r="A985">
        <f>IF(COUNTBLANK(B985:J985)&lt;&gt;COLUMNS(B985:J985),984,"")</f>
        <v>0</v>
      </c>
      <c r="D985" s="1">
        <f>IF(B985="", "", "m")</f>
        <v>0</v>
      </c>
      <c r="F985" s="1">
        <f>IF(B985="", "", "air")</f>
        <v>0</v>
      </c>
      <c r="G985" s="1">
        <f>IF(B985="", "", "air")</f>
        <v>0</v>
      </c>
      <c r="H985" s="1">
        <f>IF(B985="", "", "air")</f>
        <v>0</v>
      </c>
      <c r="I985" s="1">
        <f>IF(B985="", "", "air metagenome")</f>
        <v>0</v>
      </c>
      <c r="J985" s="1">
        <f>IF(B985="", "", "655179")</f>
        <v>0</v>
      </c>
    </row>
    <row r="986" spans="1:10">
      <c r="A986">
        <f>IF(COUNTBLANK(B986:J986)&lt;&gt;COLUMNS(B986:J986),985,"")</f>
        <v>0</v>
      </c>
      <c r="D986" s="1">
        <f>IF(B986="", "", "m")</f>
        <v>0</v>
      </c>
      <c r="F986" s="1">
        <f>IF(B986="", "", "air")</f>
        <v>0</v>
      </c>
      <c r="G986" s="1">
        <f>IF(B986="", "", "air")</f>
        <v>0</v>
      </c>
      <c r="H986" s="1">
        <f>IF(B986="", "", "air")</f>
        <v>0</v>
      </c>
      <c r="I986" s="1">
        <f>IF(B986="", "", "air metagenome")</f>
        <v>0</v>
      </c>
      <c r="J986" s="1">
        <f>IF(B986="", "", "655179")</f>
        <v>0</v>
      </c>
    </row>
    <row r="987" spans="1:10">
      <c r="A987">
        <f>IF(COUNTBLANK(B987:J987)&lt;&gt;COLUMNS(B987:J987),986,"")</f>
        <v>0</v>
      </c>
      <c r="D987" s="1">
        <f>IF(B987="", "", "m")</f>
        <v>0</v>
      </c>
      <c r="F987" s="1">
        <f>IF(B987="", "", "air")</f>
        <v>0</v>
      </c>
      <c r="G987" s="1">
        <f>IF(B987="", "", "air")</f>
        <v>0</v>
      </c>
      <c r="H987" s="1">
        <f>IF(B987="", "", "air")</f>
        <v>0</v>
      </c>
      <c r="I987" s="1">
        <f>IF(B987="", "", "air metagenome")</f>
        <v>0</v>
      </c>
      <c r="J987" s="1">
        <f>IF(B987="", "", "655179")</f>
        <v>0</v>
      </c>
    </row>
    <row r="988" spans="1:10">
      <c r="A988">
        <f>IF(COUNTBLANK(B988:J988)&lt;&gt;COLUMNS(B988:J988),987,"")</f>
        <v>0</v>
      </c>
      <c r="D988" s="1">
        <f>IF(B988="", "", "m")</f>
        <v>0</v>
      </c>
      <c r="F988" s="1">
        <f>IF(B988="", "", "air")</f>
        <v>0</v>
      </c>
      <c r="G988" s="1">
        <f>IF(B988="", "", "air")</f>
        <v>0</v>
      </c>
      <c r="H988" s="1">
        <f>IF(B988="", "", "air")</f>
        <v>0</v>
      </c>
      <c r="I988" s="1">
        <f>IF(B988="", "", "air metagenome")</f>
        <v>0</v>
      </c>
      <c r="J988" s="1">
        <f>IF(B988="", "", "655179")</f>
        <v>0</v>
      </c>
    </row>
    <row r="989" spans="1:10">
      <c r="A989">
        <f>IF(COUNTBLANK(B989:J989)&lt;&gt;COLUMNS(B989:J989),988,"")</f>
        <v>0</v>
      </c>
      <c r="D989" s="1">
        <f>IF(B989="", "", "m")</f>
        <v>0</v>
      </c>
      <c r="F989" s="1">
        <f>IF(B989="", "", "air")</f>
        <v>0</v>
      </c>
      <c r="G989" s="1">
        <f>IF(B989="", "", "air")</f>
        <v>0</v>
      </c>
      <c r="H989" s="1">
        <f>IF(B989="", "", "air")</f>
        <v>0</v>
      </c>
      <c r="I989" s="1">
        <f>IF(B989="", "", "air metagenome")</f>
        <v>0</v>
      </c>
      <c r="J989" s="1">
        <f>IF(B989="", "", "655179")</f>
        <v>0</v>
      </c>
    </row>
    <row r="990" spans="1:10">
      <c r="A990">
        <f>IF(COUNTBLANK(B990:J990)&lt;&gt;COLUMNS(B990:J990),989,"")</f>
        <v>0</v>
      </c>
      <c r="D990" s="1">
        <f>IF(B990="", "", "m")</f>
        <v>0</v>
      </c>
      <c r="F990" s="1">
        <f>IF(B990="", "", "air")</f>
        <v>0</v>
      </c>
      <c r="G990" s="1">
        <f>IF(B990="", "", "air")</f>
        <v>0</v>
      </c>
      <c r="H990" s="1">
        <f>IF(B990="", "", "air")</f>
        <v>0</v>
      </c>
      <c r="I990" s="1">
        <f>IF(B990="", "", "air metagenome")</f>
        <v>0</v>
      </c>
      <c r="J990" s="1">
        <f>IF(B990="", "", "655179")</f>
        <v>0</v>
      </c>
    </row>
    <row r="991" spans="1:10">
      <c r="A991">
        <f>IF(COUNTBLANK(B991:J991)&lt;&gt;COLUMNS(B991:J991),990,"")</f>
        <v>0</v>
      </c>
      <c r="D991" s="1">
        <f>IF(B991="", "", "m")</f>
        <v>0</v>
      </c>
      <c r="F991" s="1">
        <f>IF(B991="", "", "air")</f>
        <v>0</v>
      </c>
      <c r="G991" s="1">
        <f>IF(B991="", "", "air")</f>
        <v>0</v>
      </c>
      <c r="H991" s="1">
        <f>IF(B991="", "", "air")</f>
        <v>0</v>
      </c>
      <c r="I991" s="1">
        <f>IF(B991="", "", "air metagenome")</f>
        <v>0</v>
      </c>
      <c r="J991" s="1">
        <f>IF(B991="", "", "655179")</f>
        <v>0</v>
      </c>
    </row>
    <row r="992" spans="1:10">
      <c r="A992">
        <f>IF(COUNTBLANK(B992:J992)&lt;&gt;COLUMNS(B992:J992),991,"")</f>
        <v>0</v>
      </c>
      <c r="D992" s="1">
        <f>IF(B992="", "", "m")</f>
        <v>0</v>
      </c>
      <c r="F992" s="1">
        <f>IF(B992="", "", "air")</f>
        <v>0</v>
      </c>
      <c r="G992" s="1">
        <f>IF(B992="", "", "air")</f>
        <v>0</v>
      </c>
      <c r="H992" s="1">
        <f>IF(B992="", "", "air")</f>
        <v>0</v>
      </c>
      <c r="I992" s="1">
        <f>IF(B992="", "", "air metagenome")</f>
        <v>0</v>
      </c>
      <c r="J992" s="1">
        <f>IF(B992="", "", "655179")</f>
        <v>0</v>
      </c>
    </row>
    <row r="993" spans="1:10">
      <c r="A993">
        <f>IF(COUNTBLANK(B993:J993)&lt;&gt;COLUMNS(B993:J993),992,"")</f>
        <v>0</v>
      </c>
      <c r="D993" s="1">
        <f>IF(B993="", "", "m")</f>
        <v>0</v>
      </c>
      <c r="F993" s="1">
        <f>IF(B993="", "", "air")</f>
        <v>0</v>
      </c>
      <c r="G993" s="1">
        <f>IF(B993="", "", "air")</f>
        <v>0</v>
      </c>
      <c r="H993" s="1">
        <f>IF(B993="", "", "air")</f>
        <v>0</v>
      </c>
      <c r="I993" s="1">
        <f>IF(B993="", "", "air metagenome")</f>
        <v>0</v>
      </c>
      <c r="J993" s="1">
        <f>IF(B993="", "", "655179")</f>
        <v>0</v>
      </c>
    </row>
    <row r="994" spans="1:10">
      <c r="A994">
        <f>IF(COUNTBLANK(B994:J994)&lt;&gt;COLUMNS(B994:J994),993,"")</f>
        <v>0</v>
      </c>
      <c r="D994" s="1">
        <f>IF(B994="", "", "m")</f>
        <v>0</v>
      </c>
      <c r="F994" s="1">
        <f>IF(B994="", "", "air")</f>
        <v>0</v>
      </c>
      <c r="G994" s="1">
        <f>IF(B994="", "", "air")</f>
        <v>0</v>
      </c>
      <c r="H994" s="1">
        <f>IF(B994="", "", "air")</f>
        <v>0</v>
      </c>
      <c r="I994" s="1">
        <f>IF(B994="", "", "air metagenome")</f>
        <v>0</v>
      </c>
      <c r="J994" s="1">
        <f>IF(B994="", "", "655179")</f>
        <v>0</v>
      </c>
    </row>
    <row r="995" spans="1:10">
      <c r="A995">
        <f>IF(COUNTBLANK(B995:J995)&lt;&gt;COLUMNS(B995:J995),994,"")</f>
        <v>0</v>
      </c>
      <c r="D995" s="1">
        <f>IF(B995="", "", "m")</f>
        <v>0</v>
      </c>
      <c r="F995" s="1">
        <f>IF(B995="", "", "air")</f>
        <v>0</v>
      </c>
      <c r="G995" s="1">
        <f>IF(B995="", "", "air")</f>
        <v>0</v>
      </c>
      <c r="H995" s="1">
        <f>IF(B995="", "", "air")</f>
        <v>0</v>
      </c>
      <c r="I995" s="1">
        <f>IF(B995="", "", "air metagenome")</f>
        <v>0</v>
      </c>
      <c r="J995" s="1">
        <f>IF(B995="", "", "655179")</f>
        <v>0</v>
      </c>
    </row>
    <row r="996" spans="1:10">
      <c r="A996">
        <f>IF(COUNTBLANK(B996:J996)&lt;&gt;COLUMNS(B996:J996),995,"")</f>
        <v>0</v>
      </c>
      <c r="D996" s="1">
        <f>IF(B996="", "", "m")</f>
        <v>0</v>
      </c>
      <c r="F996" s="1">
        <f>IF(B996="", "", "air")</f>
        <v>0</v>
      </c>
      <c r="G996" s="1">
        <f>IF(B996="", "", "air")</f>
        <v>0</v>
      </c>
      <c r="H996" s="1">
        <f>IF(B996="", "", "air")</f>
        <v>0</v>
      </c>
      <c r="I996" s="1">
        <f>IF(B996="", "", "air metagenome")</f>
        <v>0</v>
      </c>
      <c r="J996" s="1">
        <f>IF(B996="", "", "655179")</f>
        <v>0</v>
      </c>
    </row>
    <row r="997" spans="1:10">
      <c r="A997">
        <f>IF(COUNTBLANK(B997:J997)&lt;&gt;COLUMNS(B997:J997),996,"")</f>
        <v>0</v>
      </c>
      <c r="D997" s="1">
        <f>IF(B997="", "", "m")</f>
        <v>0</v>
      </c>
      <c r="F997" s="1">
        <f>IF(B997="", "", "air")</f>
        <v>0</v>
      </c>
      <c r="G997" s="1">
        <f>IF(B997="", "", "air")</f>
        <v>0</v>
      </c>
      <c r="H997" s="1">
        <f>IF(B997="", "", "air")</f>
        <v>0</v>
      </c>
      <c r="I997" s="1">
        <f>IF(B997="", "", "air metagenome")</f>
        <v>0</v>
      </c>
      <c r="J997" s="1">
        <f>IF(B997="", "", "655179")</f>
        <v>0</v>
      </c>
    </row>
    <row r="998" spans="1:10">
      <c r="A998">
        <f>IF(COUNTBLANK(B998:J998)&lt;&gt;COLUMNS(B998:J998),997,"")</f>
        <v>0</v>
      </c>
      <c r="D998" s="1">
        <f>IF(B998="", "", "m")</f>
        <v>0</v>
      </c>
      <c r="F998" s="1">
        <f>IF(B998="", "", "air")</f>
        <v>0</v>
      </c>
      <c r="G998" s="1">
        <f>IF(B998="", "", "air")</f>
        <v>0</v>
      </c>
      <c r="H998" s="1">
        <f>IF(B998="", "", "air")</f>
        <v>0</v>
      </c>
      <c r="I998" s="1">
        <f>IF(B998="", "", "air metagenome")</f>
        <v>0</v>
      </c>
      <c r="J998" s="1">
        <f>IF(B998="", "", "655179")</f>
        <v>0</v>
      </c>
    </row>
    <row r="999" spans="1:10">
      <c r="A999">
        <f>IF(COUNTBLANK(B999:J999)&lt;&gt;COLUMNS(B999:J999),998,"")</f>
        <v>0</v>
      </c>
      <c r="D999" s="1">
        <f>IF(B999="", "", "m")</f>
        <v>0</v>
      </c>
      <c r="F999" s="1">
        <f>IF(B999="", "", "air")</f>
        <v>0</v>
      </c>
      <c r="G999" s="1">
        <f>IF(B999="", "", "air")</f>
        <v>0</v>
      </c>
      <c r="H999" s="1">
        <f>IF(B999="", "", "air")</f>
        <v>0</v>
      </c>
      <c r="I999" s="1">
        <f>IF(B999="", "", "air metagenome")</f>
        <v>0</v>
      </c>
      <c r="J999" s="1">
        <f>IF(B999="", "", "655179")</f>
        <v>0</v>
      </c>
    </row>
    <row r="1000" spans="1:10">
      <c r="A1000">
        <f>IF(COUNTBLANK(B1000:J1000)&lt;&gt;COLUMNS(B1000:J1000),999,"")</f>
        <v>0</v>
      </c>
      <c r="D1000" s="1">
        <f>IF(B1000="", "", "m")</f>
        <v>0</v>
      </c>
      <c r="F1000" s="1">
        <f>IF(B1000="", "", "air")</f>
        <v>0</v>
      </c>
      <c r="G1000" s="1">
        <f>IF(B1000="", "", "air")</f>
        <v>0</v>
      </c>
      <c r="H1000" s="1">
        <f>IF(B1000="", "", "air")</f>
        <v>0</v>
      </c>
      <c r="I1000" s="1">
        <f>IF(B1000="", "", "air metagenome")</f>
        <v>0</v>
      </c>
      <c r="J1000" s="1">
        <f>IF(B1000="", "", "655179")</f>
        <v>0</v>
      </c>
    </row>
    <row r="1001" spans="1:10">
      <c r="A1001">
        <f>IF(COUNTBLANK(B1001:J1001)&lt;&gt;COLUMNS(B1001:J1001),1000,"")</f>
        <v>0</v>
      </c>
      <c r="D1001" s="1">
        <f>IF(B1001="", "", "m")</f>
        <v>0</v>
      </c>
      <c r="F1001" s="1">
        <f>IF(B1001="", "", "air")</f>
        <v>0</v>
      </c>
      <c r="G1001" s="1">
        <f>IF(B1001="", "", "air")</f>
        <v>0</v>
      </c>
      <c r="H1001" s="1">
        <f>IF(B1001="", "", "air")</f>
        <v>0</v>
      </c>
      <c r="I1001" s="1">
        <f>IF(B1001="", "", "air metagenome")</f>
        <v>0</v>
      </c>
      <c r="J1001" s="1">
        <f>IF(B1001="", "", "655179")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altitude" error="The altitude value entered is not valid. Height above land where air was sampled. The value must be a string and must equal &quot;not applicable&quot; or must equal &quot;not collected&quot; or mus[text truncated: please refer to Data Dictionary sheet for full requirements]." promptTitle="Enter altitude" prompt="Height above land where air was sampled. The value must be a string and must equal &quot;not applicable&quot; or must equal &quot;not collected&quot; or must equal &quot;not provided&quot; or must equal &quot;restricted access&quot; or the value must be a number." sqref="C2:C1001">
      <formula1>(OR(AND(IF(C2="",FALSE,TRUE),OR(exact(C2,"not applicable"),exact(C2,"not collected"),exact(C2,"not provided"),exact(C2,"restricted access"))),IF(C2="",FALSE,ISNUMBER(VALUE(C2)))))</formula1>
    </dataValidation>
    <dataValidation type="list" allowBlank="1" showInputMessage="1" showErrorMessage="1" errorTitle="Invalid altitude_units" error="The altitude_units value entered is not valid. The value must be a string and must equal &quot;m&quot;. The default value is m." promptTitle="Enter altitude_units" prompt="The value must be a string and must equal &quot;m&quot;. The default value is m." sqref="D2:D1001">
      <formula1>"m"</formula1>
    </dataValidation>
    <dataValidation type="list" allowBlank="1" showInputMessage="1" showErrorMessage="1" errorTitle="Invalid empo_3" error="The empo_3 value entered is not valid. The value must be a string and must equal &quot;aerosol (non-saline)&quot; or must equal &quot;aerosol (saline)&quot;." promptTitle="Enter empo_3" prompt="The value must be a string and must equal &quot;aerosol (non-saline)&quot; or must equal &quot;aerosol (saline)&quot;." sqref="E2:E1001">
      <formula1>"aerosol (non-saline),aerosol (saline)"</formula1>
    </dataValidation>
    <dataValidation type="list" allowBlank="1" showInputMessage="1" showErrorMessage="1" errorTitle="Invalid env_material" error="The env_material value entered is not valid. The value must be a string and must equal &quot;air&quot;. The default value is air." promptTitle="Enter env_material" prompt="The value must be a string and must equal &quot;air&quot;. The default value is air." sqref="F2:F1001">
      <formula1>"air"</formula1>
    </dataValidation>
    <dataValidation type="list" allowBlank="1" showInputMessage="1" showErrorMessage="1" errorTitle="Invalid env_package" error="The env_package value entered is not valid. The value must be a string and must equal &quot;air&quot;. The default value is air." promptTitle="Enter env_package" prompt="The value must be a string and must equal &quot;air&quot;. The default value is air." sqref="G2:G1001">
      <formula1>"air"</formula1>
    </dataValidation>
    <dataValidation type="list" allowBlank="1" showInputMessage="1" showErrorMessage="1" errorTitle="Invalid sample_type" error="The sample_type value entered is not valid. The value must be a string and must equal &quot;air&quot;. The default value is air." promptTitle="Enter sample_type" prompt="The value must be a string and must equal &quot;air&quot;. The default value is air." sqref="H2:H1001">
      <formula1>"air"</formula1>
    </dataValidation>
    <dataValidation type="list" allowBlank="1" showInputMessage="1" showErrorMessage="1" errorTitle="Invalid scientific_name" error="The scientific_name value entered is not valid. The value must be a string and must equal &quot;air metagenome&quot;. The default value is air metagenome." promptTitle="Enter scientific_name" prompt="The value must be a string and must equal &quot;air metagenome&quot;. The default value is air metagenome." sqref="I2:I1001">
      <formula1>"air metagenome"</formula1>
    </dataValidation>
    <dataValidation type="list" allowBlank="1" showInputMessage="1" showErrorMessage="1" errorTitle="Invalid taxon_id" error="The taxon_id value entered is not valid. The value must be a string and must equal &quot;655179&quot;. The default value is 655179." promptTitle="Enter taxon_id" prompt="The value must be a string and must equal &quot;655179&quot;. The default value is 655179." sqref="J2:J1001">
      <formula1>"655179"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5">
        <f>IF(B2=" "," ",HYPERLINK(CONCATENATE("#metadata!",ADDRESS(INDEX($P$2:$P$1001,MATCH(ROWS($N$2:N2),$N$2:$N$1001,0),0),1)),INDEX($S$2:$S$1001,MATCH(ROWS($N$2:N2),$N$2:$N$1001,0),0)))</f>
        <v>0</v>
      </c>
      <c r="B2" s="4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4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4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4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4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4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4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4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4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OR(AND(IF(Metadata!C2="",FALSE,TRUE),OR(exact(Metadata!C2,"not applicable"),exact(Metadata!C2,"not collected"),exact(Metadata!C2,"not provided"),exact(Metadata!C2,"restricted access"))),IF(Metadata!C2="",FALSE,ISNUMBER(VALUE(Metadata!C2))))</f>
        <v>0</v>
      </c>
      <c r="W2">
        <f>AND(IF(Metadata!D2="",FALSE,TRUE),exact(Metadata!D2,"m"))</f>
        <v>0</v>
      </c>
      <c r="X2">
        <f>AND(IF(Metadata!E2="",FALSE,TRUE),OR(exact(Metadata!E2,"aerosol (non-saline)"),exact(Metadata!E2,"aerosol (saline)")))</f>
        <v>0</v>
      </c>
      <c r="Y2">
        <f>AND(IF(Metadata!F2="",FALSE,TRUE),exact(Metadata!F2,"air"))</f>
        <v>0</v>
      </c>
      <c r="Z2">
        <f>AND(IF(Metadata!G2="",FALSE,TRUE),exact(Metadata!G2,"air"))</f>
        <v>0</v>
      </c>
      <c r="AA2">
        <f>AND(IF(Metadata!H2="",FALSE,TRUE),exact(Metadata!H2,"air"))</f>
        <v>0</v>
      </c>
      <c r="AB2">
        <f>AND(IF(Metadata!I2="",FALSE,TRUE),exact(Metadata!I2,"air metagenome"))</f>
        <v>0</v>
      </c>
      <c r="AC2">
        <f>AND(IF(Metadata!J2="",FALSE,TRUE),exact(Metadata!J2,"655179"))</f>
        <v>0</v>
      </c>
    </row>
    <row r="3" spans="1:29">
      <c r="A3" s="5">
        <f>IF(B3=" "," ",HYPERLINK(CONCATENATE("#metadata!",ADDRESS(INDEX($P$2:$P$1001,MATCH(ROWS($N$2:N3),$N$2:$N$1001,0),0),1)),INDEX($S$2:$S$1001,MATCH(ROWS($N$2:N3),$N$2:$N$1001,0),0)))</f>
        <v>0</v>
      </c>
      <c r="B3" s="4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4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4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4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4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4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4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4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4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OR(AND(IF(Metadata!C3="",FALSE,TRUE),OR(exact(Metadata!C3,"not applicable"),exact(Metadata!C3,"not collected"),exact(Metadata!C3,"not provided"),exact(Metadata!C3,"restricted access"))),IF(Metadata!C3="",FALSE,ISNUMBER(VALUE(Metadata!C3))))</f>
        <v>0</v>
      </c>
      <c r="W3">
        <f>AND(IF(Metadata!D3="",FALSE,TRUE),exact(Metadata!D3,"m"))</f>
        <v>0</v>
      </c>
      <c r="X3">
        <f>AND(IF(Metadata!E3="",FALSE,TRUE),OR(exact(Metadata!E3,"aerosol (non-saline)"),exact(Metadata!E3,"aerosol (saline)")))</f>
        <v>0</v>
      </c>
      <c r="Y3">
        <f>AND(IF(Metadata!F3="",FALSE,TRUE),exact(Metadata!F3,"air"))</f>
        <v>0</v>
      </c>
      <c r="Z3">
        <f>AND(IF(Metadata!G3="",FALSE,TRUE),exact(Metadata!G3,"air"))</f>
        <v>0</v>
      </c>
      <c r="AA3">
        <f>AND(IF(Metadata!H3="",FALSE,TRUE),exact(Metadata!H3,"air"))</f>
        <v>0</v>
      </c>
      <c r="AB3">
        <f>AND(IF(Metadata!I3="",FALSE,TRUE),exact(Metadata!I3,"air metagenome"))</f>
        <v>0</v>
      </c>
      <c r="AC3">
        <f>AND(IF(Metadata!J3="",FALSE,TRUE),exact(Metadata!J3,"655179"))</f>
        <v>0</v>
      </c>
    </row>
    <row r="4" spans="1:29">
      <c r="A4" s="5">
        <f>IF(B4=" "," ",HYPERLINK(CONCATENATE("#metadata!",ADDRESS(INDEX($P$2:$P$1001,MATCH(ROWS($N$2:N4),$N$2:$N$1001,0),0),1)),INDEX($S$2:$S$1001,MATCH(ROWS($N$2:N4),$N$2:$N$1001,0),0)))</f>
        <v>0</v>
      </c>
      <c r="B4" s="4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4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4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4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4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4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4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4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4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OR(AND(IF(Metadata!C4="",FALSE,TRUE),OR(exact(Metadata!C4,"not applicable"),exact(Metadata!C4,"not collected"),exact(Metadata!C4,"not provided"),exact(Metadata!C4,"restricted access"))),IF(Metadata!C4="",FALSE,ISNUMBER(VALUE(Metadata!C4))))</f>
        <v>0</v>
      </c>
      <c r="W4">
        <f>AND(IF(Metadata!D4="",FALSE,TRUE),exact(Metadata!D4,"m"))</f>
        <v>0</v>
      </c>
      <c r="X4">
        <f>AND(IF(Metadata!E4="",FALSE,TRUE),OR(exact(Metadata!E4,"aerosol (non-saline)"),exact(Metadata!E4,"aerosol (saline)")))</f>
        <v>0</v>
      </c>
      <c r="Y4">
        <f>AND(IF(Metadata!F4="",FALSE,TRUE),exact(Metadata!F4,"air"))</f>
        <v>0</v>
      </c>
      <c r="Z4">
        <f>AND(IF(Metadata!G4="",FALSE,TRUE),exact(Metadata!G4,"air"))</f>
        <v>0</v>
      </c>
      <c r="AA4">
        <f>AND(IF(Metadata!H4="",FALSE,TRUE),exact(Metadata!H4,"air"))</f>
        <v>0</v>
      </c>
      <c r="AB4">
        <f>AND(IF(Metadata!I4="",FALSE,TRUE),exact(Metadata!I4,"air metagenome"))</f>
        <v>0</v>
      </c>
      <c r="AC4">
        <f>AND(IF(Metadata!J4="",FALSE,TRUE),exact(Metadata!J4,"655179"))</f>
        <v>0</v>
      </c>
    </row>
    <row r="5" spans="1:29">
      <c r="A5" s="5">
        <f>IF(B5=" "," ",HYPERLINK(CONCATENATE("#metadata!",ADDRESS(INDEX($P$2:$P$1001,MATCH(ROWS($N$2:N5),$N$2:$N$1001,0),0),1)),INDEX($S$2:$S$1001,MATCH(ROWS($N$2:N5),$N$2:$N$1001,0),0)))</f>
        <v>0</v>
      </c>
      <c r="B5" s="4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4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4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4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4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4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4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4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4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OR(AND(IF(Metadata!C5="",FALSE,TRUE),OR(exact(Metadata!C5,"not applicable"),exact(Metadata!C5,"not collected"),exact(Metadata!C5,"not provided"),exact(Metadata!C5,"restricted access"))),IF(Metadata!C5="",FALSE,ISNUMBER(VALUE(Metadata!C5))))</f>
        <v>0</v>
      </c>
      <c r="W5">
        <f>AND(IF(Metadata!D5="",FALSE,TRUE),exact(Metadata!D5,"m"))</f>
        <v>0</v>
      </c>
      <c r="X5">
        <f>AND(IF(Metadata!E5="",FALSE,TRUE),OR(exact(Metadata!E5,"aerosol (non-saline)"),exact(Metadata!E5,"aerosol (saline)")))</f>
        <v>0</v>
      </c>
      <c r="Y5">
        <f>AND(IF(Metadata!F5="",FALSE,TRUE),exact(Metadata!F5,"air"))</f>
        <v>0</v>
      </c>
      <c r="Z5">
        <f>AND(IF(Metadata!G5="",FALSE,TRUE),exact(Metadata!G5,"air"))</f>
        <v>0</v>
      </c>
      <c r="AA5">
        <f>AND(IF(Metadata!H5="",FALSE,TRUE),exact(Metadata!H5,"air"))</f>
        <v>0</v>
      </c>
      <c r="AB5">
        <f>AND(IF(Metadata!I5="",FALSE,TRUE),exact(Metadata!I5,"air metagenome"))</f>
        <v>0</v>
      </c>
      <c r="AC5">
        <f>AND(IF(Metadata!J5="",FALSE,TRUE),exact(Metadata!J5,"655179"))</f>
        <v>0</v>
      </c>
    </row>
    <row r="6" spans="1:29">
      <c r="A6" s="5">
        <f>IF(B6=" "," ",HYPERLINK(CONCATENATE("#metadata!",ADDRESS(INDEX($P$2:$P$1001,MATCH(ROWS($N$2:N6),$N$2:$N$1001,0),0),1)),INDEX($S$2:$S$1001,MATCH(ROWS($N$2:N6),$N$2:$N$1001,0),0)))</f>
        <v>0</v>
      </c>
      <c r="B6" s="4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4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4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4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4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4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4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4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4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OR(AND(IF(Metadata!C6="",FALSE,TRUE),OR(exact(Metadata!C6,"not applicable"),exact(Metadata!C6,"not collected"),exact(Metadata!C6,"not provided"),exact(Metadata!C6,"restricted access"))),IF(Metadata!C6="",FALSE,ISNUMBER(VALUE(Metadata!C6))))</f>
        <v>0</v>
      </c>
      <c r="W6">
        <f>AND(IF(Metadata!D6="",FALSE,TRUE),exact(Metadata!D6,"m"))</f>
        <v>0</v>
      </c>
      <c r="X6">
        <f>AND(IF(Metadata!E6="",FALSE,TRUE),OR(exact(Metadata!E6,"aerosol (non-saline)"),exact(Metadata!E6,"aerosol (saline)")))</f>
        <v>0</v>
      </c>
      <c r="Y6">
        <f>AND(IF(Metadata!F6="",FALSE,TRUE),exact(Metadata!F6,"air"))</f>
        <v>0</v>
      </c>
      <c r="Z6">
        <f>AND(IF(Metadata!G6="",FALSE,TRUE),exact(Metadata!G6,"air"))</f>
        <v>0</v>
      </c>
      <c r="AA6">
        <f>AND(IF(Metadata!H6="",FALSE,TRUE),exact(Metadata!H6,"air"))</f>
        <v>0</v>
      </c>
      <c r="AB6">
        <f>AND(IF(Metadata!I6="",FALSE,TRUE),exact(Metadata!I6,"air metagenome"))</f>
        <v>0</v>
      </c>
      <c r="AC6">
        <f>AND(IF(Metadata!J6="",FALSE,TRUE),exact(Metadata!J6,"655179"))</f>
        <v>0</v>
      </c>
    </row>
    <row r="7" spans="1:29">
      <c r="A7" s="5">
        <f>IF(B7=" "," ",HYPERLINK(CONCATENATE("#metadata!",ADDRESS(INDEX($P$2:$P$1001,MATCH(ROWS($N$2:N7),$N$2:$N$1001,0),0),1)),INDEX($S$2:$S$1001,MATCH(ROWS($N$2:N7),$N$2:$N$1001,0),0)))</f>
        <v>0</v>
      </c>
      <c r="B7" s="4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4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4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4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4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4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4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4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4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OR(AND(IF(Metadata!C7="",FALSE,TRUE),OR(exact(Metadata!C7,"not applicable"),exact(Metadata!C7,"not collected"),exact(Metadata!C7,"not provided"),exact(Metadata!C7,"restricted access"))),IF(Metadata!C7="",FALSE,ISNUMBER(VALUE(Metadata!C7))))</f>
        <v>0</v>
      </c>
      <c r="W7">
        <f>AND(IF(Metadata!D7="",FALSE,TRUE),exact(Metadata!D7,"m"))</f>
        <v>0</v>
      </c>
      <c r="X7">
        <f>AND(IF(Metadata!E7="",FALSE,TRUE),OR(exact(Metadata!E7,"aerosol (non-saline)"),exact(Metadata!E7,"aerosol (saline)")))</f>
        <v>0</v>
      </c>
      <c r="Y7">
        <f>AND(IF(Metadata!F7="",FALSE,TRUE),exact(Metadata!F7,"air"))</f>
        <v>0</v>
      </c>
      <c r="Z7">
        <f>AND(IF(Metadata!G7="",FALSE,TRUE),exact(Metadata!G7,"air"))</f>
        <v>0</v>
      </c>
      <c r="AA7">
        <f>AND(IF(Metadata!H7="",FALSE,TRUE),exact(Metadata!H7,"air"))</f>
        <v>0</v>
      </c>
      <c r="AB7">
        <f>AND(IF(Metadata!I7="",FALSE,TRUE),exact(Metadata!I7,"air metagenome"))</f>
        <v>0</v>
      </c>
      <c r="AC7">
        <f>AND(IF(Metadata!J7="",FALSE,TRUE),exact(Metadata!J7,"655179"))</f>
        <v>0</v>
      </c>
    </row>
    <row r="8" spans="1:29">
      <c r="A8" s="5">
        <f>IF(B8=" "," ",HYPERLINK(CONCATENATE("#metadata!",ADDRESS(INDEX($P$2:$P$1001,MATCH(ROWS($N$2:N8),$N$2:$N$1001,0),0),1)),INDEX($S$2:$S$1001,MATCH(ROWS($N$2:N8),$N$2:$N$1001,0),0)))</f>
        <v>0</v>
      </c>
      <c r="B8" s="4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4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4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4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4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4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4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4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4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OR(AND(IF(Metadata!C8="",FALSE,TRUE),OR(exact(Metadata!C8,"not applicable"),exact(Metadata!C8,"not collected"),exact(Metadata!C8,"not provided"),exact(Metadata!C8,"restricted access"))),IF(Metadata!C8="",FALSE,ISNUMBER(VALUE(Metadata!C8))))</f>
        <v>0</v>
      </c>
      <c r="W8">
        <f>AND(IF(Metadata!D8="",FALSE,TRUE),exact(Metadata!D8,"m"))</f>
        <v>0</v>
      </c>
      <c r="X8">
        <f>AND(IF(Metadata!E8="",FALSE,TRUE),OR(exact(Metadata!E8,"aerosol (non-saline)"),exact(Metadata!E8,"aerosol (saline)")))</f>
        <v>0</v>
      </c>
      <c r="Y8">
        <f>AND(IF(Metadata!F8="",FALSE,TRUE),exact(Metadata!F8,"air"))</f>
        <v>0</v>
      </c>
      <c r="Z8">
        <f>AND(IF(Metadata!G8="",FALSE,TRUE),exact(Metadata!G8,"air"))</f>
        <v>0</v>
      </c>
      <c r="AA8">
        <f>AND(IF(Metadata!H8="",FALSE,TRUE),exact(Metadata!H8,"air"))</f>
        <v>0</v>
      </c>
      <c r="AB8">
        <f>AND(IF(Metadata!I8="",FALSE,TRUE),exact(Metadata!I8,"air metagenome"))</f>
        <v>0</v>
      </c>
      <c r="AC8">
        <f>AND(IF(Metadata!J8="",FALSE,TRUE),exact(Metadata!J8,"655179"))</f>
        <v>0</v>
      </c>
    </row>
    <row r="9" spans="1:29">
      <c r="A9" s="5">
        <f>IF(B9=" "," ",HYPERLINK(CONCATENATE("#metadata!",ADDRESS(INDEX($P$2:$P$1001,MATCH(ROWS($N$2:N9),$N$2:$N$1001,0),0),1)),INDEX($S$2:$S$1001,MATCH(ROWS($N$2:N9),$N$2:$N$1001,0),0)))</f>
        <v>0</v>
      </c>
      <c r="B9" s="4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4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4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4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4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4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4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4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4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OR(AND(IF(Metadata!C9="",FALSE,TRUE),OR(exact(Metadata!C9,"not applicable"),exact(Metadata!C9,"not collected"),exact(Metadata!C9,"not provided"),exact(Metadata!C9,"restricted access"))),IF(Metadata!C9="",FALSE,ISNUMBER(VALUE(Metadata!C9))))</f>
        <v>0</v>
      </c>
      <c r="W9">
        <f>AND(IF(Metadata!D9="",FALSE,TRUE),exact(Metadata!D9,"m"))</f>
        <v>0</v>
      </c>
      <c r="X9">
        <f>AND(IF(Metadata!E9="",FALSE,TRUE),OR(exact(Metadata!E9,"aerosol (non-saline)"),exact(Metadata!E9,"aerosol (saline)")))</f>
        <v>0</v>
      </c>
      <c r="Y9">
        <f>AND(IF(Metadata!F9="",FALSE,TRUE),exact(Metadata!F9,"air"))</f>
        <v>0</v>
      </c>
      <c r="Z9">
        <f>AND(IF(Metadata!G9="",FALSE,TRUE),exact(Metadata!G9,"air"))</f>
        <v>0</v>
      </c>
      <c r="AA9">
        <f>AND(IF(Metadata!H9="",FALSE,TRUE),exact(Metadata!H9,"air"))</f>
        <v>0</v>
      </c>
      <c r="AB9">
        <f>AND(IF(Metadata!I9="",FALSE,TRUE),exact(Metadata!I9,"air metagenome"))</f>
        <v>0</v>
      </c>
      <c r="AC9">
        <f>AND(IF(Metadata!J9="",FALSE,TRUE),exact(Metadata!J9,"655179"))</f>
        <v>0</v>
      </c>
    </row>
    <row r="10" spans="1:29">
      <c r="A10" s="5">
        <f>IF(B10=" "," ",HYPERLINK(CONCATENATE("#metadata!",ADDRESS(INDEX($P$2:$P$1001,MATCH(ROWS($N$2:N10),$N$2:$N$1001,0),0),1)),INDEX($S$2:$S$1001,MATCH(ROWS($N$2:N10),$N$2:$N$1001,0),0)))</f>
        <v>0</v>
      </c>
      <c r="B10" s="4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4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4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4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4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4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4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4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4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OR(AND(IF(Metadata!C10="",FALSE,TRUE),OR(exact(Metadata!C10,"not applicable"),exact(Metadata!C10,"not collected"),exact(Metadata!C10,"not provided"),exact(Metadata!C10,"restricted access"))),IF(Metadata!C10="",FALSE,ISNUMBER(VALUE(Metadata!C10))))</f>
        <v>0</v>
      </c>
      <c r="W10">
        <f>AND(IF(Metadata!D10="",FALSE,TRUE),exact(Metadata!D10,"m"))</f>
        <v>0</v>
      </c>
      <c r="X10">
        <f>AND(IF(Metadata!E10="",FALSE,TRUE),OR(exact(Metadata!E10,"aerosol (non-saline)"),exact(Metadata!E10,"aerosol (saline)")))</f>
        <v>0</v>
      </c>
      <c r="Y10">
        <f>AND(IF(Metadata!F10="",FALSE,TRUE),exact(Metadata!F10,"air"))</f>
        <v>0</v>
      </c>
      <c r="Z10">
        <f>AND(IF(Metadata!G10="",FALSE,TRUE),exact(Metadata!G10,"air"))</f>
        <v>0</v>
      </c>
      <c r="AA10">
        <f>AND(IF(Metadata!H10="",FALSE,TRUE),exact(Metadata!H10,"air"))</f>
        <v>0</v>
      </c>
      <c r="AB10">
        <f>AND(IF(Metadata!I10="",FALSE,TRUE),exact(Metadata!I10,"air metagenome"))</f>
        <v>0</v>
      </c>
      <c r="AC10">
        <f>AND(IF(Metadata!J10="",FALSE,TRUE),exact(Metadata!J10,"655179"))</f>
        <v>0</v>
      </c>
    </row>
    <row r="11" spans="1:29">
      <c r="A11" s="5">
        <f>IF(B11=" "," ",HYPERLINK(CONCATENATE("#metadata!",ADDRESS(INDEX($P$2:$P$1001,MATCH(ROWS($N$2:N11),$N$2:$N$1001,0),0),1)),INDEX($S$2:$S$1001,MATCH(ROWS($N$2:N11),$N$2:$N$1001,0),0)))</f>
        <v>0</v>
      </c>
      <c r="B11" s="4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4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4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4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4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4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4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4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4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OR(AND(IF(Metadata!C11="",FALSE,TRUE),OR(exact(Metadata!C11,"not applicable"),exact(Metadata!C11,"not collected"),exact(Metadata!C11,"not provided"),exact(Metadata!C11,"restricted access"))),IF(Metadata!C11="",FALSE,ISNUMBER(VALUE(Metadata!C11))))</f>
        <v>0</v>
      </c>
      <c r="W11">
        <f>AND(IF(Metadata!D11="",FALSE,TRUE),exact(Metadata!D11,"m"))</f>
        <v>0</v>
      </c>
      <c r="X11">
        <f>AND(IF(Metadata!E11="",FALSE,TRUE),OR(exact(Metadata!E11,"aerosol (non-saline)"),exact(Metadata!E11,"aerosol (saline)")))</f>
        <v>0</v>
      </c>
      <c r="Y11">
        <f>AND(IF(Metadata!F11="",FALSE,TRUE),exact(Metadata!F11,"air"))</f>
        <v>0</v>
      </c>
      <c r="Z11">
        <f>AND(IF(Metadata!G11="",FALSE,TRUE),exact(Metadata!G11,"air"))</f>
        <v>0</v>
      </c>
      <c r="AA11">
        <f>AND(IF(Metadata!H11="",FALSE,TRUE),exact(Metadata!H11,"air"))</f>
        <v>0</v>
      </c>
      <c r="AB11">
        <f>AND(IF(Metadata!I11="",FALSE,TRUE),exact(Metadata!I11,"air metagenome"))</f>
        <v>0</v>
      </c>
      <c r="AC11">
        <f>AND(IF(Metadata!J11="",FALSE,TRUE),exact(Metadata!J11,"655179"))</f>
        <v>0</v>
      </c>
    </row>
    <row r="12" spans="1:29">
      <c r="A12" s="5">
        <f>IF(B12=" "," ",HYPERLINK(CONCATENATE("#metadata!",ADDRESS(INDEX($P$2:$P$1001,MATCH(ROWS($N$2:N12),$N$2:$N$1001,0),0),1)),INDEX($S$2:$S$1001,MATCH(ROWS($N$2:N12),$N$2:$N$1001,0),0)))</f>
        <v>0</v>
      </c>
      <c r="B12" s="4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4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4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4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4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4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4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4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4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OR(AND(IF(Metadata!C12="",FALSE,TRUE),OR(exact(Metadata!C12,"not applicable"),exact(Metadata!C12,"not collected"),exact(Metadata!C12,"not provided"),exact(Metadata!C12,"restricted access"))),IF(Metadata!C12="",FALSE,ISNUMBER(VALUE(Metadata!C12))))</f>
        <v>0</v>
      </c>
      <c r="W12">
        <f>AND(IF(Metadata!D12="",FALSE,TRUE),exact(Metadata!D12,"m"))</f>
        <v>0</v>
      </c>
      <c r="X12">
        <f>AND(IF(Metadata!E12="",FALSE,TRUE),OR(exact(Metadata!E12,"aerosol (non-saline)"),exact(Metadata!E12,"aerosol (saline)")))</f>
        <v>0</v>
      </c>
      <c r="Y12">
        <f>AND(IF(Metadata!F12="",FALSE,TRUE),exact(Metadata!F12,"air"))</f>
        <v>0</v>
      </c>
      <c r="Z12">
        <f>AND(IF(Metadata!G12="",FALSE,TRUE),exact(Metadata!G12,"air"))</f>
        <v>0</v>
      </c>
      <c r="AA12">
        <f>AND(IF(Metadata!H12="",FALSE,TRUE),exact(Metadata!H12,"air"))</f>
        <v>0</v>
      </c>
      <c r="AB12">
        <f>AND(IF(Metadata!I12="",FALSE,TRUE),exact(Metadata!I12,"air metagenome"))</f>
        <v>0</v>
      </c>
      <c r="AC12">
        <f>AND(IF(Metadata!J12="",FALSE,TRUE),exact(Metadata!J12,"655179"))</f>
        <v>0</v>
      </c>
    </row>
    <row r="13" spans="1:29">
      <c r="A13" s="5">
        <f>IF(B13=" "," ",HYPERLINK(CONCATENATE("#metadata!",ADDRESS(INDEX($P$2:$P$1001,MATCH(ROWS($N$2:N13),$N$2:$N$1001,0),0),1)),INDEX($S$2:$S$1001,MATCH(ROWS($N$2:N13),$N$2:$N$1001,0),0)))</f>
        <v>0</v>
      </c>
      <c r="B13" s="4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4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4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4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4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4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4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4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4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OR(AND(IF(Metadata!C13="",FALSE,TRUE),OR(exact(Metadata!C13,"not applicable"),exact(Metadata!C13,"not collected"),exact(Metadata!C13,"not provided"),exact(Metadata!C13,"restricted access"))),IF(Metadata!C13="",FALSE,ISNUMBER(VALUE(Metadata!C13))))</f>
        <v>0</v>
      </c>
      <c r="W13">
        <f>AND(IF(Metadata!D13="",FALSE,TRUE),exact(Metadata!D13,"m"))</f>
        <v>0</v>
      </c>
      <c r="X13">
        <f>AND(IF(Metadata!E13="",FALSE,TRUE),OR(exact(Metadata!E13,"aerosol (non-saline)"),exact(Metadata!E13,"aerosol (saline)")))</f>
        <v>0</v>
      </c>
      <c r="Y13">
        <f>AND(IF(Metadata!F13="",FALSE,TRUE),exact(Metadata!F13,"air"))</f>
        <v>0</v>
      </c>
      <c r="Z13">
        <f>AND(IF(Metadata!G13="",FALSE,TRUE),exact(Metadata!G13,"air"))</f>
        <v>0</v>
      </c>
      <c r="AA13">
        <f>AND(IF(Metadata!H13="",FALSE,TRUE),exact(Metadata!H13,"air"))</f>
        <v>0</v>
      </c>
      <c r="AB13">
        <f>AND(IF(Metadata!I13="",FALSE,TRUE),exact(Metadata!I13,"air metagenome"))</f>
        <v>0</v>
      </c>
      <c r="AC13">
        <f>AND(IF(Metadata!J13="",FALSE,TRUE),exact(Metadata!J13,"655179"))</f>
        <v>0</v>
      </c>
    </row>
    <row r="14" spans="1:29">
      <c r="A14" s="5">
        <f>IF(B14=" "," ",HYPERLINK(CONCATENATE("#metadata!",ADDRESS(INDEX($P$2:$P$1001,MATCH(ROWS($N$2:N14),$N$2:$N$1001,0),0),1)),INDEX($S$2:$S$1001,MATCH(ROWS($N$2:N14),$N$2:$N$1001,0),0)))</f>
        <v>0</v>
      </c>
      <c r="B14" s="4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4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4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4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4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4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4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4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4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OR(AND(IF(Metadata!C14="",FALSE,TRUE),OR(exact(Metadata!C14,"not applicable"),exact(Metadata!C14,"not collected"),exact(Metadata!C14,"not provided"),exact(Metadata!C14,"restricted access"))),IF(Metadata!C14="",FALSE,ISNUMBER(VALUE(Metadata!C14))))</f>
        <v>0</v>
      </c>
      <c r="W14">
        <f>AND(IF(Metadata!D14="",FALSE,TRUE),exact(Metadata!D14,"m"))</f>
        <v>0</v>
      </c>
      <c r="X14">
        <f>AND(IF(Metadata!E14="",FALSE,TRUE),OR(exact(Metadata!E14,"aerosol (non-saline)"),exact(Metadata!E14,"aerosol (saline)")))</f>
        <v>0</v>
      </c>
      <c r="Y14">
        <f>AND(IF(Metadata!F14="",FALSE,TRUE),exact(Metadata!F14,"air"))</f>
        <v>0</v>
      </c>
      <c r="Z14">
        <f>AND(IF(Metadata!G14="",FALSE,TRUE),exact(Metadata!G14,"air"))</f>
        <v>0</v>
      </c>
      <c r="AA14">
        <f>AND(IF(Metadata!H14="",FALSE,TRUE),exact(Metadata!H14,"air"))</f>
        <v>0</v>
      </c>
      <c r="AB14">
        <f>AND(IF(Metadata!I14="",FALSE,TRUE),exact(Metadata!I14,"air metagenome"))</f>
        <v>0</v>
      </c>
      <c r="AC14">
        <f>AND(IF(Metadata!J14="",FALSE,TRUE),exact(Metadata!J14,"655179"))</f>
        <v>0</v>
      </c>
    </row>
    <row r="15" spans="1:29">
      <c r="A15" s="5">
        <f>IF(B15=" "," ",HYPERLINK(CONCATENATE("#metadata!",ADDRESS(INDEX($P$2:$P$1001,MATCH(ROWS($N$2:N15),$N$2:$N$1001,0),0),1)),INDEX($S$2:$S$1001,MATCH(ROWS($N$2:N15),$N$2:$N$1001,0),0)))</f>
        <v>0</v>
      </c>
      <c r="B15" s="4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4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4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4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4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4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4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4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4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OR(AND(IF(Metadata!C15="",FALSE,TRUE),OR(exact(Metadata!C15,"not applicable"),exact(Metadata!C15,"not collected"),exact(Metadata!C15,"not provided"),exact(Metadata!C15,"restricted access"))),IF(Metadata!C15="",FALSE,ISNUMBER(VALUE(Metadata!C15))))</f>
        <v>0</v>
      </c>
      <c r="W15">
        <f>AND(IF(Metadata!D15="",FALSE,TRUE),exact(Metadata!D15,"m"))</f>
        <v>0</v>
      </c>
      <c r="X15">
        <f>AND(IF(Metadata!E15="",FALSE,TRUE),OR(exact(Metadata!E15,"aerosol (non-saline)"),exact(Metadata!E15,"aerosol (saline)")))</f>
        <v>0</v>
      </c>
      <c r="Y15">
        <f>AND(IF(Metadata!F15="",FALSE,TRUE),exact(Metadata!F15,"air"))</f>
        <v>0</v>
      </c>
      <c r="Z15">
        <f>AND(IF(Metadata!G15="",FALSE,TRUE),exact(Metadata!G15,"air"))</f>
        <v>0</v>
      </c>
      <c r="AA15">
        <f>AND(IF(Metadata!H15="",FALSE,TRUE),exact(Metadata!H15,"air"))</f>
        <v>0</v>
      </c>
      <c r="AB15">
        <f>AND(IF(Metadata!I15="",FALSE,TRUE),exact(Metadata!I15,"air metagenome"))</f>
        <v>0</v>
      </c>
      <c r="AC15">
        <f>AND(IF(Metadata!J15="",FALSE,TRUE),exact(Metadata!J15,"655179"))</f>
        <v>0</v>
      </c>
    </row>
    <row r="16" spans="1:29">
      <c r="A16" s="5">
        <f>IF(B16=" "," ",HYPERLINK(CONCATENATE("#metadata!",ADDRESS(INDEX($P$2:$P$1001,MATCH(ROWS($N$2:N16),$N$2:$N$1001,0),0),1)),INDEX($S$2:$S$1001,MATCH(ROWS($N$2:N16),$N$2:$N$1001,0),0)))</f>
        <v>0</v>
      </c>
      <c r="B16" s="4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4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4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4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4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4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4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4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4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OR(AND(IF(Metadata!C16="",FALSE,TRUE),OR(exact(Metadata!C16,"not applicable"),exact(Metadata!C16,"not collected"),exact(Metadata!C16,"not provided"),exact(Metadata!C16,"restricted access"))),IF(Metadata!C16="",FALSE,ISNUMBER(VALUE(Metadata!C16))))</f>
        <v>0</v>
      </c>
      <c r="W16">
        <f>AND(IF(Metadata!D16="",FALSE,TRUE),exact(Metadata!D16,"m"))</f>
        <v>0</v>
      </c>
      <c r="X16">
        <f>AND(IF(Metadata!E16="",FALSE,TRUE),OR(exact(Metadata!E16,"aerosol (non-saline)"),exact(Metadata!E16,"aerosol (saline)")))</f>
        <v>0</v>
      </c>
      <c r="Y16">
        <f>AND(IF(Metadata!F16="",FALSE,TRUE),exact(Metadata!F16,"air"))</f>
        <v>0</v>
      </c>
      <c r="Z16">
        <f>AND(IF(Metadata!G16="",FALSE,TRUE),exact(Metadata!G16,"air"))</f>
        <v>0</v>
      </c>
      <c r="AA16">
        <f>AND(IF(Metadata!H16="",FALSE,TRUE),exact(Metadata!H16,"air"))</f>
        <v>0</v>
      </c>
      <c r="AB16">
        <f>AND(IF(Metadata!I16="",FALSE,TRUE),exact(Metadata!I16,"air metagenome"))</f>
        <v>0</v>
      </c>
      <c r="AC16">
        <f>AND(IF(Metadata!J16="",FALSE,TRUE),exact(Metadata!J16,"655179"))</f>
        <v>0</v>
      </c>
    </row>
    <row r="17" spans="1:29">
      <c r="A17" s="5">
        <f>IF(B17=" "," ",HYPERLINK(CONCATENATE("#metadata!",ADDRESS(INDEX($P$2:$P$1001,MATCH(ROWS($N$2:N17),$N$2:$N$1001,0),0),1)),INDEX($S$2:$S$1001,MATCH(ROWS($N$2:N17),$N$2:$N$1001,0),0)))</f>
        <v>0</v>
      </c>
      <c r="B17" s="4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4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4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4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4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4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4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4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4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OR(AND(IF(Metadata!C17="",FALSE,TRUE),OR(exact(Metadata!C17,"not applicable"),exact(Metadata!C17,"not collected"),exact(Metadata!C17,"not provided"),exact(Metadata!C17,"restricted access"))),IF(Metadata!C17="",FALSE,ISNUMBER(VALUE(Metadata!C17))))</f>
        <v>0</v>
      </c>
      <c r="W17">
        <f>AND(IF(Metadata!D17="",FALSE,TRUE),exact(Metadata!D17,"m"))</f>
        <v>0</v>
      </c>
      <c r="X17">
        <f>AND(IF(Metadata!E17="",FALSE,TRUE),OR(exact(Metadata!E17,"aerosol (non-saline)"),exact(Metadata!E17,"aerosol (saline)")))</f>
        <v>0</v>
      </c>
      <c r="Y17">
        <f>AND(IF(Metadata!F17="",FALSE,TRUE),exact(Metadata!F17,"air"))</f>
        <v>0</v>
      </c>
      <c r="Z17">
        <f>AND(IF(Metadata!G17="",FALSE,TRUE),exact(Metadata!G17,"air"))</f>
        <v>0</v>
      </c>
      <c r="AA17">
        <f>AND(IF(Metadata!H17="",FALSE,TRUE),exact(Metadata!H17,"air"))</f>
        <v>0</v>
      </c>
      <c r="AB17">
        <f>AND(IF(Metadata!I17="",FALSE,TRUE),exact(Metadata!I17,"air metagenome"))</f>
        <v>0</v>
      </c>
      <c r="AC17">
        <f>AND(IF(Metadata!J17="",FALSE,TRUE),exact(Metadata!J17,"655179"))</f>
        <v>0</v>
      </c>
    </row>
    <row r="18" spans="1:29">
      <c r="A18" s="5">
        <f>IF(B18=" "," ",HYPERLINK(CONCATENATE("#metadata!",ADDRESS(INDEX($P$2:$P$1001,MATCH(ROWS($N$2:N18),$N$2:$N$1001,0),0),1)),INDEX($S$2:$S$1001,MATCH(ROWS($N$2:N18),$N$2:$N$1001,0),0)))</f>
        <v>0</v>
      </c>
      <c r="B18" s="4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4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4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4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4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4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4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4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4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OR(AND(IF(Metadata!C18="",FALSE,TRUE),OR(exact(Metadata!C18,"not applicable"),exact(Metadata!C18,"not collected"),exact(Metadata!C18,"not provided"),exact(Metadata!C18,"restricted access"))),IF(Metadata!C18="",FALSE,ISNUMBER(VALUE(Metadata!C18))))</f>
        <v>0</v>
      </c>
      <c r="W18">
        <f>AND(IF(Metadata!D18="",FALSE,TRUE),exact(Metadata!D18,"m"))</f>
        <v>0</v>
      </c>
      <c r="X18">
        <f>AND(IF(Metadata!E18="",FALSE,TRUE),OR(exact(Metadata!E18,"aerosol (non-saline)"),exact(Metadata!E18,"aerosol (saline)")))</f>
        <v>0</v>
      </c>
      <c r="Y18">
        <f>AND(IF(Metadata!F18="",FALSE,TRUE),exact(Metadata!F18,"air"))</f>
        <v>0</v>
      </c>
      <c r="Z18">
        <f>AND(IF(Metadata!G18="",FALSE,TRUE),exact(Metadata!G18,"air"))</f>
        <v>0</v>
      </c>
      <c r="AA18">
        <f>AND(IF(Metadata!H18="",FALSE,TRUE),exact(Metadata!H18,"air"))</f>
        <v>0</v>
      </c>
      <c r="AB18">
        <f>AND(IF(Metadata!I18="",FALSE,TRUE),exact(Metadata!I18,"air metagenome"))</f>
        <v>0</v>
      </c>
      <c r="AC18">
        <f>AND(IF(Metadata!J18="",FALSE,TRUE),exact(Metadata!J18,"655179"))</f>
        <v>0</v>
      </c>
    </row>
    <row r="19" spans="1:29">
      <c r="A19" s="5">
        <f>IF(B19=" "," ",HYPERLINK(CONCATENATE("#metadata!",ADDRESS(INDEX($P$2:$P$1001,MATCH(ROWS($N$2:N19),$N$2:$N$1001,0),0),1)),INDEX($S$2:$S$1001,MATCH(ROWS($N$2:N19),$N$2:$N$1001,0),0)))</f>
        <v>0</v>
      </c>
      <c r="B19" s="4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4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4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4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4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4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4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4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4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OR(AND(IF(Metadata!C19="",FALSE,TRUE),OR(exact(Metadata!C19,"not applicable"),exact(Metadata!C19,"not collected"),exact(Metadata!C19,"not provided"),exact(Metadata!C19,"restricted access"))),IF(Metadata!C19="",FALSE,ISNUMBER(VALUE(Metadata!C19))))</f>
        <v>0</v>
      </c>
      <c r="W19">
        <f>AND(IF(Metadata!D19="",FALSE,TRUE),exact(Metadata!D19,"m"))</f>
        <v>0</v>
      </c>
      <c r="X19">
        <f>AND(IF(Metadata!E19="",FALSE,TRUE),OR(exact(Metadata!E19,"aerosol (non-saline)"),exact(Metadata!E19,"aerosol (saline)")))</f>
        <v>0</v>
      </c>
      <c r="Y19">
        <f>AND(IF(Metadata!F19="",FALSE,TRUE),exact(Metadata!F19,"air"))</f>
        <v>0</v>
      </c>
      <c r="Z19">
        <f>AND(IF(Metadata!G19="",FALSE,TRUE),exact(Metadata!G19,"air"))</f>
        <v>0</v>
      </c>
      <c r="AA19">
        <f>AND(IF(Metadata!H19="",FALSE,TRUE),exact(Metadata!H19,"air"))</f>
        <v>0</v>
      </c>
      <c r="AB19">
        <f>AND(IF(Metadata!I19="",FALSE,TRUE),exact(Metadata!I19,"air metagenome"))</f>
        <v>0</v>
      </c>
      <c r="AC19">
        <f>AND(IF(Metadata!J19="",FALSE,TRUE),exact(Metadata!J19,"655179"))</f>
        <v>0</v>
      </c>
    </row>
    <row r="20" spans="1:29">
      <c r="A20" s="5">
        <f>IF(B20=" "," ",HYPERLINK(CONCATENATE("#metadata!",ADDRESS(INDEX($P$2:$P$1001,MATCH(ROWS($N$2:N20),$N$2:$N$1001,0),0),1)),INDEX($S$2:$S$1001,MATCH(ROWS($N$2:N20),$N$2:$N$1001,0),0)))</f>
        <v>0</v>
      </c>
      <c r="B20" s="4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4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4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4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4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4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4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4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4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OR(AND(IF(Metadata!C20="",FALSE,TRUE),OR(exact(Metadata!C20,"not applicable"),exact(Metadata!C20,"not collected"),exact(Metadata!C20,"not provided"),exact(Metadata!C20,"restricted access"))),IF(Metadata!C20="",FALSE,ISNUMBER(VALUE(Metadata!C20))))</f>
        <v>0</v>
      </c>
      <c r="W20">
        <f>AND(IF(Metadata!D20="",FALSE,TRUE),exact(Metadata!D20,"m"))</f>
        <v>0</v>
      </c>
      <c r="X20">
        <f>AND(IF(Metadata!E20="",FALSE,TRUE),OR(exact(Metadata!E20,"aerosol (non-saline)"),exact(Metadata!E20,"aerosol (saline)")))</f>
        <v>0</v>
      </c>
      <c r="Y20">
        <f>AND(IF(Metadata!F20="",FALSE,TRUE),exact(Metadata!F20,"air"))</f>
        <v>0</v>
      </c>
      <c r="Z20">
        <f>AND(IF(Metadata!G20="",FALSE,TRUE),exact(Metadata!G20,"air"))</f>
        <v>0</v>
      </c>
      <c r="AA20">
        <f>AND(IF(Metadata!H20="",FALSE,TRUE),exact(Metadata!H20,"air"))</f>
        <v>0</v>
      </c>
      <c r="AB20">
        <f>AND(IF(Metadata!I20="",FALSE,TRUE),exact(Metadata!I20,"air metagenome"))</f>
        <v>0</v>
      </c>
      <c r="AC20">
        <f>AND(IF(Metadata!J20="",FALSE,TRUE),exact(Metadata!J20,"655179"))</f>
        <v>0</v>
      </c>
    </row>
    <row r="21" spans="1:29">
      <c r="A21" s="5">
        <f>IF(B21=" "," ",HYPERLINK(CONCATENATE("#metadata!",ADDRESS(INDEX($P$2:$P$1001,MATCH(ROWS($N$2:N21),$N$2:$N$1001,0),0),1)),INDEX($S$2:$S$1001,MATCH(ROWS($N$2:N21),$N$2:$N$1001,0),0)))</f>
        <v>0</v>
      </c>
      <c r="B21" s="4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4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4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4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4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4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4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4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4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OR(AND(IF(Metadata!C21="",FALSE,TRUE),OR(exact(Metadata!C21,"not applicable"),exact(Metadata!C21,"not collected"),exact(Metadata!C21,"not provided"),exact(Metadata!C21,"restricted access"))),IF(Metadata!C21="",FALSE,ISNUMBER(VALUE(Metadata!C21))))</f>
        <v>0</v>
      </c>
      <c r="W21">
        <f>AND(IF(Metadata!D21="",FALSE,TRUE),exact(Metadata!D21,"m"))</f>
        <v>0</v>
      </c>
      <c r="X21">
        <f>AND(IF(Metadata!E21="",FALSE,TRUE),OR(exact(Metadata!E21,"aerosol (non-saline)"),exact(Metadata!E21,"aerosol (saline)")))</f>
        <v>0</v>
      </c>
      <c r="Y21">
        <f>AND(IF(Metadata!F21="",FALSE,TRUE),exact(Metadata!F21,"air"))</f>
        <v>0</v>
      </c>
      <c r="Z21">
        <f>AND(IF(Metadata!G21="",FALSE,TRUE),exact(Metadata!G21,"air"))</f>
        <v>0</v>
      </c>
      <c r="AA21">
        <f>AND(IF(Metadata!H21="",FALSE,TRUE),exact(Metadata!H21,"air"))</f>
        <v>0</v>
      </c>
      <c r="AB21">
        <f>AND(IF(Metadata!I21="",FALSE,TRUE),exact(Metadata!I21,"air metagenome"))</f>
        <v>0</v>
      </c>
      <c r="AC21">
        <f>AND(IF(Metadata!J21="",FALSE,TRUE),exact(Metadata!J21,"655179"))</f>
        <v>0</v>
      </c>
    </row>
    <row r="22" spans="1:29">
      <c r="A22" s="5">
        <f>IF(B22=" "," ",HYPERLINK(CONCATENATE("#metadata!",ADDRESS(INDEX($P$2:$P$1001,MATCH(ROWS($N$2:N22),$N$2:$N$1001,0),0),1)),INDEX($S$2:$S$1001,MATCH(ROWS($N$2:N22),$N$2:$N$1001,0),0)))</f>
        <v>0</v>
      </c>
      <c r="B22" s="4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4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4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4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4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4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4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4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4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OR(AND(IF(Metadata!C22="",FALSE,TRUE),OR(exact(Metadata!C22,"not applicable"),exact(Metadata!C22,"not collected"),exact(Metadata!C22,"not provided"),exact(Metadata!C22,"restricted access"))),IF(Metadata!C22="",FALSE,ISNUMBER(VALUE(Metadata!C22))))</f>
        <v>0</v>
      </c>
      <c r="W22">
        <f>AND(IF(Metadata!D22="",FALSE,TRUE),exact(Metadata!D22,"m"))</f>
        <v>0</v>
      </c>
      <c r="X22">
        <f>AND(IF(Metadata!E22="",FALSE,TRUE),OR(exact(Metadata!E22,"aerosol (non-saline)"),exact(Metadata!E22,"aerosol (saline)")))</f>
        <v>0</v>
      </c>
      <c r="Y22">
        <f>AND(IF(Metadata!F22="",FALSE,TRUE),exact(Metadata!F22,"air"))</f>
        <v>0</v>
      </c>
      <c r="Z22">
        <f>AND(IF(Metadata!G22="",FALSE,TRUE),exact(Metadata!G22,"air"))</f>
        <v>0</v>
      </c>
      <c r="AA22">
        <f>AND(IF(Metadata!H22="",FALSE,TRUE),exact(Metadata!H22,"air"))</f>
        <v>0</v>
      </c>
      <c r="AB22">
        <f>AND(IF(Metadata!I22="",FALSE,TRUE),exact(Metadata!I22,"air metagenome"))</f>
        <v>0</v>
      </c>
      <c r="AC22">
        <f>AND(IF(Metadata!J22="",FALSE,TRUE),exact(Metadata!J22,"655179"))</f>
        <v>0</v>
      </c>
    </row>
    <row r="23" spans="1:29">
      <c r="A23" s="5">
        <f>IF(B23=" "," ",HYPERLINK(CONCATENATE("#metadata!",ADDRESS(INDEX($P$2:$P$1001,MATCH(ROWS($N$2:N23),$N$2:$N$1001,0),0),1)),INDEX($S$2:$S$1001,MATCH(ROWS($N$2:N23),$N$2:$N$1001,0),0)))</f>
        <v>0</v>
      </c>
      <c r="B23" s="4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4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4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4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4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4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4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4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4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OR(AND(IF(Metadata!C23="",FALSE,TRUE),OR(exact(Metadata!C23,"not applicable"),exact(Metadata!C23,"not collected"),exact(Metadata!C23,"not provided"),exact(Metadata!C23,"restricted access"))),IF(Metadata!C23="",FALSE,ISNUMBER(VALUE(Metadata!C23))))</f>
        <v>0</v>
      </c>
      <c r="W23">
        <f>AND(IF(Metadata!D23="",FALSE,TRUE),exact(Metadata!D23,"m"))</f>
        <v>0</v>
      </c>
      <c r="X23">
        <f>AND(IF(Metadata!E23="",FALSE,TRUE),OR(exact(Metadata!E23,"aerosol (non-saline)"),exact(Metadata!E23,"aerosol (saline)")))</f>
        <v>0</v>
      </c>
      <c r="Y23">
        <f>AND(IF(Metadata!F23="",FALSE,TRUE),exact(Metadata!F23,"air"))</f>
        <v>0</v>
      </c>
      <c r="Z23">
        <f>AND(IF(Metadata!G23="",FALSE,TRUE),exact(Metadata!G23,"air"))</f>
        <v>0</v>
      </c>
      <c r="AA23">
        <f>AND(IF(Metadata!H23="",FALSE,TRUE),exact(Metadata!H23,"air"))</f>
        <v>0</v>
      </c>
      <c r="AB23">
        <f>AND(IF(Metadata!I23="",FALSE,TRUE),exact(Metadata!I23,"air metagenome"))</f>
        <v>0</v>
      </c>
      <c r="AC23">
        <f>AND(IF(Metadata!J23="",FALSE,TRUE),exact(Metadata!J23,"655179"))</f>
        <v>0</v>
      </c>
    </row>
    <row r="24" spans="1:29">
      <c r="A24" s="5">
        <f>IF(B24=" "," ",HYPERLINK(CONCATENATE("#metadata!",ADDRESS(INDEX($P$2:$P$1001,MATCH(ROWS($N$2:N24),$N$2:$N$1001,0),0),1)),INDEX($S$2:$S$1001,MATCH(ROWS($N$2:N24),$N$2:$N$1001,0),0)))</f>
        <v>0</v>
      </c>
      <c r="B24" s="4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4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4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4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4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4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4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4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4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OR(AND(IF(Metadata!C24="",FALSE,TRUE),OR(exact(Metadata!C24,"not applicable"),exact(Metadata!C24,"not collected"),exact(Metadata!C24,"not provided"),exact(Metadata!C24,"restricted access"))),IF(Metadata!C24="",FALSE,ISNUMBER(VALUE(Metadata!C24))))</f>
        <v>0</v>
      </c>
      <c r="W24">
        <f>AND(IF(Metadata!D24="",FALSE,TRUE),exact(Metadata!D24,"m"))</f>
        <v>0</v>
      </c>
      <c r="X24">
        <f>AND(IF(Metadata!E24="",FALSE,TRUE),OR(exact(Metadata!E24,"aerosol (non-saline)"),exact(Metadata!E24,"aerosol (saline)")))</f>
        <v>0</v>
      </c>
      <c r="Y24">
        <f>AND(IF(Metadata!F24="",FALSE,TRUE),exact(Metadata!F24,"air"))</f>
        <v>0</v>
      </c>
      <c r="Z24">
        <f>AND(IF(Metadata!G24="",FALSE,TRUE),exact(Metadata!G24,"air"))</f>
        <v>0</v>
      </c>
      <c r="AA24">
        <f>AND(IF(Metadata!H24="",FALSE,TRUE),exact(Metadata!H24,"air"))</f>
        <v>0</v>
      </c>
      <c r="AB24">
        <f>AND(IF(Metadata!I24="",FALSE,TRUE),exact(Metadata!I24,"air metagenome"))</f>
        <v>0</v>
      </c>
      <c r="AC24">
        <f>AND(IF(Metadata!J24="",FALSE,TRUE),exact(Metadata!J24,"655179"))</f>
        <v>0</v>
      </c>
    </row>
    <row r="25" spans="1:29">
      <c r="A25" s="5">
        <f>IF(B25=" "," ",HYPERLINK(CONCATENATE("#metadata!",ADDRESS(INDEX($P$2:$P$1001,MATCH(ROWS($N$2:N25),$N$2:$N$1001,0),0),1)),INDEX($S$2:$S$1001,MATCH(ROWS($N$2:N25),$N$2:$N$1001,0),0)))</f>
        <v>0</v>
      </c>
      <c r="B25" s="4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4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4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4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4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4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4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4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4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OR(AND(IF(Metadata!C25="",FALSE,TRUE),OR(exact(Metadata!C25,"not applicable"),exact(Metadata!C25,"not collected"),exact(Metadata!C25,"not provided"),exact(Metadata!C25,"restricted access"))),IF(Metadata!C25="",FALSE,ISNUMBER(VALUE(Metadata!C25))))</f>
        <v>0</v>
      </c>
      <c r="W25">
        <f>AND(IF(Metadata!D25="",FALSE,TRUE),exact(Metadata!D25,"m"))</f>
        <v>0</v>
      </c>
      <c r="X25">
        <f>AND(IF(Metadata!E25="",FALSE,TRUE),OR(exact(Metadata!E25,"aerosol (non-saline)"),exact(Metadata!E25,"aerosol (saline)")))</f>
        <v>0</v>
      </c>
      <c r="Y25">
        <f>AND(IF(Metadata!F25="",FALSE,TRUE),exact(Metadata!F25,"air"))</f>
        <v>0</v>
      </c>
      <c r="Z25">
        <f>AND(IF(Metadata!G25="",FALSE,TRUE),exact(Metadata!G25,"air"))</f>
        <v>0</v>
      </c>
      <c r="AA25">
        <f>AND(IF(Metadata!H25="",FALSE,TRUE),exact(Metadata!H25,"air"))</f>
        <v>0</v>
      </c>
      <c r="AB25">
        <f>AND(IF(Metadata!I25="",FALSE,TRUE),exact(Metadata!I25,"air metagenome"))</f>
        <v>0</v>
      </c>
      <c r="AC25">
        <f>AND(IF(Metadata!J25="",FALSE,TRUE),exact(Metadata!J25,"655179"))</f>
        <v>0</v>
      </c>
    </row>
    <row r="26" spans="1:29">
      <c r="A26" s="5">
        <f>IF(B26=" "," ",HYPERLINK(CONCATENATE("#metadata!",ADDRESS(INDEX($P$2:$P$1001,MATCH(ROWS($N$2:N26),$N$2:$N$1001,0),0),1)),INDEX($S$2:$S$1001,MATCH(ROWS($N$2:N26),$N$2:$N$1001,0),0)))</f>
        <v>0</v>
      </c>
      <c r="B26" s="4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4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4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4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4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4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4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4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4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OR(AND(IF(Metadata!C26="",FALSE,TRUE),OR(exact(Metadata!C26,"not applicable"),exact(Metadata!C26,"not collected"),exact(Metadata!C26,"not provided"),exact(Metadata!C26,"restricted access"))),IF(Metadata!C26="",FALSE,ISNUMBER(VALUE(Metadata!C26))))</f>
        <v>0</v>
      </c>
      <c r="W26">
        <f>AND(IF(Metadata!D26="",FALSE,TRUE),exact(Metadata!D26,"m"))</f>
        <v>0</v>
      </c>
      <c r="X26">
        <f>AND(IF(Metadata!E26="",FALSE,TRUE),OR(exact(Metadata!E26,"aerosol (non-saline)"),exact(Metadata!E26,"aerosol (saline)")))</f>
        <v>0</v>
      </c>
      <c r="Y26">
        <f>AND(IF(Metadata!F26="",FALSE,TRUE),exact(Metadata!F26,"air"))</f>
        <v>0</v>
      </c>
      <c r="Z26">
        <f>AND(IF(Metadata!G26="",FALSE,TRUE),exact(Metadata!G26,"air"))</f>
        <v>0</v>
      </c>
      <c r="AA26">
        <f>AND(IF(Metadata!H26="",FALSE,TRUE),exact(Metadata!H26,"air"))</f>
        <v>0</v>
      </c>
      <c r="AB26">
        <f>AND(IF(Metadata!I26="",FALSE,TRUE),exact(Metadata!I26,"air metagenome"))</f>
        <v>0</v>
      </c>
      <c r="AC26">
        <f>AND(IF(Metadata!J26="",FALSE,TRUE),exact(Metadata!J26,"655179"))</f>
        <v>0</v>
      </c>
    </row>
    <row r="27" spans="1:29">
      <c r="A27" s="5">
        <f>IF(B27=" "," ",HYPERLINK(CONCATENATE("#metadata!",ADDRESS(INDEX($P$2:$P$1001,MATCH(ROWS($N$2:N27),$N$2:$N$1001,0),0),1)),INDEX($S$2:$S$1001,MATCH(ROWS($N$2:N27),$N$2:$N$1001,0),0)))</f>
        <v>0</v>
      </c>
      <c r="B27" s="4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4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4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4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4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4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4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4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4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OR(AND(IF(Metadata!C27="",FALSE,TRUE),OR(exact(Metadata!C27,"not applicable"),exact(Metadata!C27,"not collected"),exact(Metadata!C27,"not provided"),exact(Metadata!C27,"restricted access"))),IF(Metadata!C27="",FALSE,ISNUMBER(VALUE(Metadata!C27))))</f>
        <v>0</v>
      </c>
      <c r="W27">
        <f>AND(IF(Metadata!D27="",FALSE,TRUE),exact(Metadata!D27,"m"))</f>
        <v>0</v>
      </c>
      <c r="X27">
        <f>AND(IF(Metadata!E27="",FALSE,TRUE),OR(exact(Metadata!E27,"aerosol (non-saline)"),exact(Metadata!E27,"aerosol (saline)")))</f>
        <v>0</v>
      </c>
      <c r="Y27">
        <f>AND(IF(Metadata!F27="",FALSE,TRUE),exact(Metadata!F27,"air"))</f>
        <v>0</v>
      </c>
      <c r="Z27">
        <f>AND(IF(Metadata!G27="",FALSE,TRUE),exact(Metadata!G27,"air"))</f>
        <v>0</v>
      </c>
      <c r="AA27">
        <f>AND(IF(Metadata!H27="",FALSE,TRUE),exact(Metadata!H27,"air"))</f>
        <v>0</v>
      </c>
      <c r="AB27">
        <f>AND(IF(Metadata!I27="",FALSE,TRUE),exact(Metadata!I27,"air metagenome"))</f>
        <v>0</v>
      </c>
      <c r="AC27">
        <f>AND(IF(Metadata!J27="",FALSE,TRUE),exact(Metadata!J27,"655179"))</f>
        <v>0</v>
      </c>
    </row>
    <row r="28" spans="1:29">
      <c r="A28" s="5">
        <f>IF(B28=" "," ",HYPERLINK(CONCATENATE("#metadata!",ADDRESS(INDEX($P$2:$P$1001,MATCH(ROWS($N$2:N28),$N$2:$N$1001,0),0),1)),INDEX($S$2:$S$1001,MATCH(ROWS($N$2:N28),$N$2:$N$1001,0),0)))</f>
        <v>0</v>
      </c>
      <c r="B28" s="4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4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4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4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4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4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4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4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4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OR(AND(IF(Metadata!C28="",FALSE,TRUE),OR(exact(Metadata!C28,"not applicable"),exact(Metadata!C28,"not collected"),exact(Metadata!C28,"not provided"),exact(Metadata!C28,"restricted access"))),IF(Metadata!C28="",FALSE,ISNUMBER(VALUE(Metadata!C28))))</f>
        <v>0</v>
      </c>
      <c r="W28">
        <f>AND(IF(Metadata!D28="",FALSE,TRUE),exact(Metadata!D28,"m"))</f>
        <v>0</v>
      </c>
      <c r="X28">
        <f>AND(IF(Metadata!E28="",FALSE,TRUE),OR(exact(Metadata!E28,"aerosol (non-saline)"),exact(Metadata!E28,"aerosol (saline)")))</f>
        <v>0</v>
      </c>
      <c r="Y28">
        <f>AND(IF(Metadata!F28="",FALSE,TRUE),exact(Metadata!F28,"air"))</f>
        <v>0</v>
      </c>
      <c r="Z28">
        <f>AND(IF(Metadata!G28="",FALSE,TRUE),exact(Metadata!G28,"air"))</f>
        <v>0</v>
      </c>
      <c r="AA28">
        <f>AND(IF(Metadata!H28="",FALSE,TRUE),exact(Metadata!H28,"air"))</f>
        <v>0</v>
      </c>
      <c r="AB28">
        <f>AND(IF(Metadata!I28="",FALSE,TRUE),exact(Metadata!I28,"air metagenome"))</f>
        <v>0</v>
      </c>
      <c r="AC28">
        <f>AND(IF(Metadata!J28="",FALSE,TRUE),exact(Metadata!J28,"655179"))</f>
        <v>0</v>
      </c>
    </row>
    <row r="29" spans="1:29">
      <c r="A29" s="5">
        <f>IF(B29=" "," ",HYPERLINK(CONCATENATE("#metadata!",ADDRESS(INDEX($P$2:$P$1001,MATCH(ROWS($N$2:N29),$N$2:$N$1001,0),0),1)),INDEX($S$2:$S$1001,MATCH(ROWS($N$2:N29),$N$2:$N$1001,0),0)))</f>
        <v>0</v>
      </c>
      <c r="B29" s="4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4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4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4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4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4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4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4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4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OR(AND(IF(Metadata!C29="",FALSE,TRUE),OR(exact(Metadata!C29,"not applicable"),exact(Metadata!C29,"not collected"),exact(Metadata!C29,"not provided"),exact(Metadata!C29,"restricted access"))),IF(Metadata!C29="",FALSE,ISNUMBER(VALUE(Metadata!C29))))</f>
        <v>0</v>
      </c>
      <c r="W29">
        <f>AND(IF(Metadata!D29="",FALSE,TRUE),exact(Metadata!D29,"m"))</f>
        <v>0</v>
      </c>
      <c r="X29">
        <f>AND(IF(Metadata!E29="",FALSE,TRUE),OR(exact(Metadata!E29,"aerosol (non-saline)"),exact(Metadata!E29,"aerosol (saline)")))</f>
        <v>0</v>
      </c>
      <c r="Y29">
        <f>AND(IF(Metadata!F29="",FALSE,TRUE),exact(Metadata!F29,"air"))</f>
        <v>0</v>
      </c>
      <c r="Z29">
        <f>AND(IF(Metadata!G29="",FALSE,TRUE),exact(Metadata!G29,"air"))</f>
        <v>0</v>
      </c>
      <c r="AA29">
        <f>AND(IF(Metadata!H29="",FALSE,TRUE),exact(Metadata!H29,"air"))</f>
        <v>0</v>
      </c>
      <c r="AB29">
        <f>AND(IF(Metadata!I29="",FALSE,TRUE),exact(Metadata!I29,"air metagenome"))</f>
        <v>0</v>
      </c>
      <c r="AC29">
        <f>AND(IF(Metadata!J29="",FALSE,TRUE),exact(Metadata!J29,"655179"))</f>
        <v>0</v>
      </c>
    </row>
    <row r="30" spans="1:29">
      <c r="A30" s="5">
        <f>IF(B30=" "," ",HYPERLINK(CONCATENATE("#metadata!",ADDRESS(INDEX($P$2:$P$1001,MATCH(ROWS($N$2:N30),$N$2:$N$1001,0),0),1)),INDEX($S$2:$S$1001,MATCH(ROWS($N$2:N30),$N$2:$N$1001,0),0)))</f>
        <v>0</v>
      </c>
      <c r="B30" s="4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4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4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4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4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4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4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4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4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OR(AND(IF(Metadata!C30="",FALSE,TRUE),OR(exact(Metadata!C30,"not applicable"),exact(Metadata!C30,"not collected"),exact(Metadata!C30,"not provided"),exact(Metadata!C30,"restricted access"))),IF(Metadata!C30="",FALSE,ISNUMBER(VALUE(Metadata!C30))))</f>
        <v>0</v>
      </c>
      <c r="W30">
        <f>AND(IF(Metadata!D30="",FALSE,TRUE),exact(Metadata!D30,"m"))</f>
        <v>0</v>
      </c>
      <c r="X30">
        <f>AND(IF(Metadata!E30="",FALSE,TRUE),OR(exact(Metadata!E30,"aerosol (non-saline)"),exact(Metadata!E30,"aerosol (saline)")))</f>
        <v>0</v>
      </c>
      <c r="Y30">
        <f>AND(IF(Metadata!F30="",FALSE,TRUE),exact(Metadata!F30,"air"))</f>
        <v>0</v>
      </c>
      <c r="Z30">
        <f>AND(IF(Metadata!G30="",FALSE,TRUE),exact(Metadata!G30,"air"))</f>
        <v>0</v>
      </c>
      <c r="AA30">
        <f>AND(IF(Metadata!H30="",FALSE,TRUE),exact(Metadata!H30,"air"))</f>
        <v>0</v>
      </c>
      <c r="AB30">
        <f>AND(IF(Metadata!I30="",FALSE,TRUE),exact(Metadata!I30,"air metagenome"))</f>
        <v>0</v>
      </c>
      <c r="AC30">
        <f>AND(IF(Metadata!J30="",FALSE,TRUE),exact(Metadata!J30,"655179"))</f>
        <v>0</v>
      </c>
    </row>
    <row r="31" spans="1:29">
      <c r="A31" s="5">
        <f>IF(B31=" "," ",HYPERLINK(CONCATENATE("#metadata!",ADDRESS(INDEX($P$2:$P$1001,MATCH(ROWS($N$2:N31),$N$2:$N$1001,0),0),1)),INDEX($S$2:$S$1001,MATCH(ROWS($N$2:N31),$N$2:$N$1001,0),0)))</f>
        <v>0</v>
      </c>
      <c r="B31" s="4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4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4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4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4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4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4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4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4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OR(AND(IF(Metadata!C31="",FALSE,TRUE),OR(exact(Metadata!C31,"not applicable"),exact(Metadata!C31,"not collected"),exact(Metadata!C31,"not provided"),exact(Metadata!C31,"restricted access"))),IF(Metadata!C31="",FALSE,ISNUMBER(VALUE(Metadata!C31))))</f>
        <v>0</v>
      </c>
      <c r="W31">
        <f>AND(IF(Metadata!D31="",FALSE,TRUE),exact(Metadata!D31,"m"))</f>
        <v>0</v>
      </c>
      <c r="X31">
        <f>AND(IF(Metadata!E31="",FALSE,TRUE),OR(exact(Metadata!E31,"aerosol (non-saline)"),exact(Metadata!E31,"aerosol (saline)")))</f>
        <v>0</v>
      </c>
      <c r="Y31">
        <f>AND(IF(Metadata!F31="",FALSE,TRUE),exact(Metadata!F31,"air"))</f>
        <v>0</v>
      </c>
      <c r="Z31">
        <f>AND(IF(Metadata!G31="",FALSE,TRUE),exact(Metadata!G31,"air"))</f>
        <v>0</v>
      </c>
      <c r="AA31">
        <f>AND(IF(Metadata!H31="",FALSE,TRUE),exact(Metadata!H31,"air"))</f>
        <v>0</v>
      </c>
      <c r="AB31">
        <f>AND(IF(Metadata!I31="",FALSE,TRUE),exact(Metadata!I31,"air metagenome"))</f>
        <v>0</v>
      </c>
      <c r="AC31">
        <f>AND(IF(Metadata!J31="",FALSE,TRUE),exact(Metadata!J31,"655179"))</f>
        <v>0</v>
      </c>
    </row>
    <row r="32" spans="1:29">
      <c r="A32" s="5">
        <f>IF(B32=" "," ",HYPERLINK(CONCATENATE("#metadata!",ADDRESS(INDEX($P$2:$P$1001,MATCH(ROWS($N$2:N32),$N$2:$N$1001,0),0),1)),INDEX($S$2:$S$1001,MATCH(ROWS($N$2:N32),$N$2:$N$1001,0),0)))</f>
        <v>0</v>
      </c>
      <c r="B32" s="4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4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4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4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4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4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4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4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4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OR(AND(IF(Metadata!C32="",FALSE,TRUE),OR(exact(Metadata!C32,"not applicable"),exact(Metadata!C32,"not collected"),exact(Metadata!C32,"not provided"),exact(Metadata!C32,"restricted access"))),IF(Metadata!C32="",FALSE,ISNUMBER(VALUE(Metadata!C32))))</f>
        <v>0</v>
      </c>
      <c r="W32">
        <f>AND(IF(Metadata!D32="",FALSE,TRUE),exact(Metadata!D32,"m"))</f>
        <v>0</v>
      </c>
      <c r="X32">
        <f>AND(IF(Metadata!E32="",FALSE,TRUE),OR(exact(Metadata!E32,"aerosol (non-saline)"),exact(Metadata!E32,"aerosol (saline)")))</f>
        <v>0</v>
      </c>
      <c r="Y32">
        <f>AND(IF(Metadata!F32="",FALSE,TRUE),exact(Metadata!F32,"air"))</f>
        <v>0</v>
      </c>
      <c r="Z32">
        <f>AND(IF(Metadata!G32="",FALSE,TRUE),exact(Metadata!G32,"air"))</f>
        <v>0</v>
      </c>
      <c r="AA32">
        <f>AND(IF(Metadata!H32="",FALSE,TRUE),exact(Metadata!H32,"air"))</f>
        <v>0</v>
      </c>
      <c r="AB32">
        <f>AND(IF(Metadata!I32="",FALSE,TRUE),exact(Metadata!I32,"air metagenome"))</f>
        <v>0</v>
      </c>
      <c r="AC32">
        <f>AND(IF(Metadata!J32="",FALSE,TRUE),exact(Metadata!J32,"655179"))</f>
        <v>0</v>
      </c>
    </row>
    <row r="33" spans="1:29">
      <c r="A33" s="5">
        <f>IF(B33=" "," ",HYPERLINK(CONCATENATE("#metadata!",ADDRESS(INDEX($P$2:$P$1001,MATCH(ROWS($N$2:N33),$N$2:$N$1001,0),0),1)),INDEX($S$2:$S$1001,MATCH(ROWS($N$2:N33),$N$2:$N$1001,0),0)))</f>
        <v>0</v>
      </c>
      <c r="B33" s="4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4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4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4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4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4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4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4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4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OR(AND(IF(Metadata!C33="",FALSE,TRUE),OR(exact(Metadata!C33,"not applicable"),exact(Metadata!C33,"not collected"),exact(Metadata!C33,"not provided"),exact(Metadata!C33,"restricted access"))),IF(Metadata!C33="",FALSE,ISNUMBER(VALUE(Metadata!C33))))</f>
        <v>0</v>
      </c>
      <c r="W33">
        <f>AND(IF(Metadata!D33="",FALSE,TRUE),exact(Metadata!D33,"m"))</f>
        <v>0</v>
      </c>
      <c r="X33">
        <f>AND(IF(Metadata!E33="",FALSE,TRUE),OR(exact(Metadata!E33,"aerosol (non-saline)"),exact(Metadata!E33,"aerosol (saline)")))</f>
        <v>0</v>
      </c>
      <c r="Y33">
        <f>AND(IF(Metadata!F33="",FALSE,TRUE),exact(Metadata!F33,"air"))</f>
        <v>0</v>
      </c>
      <c r="Z33">
        <f>AND(IF(Metadata!G33="",FALSE,TRUE),exact(Metadata!G33,"air"))</f>
        <v>0</v>
      </c>
      <c r="AA33">
        <f>AND(IF(Metadata!H33="",FALSE,TRUE),exact(Metadata!H33,"air"))</f>
        <v>0</v>
      </c>
      <c r="AB33">
        <f>AND(IF(Metadata!I33="",FALSE,TRUE),exact(Metadata!I33,"air metagenome"))</f>
        <v>0</v>
      </c>
      <c r="AC33">
        <f>AND(IF(Metadata!J33="",FALSE,TRUE),exact(Metadata!J33,"655179"))</f>
        <v>0</v>
      </c>
    </row>
    <row r="34" spans="1:29">
      <c r="A34" s="5">
        <f>IF(B34=" "," ",HYPERLINK(CONCATENATE("#metadata!",ADDRESS(INDEX($P$2:$P$1001,MATCH(ROWS($N$2:N34),$N$2:$N$1001,0),0),1)),INDEX($S$2:$S$1001,MATCH(ROWS($N$2:N34),$N$2:$N$1001,0),0)))</f>
        <v>0</v>
      </c>
      <c r="B34" s="4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4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4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4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4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4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4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4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4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OR(AND(IF(Metadata!C34="",FALSE,TRUE),OR(exact(Metadata!C34,"not applicable"),exact(Metadata!C34,"not collected"),exact(Metadata!C34,"not provided"),exact(Metadata!C34,"restricted access"))),IF(Metadata!C34="",FALSE,ISNUMBER(VALUE(Metadata!C34))))</f>
        <v>0</v>
      </c>
      <c r="W34">
        <f>AND(IF(Metadata!D34="",FALSE,TRUE),exact(Metadata!D34,"m"))</f>
        <v>0</v>
      </c>
      <c r="X34">
        <f>AND(IF(Metadata!E34="",FALSE,TRUE),OR(exact(Metadata!E34,"aerosol (non-saline)"),exact(Metadata!E34,"aerosol (saline)")))</f>
        <v>0</v>
      </c>
      <c r="Y34">
        <f>AND(IF(Metadata!F34="",FALSE,TRUE),exact(Metadata!F34,"air"))</f>
        <v>0</v>
      </c>
      <c r="Z34">
        <f>AND(IF(Metadata!G34="",FALSE,TRUE),exact(Metadata!G34,"air"))</f>
        <v>0</v>
      </c>
      <c r="AA34">
        <f>AND(IF(Metadata!H34="",FALSE,TRUE),exact(Metadata!H34,"air"))</f>
        <v>0</v>
      </c>
      <c r="AB34">
        <f>AND(IF(Metadata!I34="",FALSE,TRUE),exact(Metadata!I34,"air metagenome"))</f>
        <v>0</v>
      </c>
      <c r="AC34">
        <f>AND(IF(Metadata!J34="",FALSE,TRUE),exact(Metadata!J34,"655179"))</f>
        <v>0</v>
      </c>
    </row>
    <row r="35" spans="1:29">
      <c r="A35" s="5">
        <f>IF(B35=" "," ",HYPERLINK(CONCATENATE("#metadata!",ADDRESS(INDEX($P$2:$P$1001,MATCH(ROWS($N$2:N35),$N$2:$N$1001,0),0),1)),INDEX($S$2:$S$1001,MATCH(ROWS($N$2:N35),$N$2:$N$1001,0),0)))</f>
        <v>0</v>
      </c>
      <c r="B35" s="4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4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4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4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4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4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4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4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4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OR(AND(IF(Metadata!C35="",FALSE,TRUE),OR(exact(Metadata!C35,"not applicable"),exact(Metadata!C35,"not collected"),exact(Metadata!C35,"not provided"),exact(Metadata!C35,"restricted access"))),IF(Metadata!C35="",FALSE,ISNUMBER(VALUE(Metadata!C35))))</f>
        <v>0</v>
      </c>
      <c r="W35">
        <f>AND(IF(Metadata!D35="",FALSE,TRUE),exact(Metadata!D35,"m"))</f>
        <v>0</v>
      </c>
      <c r="X35">
        <f>AND(IF(Metadata!E35="",FALSE,TRUE),OR(exact(Metadata!E35,"aerosol (non-saline)"),exact(Metadata!E35,"aerosol (saline)")))</f>
        <v>0</v>
      </c>
      <c r="Y35">
        <f>AND(IF(Metadata!F35="",FALSE,TRUE),exact(Metadata!F35,"air"))</f>
        <v>0</v>
      </c>
      <c r="Z35">
        <f>AND(IF(Metadata!G35="",FALSE,TRUE),exact(Metadata!G35,"air"))</f>
        <v>0</v>
      </c>
      <c r="AA35">
        <f>AND(IF(Metadata!H35="",FALSE,TRUE),exact(Metadata!H35,"air"))</f>
        <v>0</v>
      </c>
      <c r="AB35">
        <f>AND(IF(Metadata!I35="",FALSE,TRUE),exact(Metadata!I35,"air metagenome"))</f>
        <v>0</v>
      </c>
      <c r="AC35">
        <f>AND(IF(Metadata!J35="",FALSE,TRUE),exact(Metadata!J35,"655179"))</f>
        <v>0</v>
      </c>
    </row>
    <row r="36" spans="1:29">
      <c r="A36" s="5">
        <f>IF(B36=" "," ",HYPERLINK(CONCATENATE("#metadata!",ADDRESS(INDEX($P$2:$P$1001,MATCH(ROWS($N$2:N36),$N$2:$N$1001,0),0),1)),INDEX($S$2:$S$1001,MATCH(ROWS($N$2:N36),$N$2:$N$1001,0),0)))</f>
        <v>0</v>
      </c>
      <c r="B36" s="4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4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4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4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4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4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4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4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4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OR(AND(IF(Metadata!C36="",FALSE,TRUE),OR(exact(Metadata!C36,"not applicable"),exact(Metadata!C36,"not collected"),exact(Metadata!C36,"not provided"),exact(Metadata!C36,"restricted access"))),IF(Metadata!C36="",FALSE,ISNUMBER(VALUE(Metadata!C36))))</f>
        <v>0</v>
      </c>
      <c r="W36">
        <f>AND(IF(Metadata!D36="",FALSE,TRUE),exact(Metadata!D36,"m"))</f>
        <v>0</v>
      </c>
      <c r="X36">
        <f>AND(IF(Metadata!E36="",FALSE,TRUE),OR(exact(Metadata!E36,"aerosol (non-saline)"),exact(Metadata!E36,"aerosol (saline)")))</f>
        <v>0</v>
      </c>
      <c r="Y36">
        <f>AND(IF(Metadata!F36="",FALSE,TRUE),exact(Metadata!F36,"air"))</f>
        <v>0</v>
      </c>
      <c r="Z36">
        <f>AND(IF(Metadata!G36="",FALSE,TRUE),exact(Metadata!G36,"air"))</f>
        <v>0</v>
      </c>
      <c r="AA36">
        <f>AND(IF(Metadata!H36="",FALSE,TRUE),exact(Metadata!H36,"air"))</f>
        <v>0</v>
      </c>
      <c r="AB36">
        <f>AND(IF(Metadata!I36="",FALSE,TRUE),exact(Metadata!I36,"air metagenome"))</f>
        <v>0</v>
      </c>
      <c r="AC36">
        <f>AND(IF(Metadata!J36="",FALSE,TRUE),exact(Metadata!J36,"655179"))</f>
        <v>0</v>
      </c>
    </row>
    <row r="37" spans="1:29">
      <c r="A37" s="5">
        <f>IF(B37=" "," ",HYPERLINK(CONCATENATE("#metadata!",ADDRESS(INDEX($P$2:$P$1001,MATCH(ROWS($N$2:N37),$N$2:$N$1001,0),0),1)),INDEX($S$2:$S$1001,MATCH(ROWS($N$2:N37),$N$2:$N$1001,0),0)))</f>
        <v>0</v>
      </c>
      <c r="B37" s="4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4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4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4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4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4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4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4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4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OR(AND(IF(Metadata!C37="",FALSE,TRUE),OR(exact(Metadata!C37,"not applicable"),exact(Metadata!C37,"not collected"),exact(Metadata!C37,"not provided"),exact(Metadata!C37,"restricted access"))),IF(Metadata!C37="",FALSE,ISNUMBER(VALUE(Metadata!C37))))</f>
        <v>0</v>
      </c>
      <c r="W37">
        <f>AND(IF(Metadata!D37="",FALSE,TRUE),exact(Metadata!D37,"m"))</f>
        <v>0</v>
      </c>
      <c r="X37">
        <f>AND(IF(Metadata!E37="",FALSE,TRUE),OR(exact(Metadata!E37,"aerosol (non-saline)"),exact(Metadata!E37,"aerosol (saline)")))</f>
        <v>0</v>
      </c>
      <c r="Y37">
        <f>AND(IF(Metadata!F37="",FALSE,TRUE),exact(Metadata!F37,"air"))</f>
        <v>0</v>
      </c>
      <c r="Z37">
        <f>AND(IF(Metadata!G37="",FALSE,TRUE),exact(Metadata!G37,"air"))</f>
        <v>0</v>
      </c>
      <c r="AA37">
        <f>AND(IF(Metadata!H37="",FALSE,TRUE),exact(Metadata!H37,"air"))</f>
        <v>0</v>
      </c>
      <c r="AB37">
        <f>AND(IF(Metadata!I37="",FALSE,TRUE),exact(Metadata!I37,"air metagenome"))</f>
        <v>0</v>
      </c>
      <c r="AC37">
        <f>AND(IF(Metadata!J37="",FALSE,TRUE),exact(Metadata!J37,"655179"))</f>
        <v>0</v>
      </c>
    </row>
    <row r="38" spans="1:29">
      <c r="A38" s="5">
        <f>IF(B38=" "," ",HYPERLINK(CONCATENATE("#metadata!",ADDRESS(INDEX($P$2:$P$1001,MATCH(ROWS($N$2:N38),$N$2:$N$1001,0),0),1)),INDEX($S$2:$S$1001,MATCH(ROWS($N$2:N38),$N$2:$N$1001,0),0)))</f>
        <v>0</v>
      </c>
      <c r="B38" s="4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4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4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4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4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4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4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4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4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OR(AND(IF(Metadata!C38="",FALSE,TRUE),OR(exact(Metadata!C38,"not applicable"),exact(Metadata!C38,"not collected"),exact(Metadata!C38,"not provided"),exact(Metadata!C38,"restricted access"))),IF(Metadata!C38="",FALSE,ISNUMBER(VALUE(Metadata!C38))))</f>
        <v>0</v>
      </c>
      <c r="W38">
        <f>AND(IF(Metadata!D38="",FALSE,TRUE),exact(Metadata!D38,"m"))</f>
        <v>0</v>
      </c>
      <c r="X38">
        <f>AND(IF(Metadata!E38="",FALSE,TRUE),OR(exact(Metadata!E38,"aerosol (non-saline)"),exact(Metadata!E38,"aerosol (saline)")))</f>
        <v>0</v>
      </c>
      <c r="Y38">
        <f>AND(IF(Metadata!F38="",FALSE,TRUE),exact(Metadata!F38,"air"))</f>
        <v>0</v>
      </c>
      <c r="Z38">
        <f>AND(IF(Metadata!G38="",FALSE,TRUE),exact(Metadata!G38,"air"))</f>
        <v>0</v>
      </c>
      <c r="AA38">
        <f>AND(IF(Metadata!H38="",FALSE,TRUE),exact(Metadata!H38,"air"))</f>
        <v>0</v>
      </c>
      <c r="AB38">
        <f>AND(IF(Metadata!I38="",FALSE,TRUE),exact(Metadata!I38,"air metagenome"))</f>
        <v>0</v>
      </c>
      <c r="AC38">
        <f>AND(IF(Metadata!J38="",FALSE,TRUE),exact(Metadata!J38,"655179"))</f>
        <v>0</v>
      </c>
    </row>
    <row r="39" spans="1:29">
      <c r="A39" s="5">
        <f>IF(B39=" "," ",HYPERLINK(CONCATENATE("#metadata!",ADDRESS(INDEX($P$2:$P$1001,MATCH(ROWS($N$2:N39),$N$2:$N$1001,0),0),1)),INDEX($S$2:$S$1001,MATCH(ROWS($N$2:N39),$N$2:$N$1001,0),0)))</f>
        <v>0</v>
      </c>
      <c r="B39" s="4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4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4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4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4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4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4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4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4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OR(AND(IF(Metadata!C39="",FALSE,TRUE),OR(exact(Metadata!C39,"not applicable"),exact(Metadata!C39,"not collected"),exact(Metadata!C39,"not provided"),exact(Metadata!C39,"restricted access"))),IF(Metadata!C39="",FALSE,ISNUMBER(VALUE(Metadata!C39))))</f>
        <v>0</v>
      </c>
      <c r="W39">
        <f>AND(IF(Metadata!D39="",FALSE,TRUE),exact(Metadata!D39,"m"))</f>
        <v>0</v>
      </c>
      <c r="X39">
        <f>AND(IF(Metadata!E39="",FALSE,TRUE),OR(exact(Metadata!E39,"aerosol (non-saline)"),exact(Metadata!E39,"aerosol (saline)")))</f>
        <v>0</v>
      </c>
      <c r="Y39">
        <f>AND(IF(Metadata!F39="",FALSE,TRUE),exact(Metadata!F39,"air"))</f>
        <v>0</v>
      </c>
      <c r="Z39">
        <f>AND(IF(Metadata!G39="",FALSE,TRUE),exact(Metadata!G39,"air"))</f>
        <v>0</v>
      </c>
      <c r="AA39">
        <f>AND(IF(Metadata!H39="",FALSE,TRUE),exact(Metadata!H39,"air"))</f>
        <v>0</v>
      </c>
      <c r="AB39">
        <f>AND(IF(Metadata!I39="",FALSE,TRUE),exact(Metadata!I39,"air metagenome"))</f>
        <v>0</v>
      </c>
      <c r="AC39">
        <f>AND(IF(Metadata!J39="",FALSE,TRUE),exact(Metadata!J39,"655179"))</f>
        <v>0</v>
      </c>
    </row>
    <row r="40" spans="1:29">
      <c r="A40" s="5">
        <f>IF(B40=" "," ",HYPERLINK(CONCATENATE("#metadata!",ADDRESS(INDEX($P$2:$P$1001,MATCH(ROWS($N$2:N40),$N$2:$N$1001,0),0),1)),INDEX($S$2:$S$1001,MATCH(ROWS($N$2:N40),$N$2:$N$1001,0),0)))</f>
        <v>0</v>
      </c>
      <c r="B40" s="4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4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4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4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4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4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4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4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4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OR(AND(IF(Metadata!C40="",FALSE,TRUE),OR(exact(Metadata!C40,"not applicable"),exact(Metadata!C40,"not collected"),exact(Metadata!C40,"not provided"),exact(Metadata!C40,"restricted access"))),IF(Metadata!C40="",FALSE,ISNUMBER(VALUE(Metadata!C40))))</f>
        <v>0</v>
      </c>
      <c r="W40">
        <f>AND(IF(Metadata!D40="",FALSE,TRUE),exact(Metadata!D40,"m"))</f>
        <v>0</v>
      </c>
      <c r="X40">
        <f>AND(IF(Metadata!E40="",FALSE,TRUE),OR(exact(Metadata!E40,"aerosol (non-saline)"),exact(Metadata!E40,"aerosol (saline)")))</f>
        <v>0</v>
      </c>
      <c r="Y40">
        <f>AND(IF(Metadata!F40="",FALSE,TRUE),exact(Metadata!F40,"air"))</f>
        <v>0</v>
      </c>
      <c r="Z40">
        <f>AND(IF(Metadata!G40="",FALSE,TRUE),exact(Metadata!G40,"air"))</f>
        <v>0</v>
      </c>
      <c r="AA40">
        <f>AND(IF(Metadata!H40="",FALSE,TRUE),exact(Metadata!H40,"air"))</f>
        <v>0</v>
      </c>
      <c r="AB40">
        <f>AND(IF(Metadata!I40="",FALSE,TRUE),exact(Metadata!I40,"air metagenome"))</f>
        <v>0</v>
      </c>
      <c r="AC40">
        <f>AND(IF(Metadata!J40="",FALSE,TRUE),exact(Metadata!J40,"655179"))</f>
        <v>0</v>
      </c>
    </row>
    <row r="41" spans="1:29">
      <c r="A41" s="5">
        <f>IF(B41=" "," ",HYPERLINK(CONCATENATE("#metadata!",ADDRESS(INDEX($P$2:$P$1001,MATCH(ROWS($N$2:N41),$N$2:$N$1001,0),0),1)),INDEX($S$2:$S$1001,MATCH(ROWS($N$2:N41),$N$2:$N$1001,0),0)))</f>
        <v>0</v>
      </c>
      <c r="B41" s="4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4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4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4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4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4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4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4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4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OR(AND(IF(Metadata!C41="",FALSE,TRUE),OR(exact(Metadata!C41,"not applicable"),exact(Metadata!C41,"not collected"),exact(Metadata!C41,"not provided"),exact(Metadata!C41,"restricted access"))),IF(Metadata!C41="",FALSE,ISNUMBER(VALUE(Metadata!C41))))</f>
        <v>0</v>
      </c>
      <c r="W41">
        <f>AND(IF(Metadata!D41="",FALSE,TRUE),exact(Metadata!D41,"m"))</f>
        <v>0</v>
      </c>
      <c r="X41">
        <f>AND(IF(Metadata!E41="",FALSE,TRUE),OR(exact(Metadata!E41,"aerosol (non-saline)"),exact(Metadata!E41,"aerosol (saline)")))</f>
        <v>0</v>
      </c>
      <c r="Y41">
        <f>AND(IF(Metadata!F41="",FALSE,TRUE),exact(Metadata!F41,"air"))</f>
        <v>0</v>
      </c>
      <c r="Z41">
        <f>AND(IF(Metadata!G41="",FALSE,TRUE),exact(Metadata!G41,"air"))</f>
        <v>0</v>
      </c>
      <c r="AA41">
        <f>AND(IF(Metadata!H41="",FALSE,TRUE),exact(Metadata!H41,"air"))</f>
        <v>0</v>
      </c>
      <c r="AB41">
        <f>AND(IF(Metadata!I41="",FALSE,TRUE),exact(Metadata!I41,"air metagenome"))</f>
        <v>0</v>
      </c>
      <c r="AC41">
        <f>AND(IF(Metadata!J41="",FALSE,TRUE),exact(Metadata!J41,"655179"))</f>
        <v>0</v>
      </c>
    </row>
    <row r="42" spans="1:29">
      <c r="A42" s="5">
        <f>IF(B42=" "," ",HYPERLINK(CONCATENATE("#metadata!",ADDRESS(INDEX($P$2:$P$1001,MATCH(ROWS($N$2:N42),$N$2:$N$1001,0),0),1)),INDEX($S$2:$S$1001,MATCH(ROWS($N$2:N42),$N$2:$N$1001,0),0)))</f>
        <v>0</v>
      </c>
      <c r="B42" s="4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4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4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4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4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4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4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4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4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OR(AND(IF(Metadata!C42="",FALSE,TRUE),OR(exact(Metadata!C42,"not applicable"),exact(Metadata!C42,"not collected"),exact(Metadata!C42,"not provided"),exact(Metadata!C42,"restricted access"))),IF(Metadata!C42="",FALSE,ISNUMBER(VALUE(Metadata!C42))))</f>
        <v>0</v>
      </c>
      <c r="W42">
        <f>AND(IF(Metadata!D42="",FALSE,TRUE),exact(Metadata!D42,"m"))</f>
        <v>0</v>
      </c>
      <c r="X42">
        <f>AND(IF(Metadata!E42="",FALSE,TRUE),OR(exact(Metadata!E42,"aerosol (non-saline)"),exact(Metadata!E42,"aerosol (saline)")))</f>
        <v>0</v>
      </c>
      <c r="Y42">
        <f>AND(IF(Metadata!F42="",FALSE,TRUE),exact(Metadata!F42,"air"))</f>
        <v>0</v>
      </c>
      <c r="Z42">
        <f>AND(IF(Metadata!G42="",FALSE,TRUE),exact(Metadata!G42,"air"))</f>
        <v>0</v>
      </c>
      <c r="AA42">
        <f>AND(IF(Metadata!H42="",FALSE,TRUE),exact(Metadata!H42,"air"))</f>
        <v>0</v>
      </c>
      <c r="AB42">
        <f>AND(IF(Metadata!I42="",FALSE,TRUE),exact(Metadata!I42,"air metagenome"))</f>
        <v>0</v>
      </c>
      <c r="AC42">
        <f>AND(IF(Metadata!J42="",FALSE,TRUE),exact(Metadata!J42,"655179"))</f>
        <v>0</v>
      </c>
    </row>
    <row r="43" spans="1:29">
      <c r="A43" s="5">
        <f>IF(B43=" "," ",HYPERLINK(CONCATENATE("#metadata!",ADDRESS(INDEX($P$2:$P$1001,MATCH(ROWS($N$2:N43),$N$2:$N$1001,0),0),1)),INDEX($S$2:$S$1001,MATCH(ROWS($N$2:N43),$N$2:$N$1001,0),0)))</f>
        <v>0</v>
      </c>
      <c r="B43" s="4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4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4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4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4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4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4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4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4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OR(AND(IF(Metadata!C43="",FALSE,TRUE),OR(exact(Metadata!C43,"not applicable"),exact(Metadata!C43,"not collected"),exact(Metadata!C43,"not provided"),exact(Metadata!C43,"restricted access"))),IF(Metadata!C43="",FALSE,ISNUMBER(VALUE(Metadata!C43))))</f>
        <v>0</v>
      </c>
      <c r="W43">
        <f>AND(IF(Metadata!D43="",FALSE,TRUE),exact(Metadata!D43,"m"))</f>
        <v>0</v>
      </c>
      <c r="X43">
        <f>AND(IF(Metadata!E43="",FALSE,TRUE),OR(exact(Metadata!E43,"aerosol (non-saline)"),exact(Metadata!E43,"aerosol (saline)")))</f>
        <v>0</v>
      </c>
      <c r="Y43">
        <f>AND(IF(Metadata!F43="",FALSE,TRUE),exact(Metadata!F43,"air"))</f>
        <v>0</v>
      </c>
      <c r="Z43">
        <f>AND(IF(Metadata!G43="",FALSE,TRUE),exact(Metadata!G43,"air"))</f>
        <v>0</v>
      </c>
      <c r="AA43">
        <f>AND(IF(Metadata!H43="",FALSE,TRUE),exact(Metadata!H43,"air"))</f>
        <v>0</v>
      </c>
      <c r="AB43">
        <f>AND(IF(Metadata!I43="",FALSE,TRUE),exact(Metadata!I43,"air metagenome"))</f>
        <v>0</v>
      </c>
      <c r="AC43">
        <f>AND(IF(Metadata!J43="",FALSE,TRUE),exact(Metadata!J43,"655179"))</f>
        <v>0</v>
      </c>
    </row>
    <row r="44" spans="1:29">
      <c r="A44" s="5">
        <f>IF(B44=" "," ",HYPERLINK(CONCATENATE("#metadata!",ADDRESS(INDEX($P$2:$P$1001,MATCH(ROWS($N$2:N44),$N$2:$N$1001,0),0),1)),INDEX($S$2:$S$1001,MATCH(ROWS($N$2:N44),$N$2:$N$1001,0),0)))</f>
        <v>0</v>
      </c>
      <c r="B44" s="4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4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4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4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4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4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4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4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4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OR(AND(IF(Metadata!C44="",FALSE,TRUE),OR(exact(Metadata!C44,"not applicable"),exact(Metadata!C44,"not collected"),exact(Metadata!C44,"not provided"),exact(Metadata!C44,"restricted access"))),IF(Metadata!C44="",FALSE,ISNUMBER(VALUE(Metadata!C44))))</f>
        <v>0</v>
      </c>
      <c r="W44">
        <f>AND(IF(Metadata!D44="",FALSE,TRUE),exact(Metadata!D44,"m"))</f>
        <v>0</v>
      </c>
      <c r="X44">
        <f>AND(IF(Metadata!E44="",FALSE,TRUE),OR(exact(Metadata!E44,"aerosol (non-saline)"),exact(Metadata!E44,"aerosol (saline)")))</f>
        <v>0</v>
      </c>
      <c r="Y44">
        <f>AND(IF(Metadata!F44="",FALSE,TRUE),exact(Metadata!F44,"air"))</f>
        <v>0</v>
      </c>
      <c r="Z44">
        <f>AND(IF(Metadata!G44="",FALSE,TRUE),exact(Metadata!G44,"air"))</f>
        <v>0</v>
      </c>
      <c r="AA44">
        <f>AND(IF(Metadata!H44="",FALSE,TRUE),exact(Metadata!H44,"air"))</f>
        <v>0</v>
      </c>
      <c r="AB44">
        <f>AND(IF(Metadata!I44="",FALSE,TRUE),exact(Metadata!I44,"air metagenome"))</f>
        <v>0</v>
      </c>
      <c r="AC44">
        <f>AND(IF(Metadata!J44="",FALSE,TRUE),exact(Metadata!J44,"655179"))</f>
        <v>0</v>
      </c>
    </row>
    <row r="45" spans="1:29">
      <c r="A45" s="5">
        <f>IF(B45=" "," ",HYPERLINK(CONCATENATE("#metadata!",ADDRESS(INDEX($P$2:$P$1001,MATCH(ROWS($N$2:N45),$N$2:$N$1001,0),0),1)),INDEX($S$2:$S$1001,MATCH(ROWS($N$2:N45),$N$2:$N$1001,0),0)))</f>
        <v>0</v>
      </c>
      <c r="B45" s="4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4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4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4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4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4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4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4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4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OR(AND(IF(Metadata!C45="",FALSE,TRUE),OR(exact(Metadata!C45,"not applicable"),exact(Metadata!C45,"not collected"),exact(Metadata!C45,"not provided"),exact(Metadata!C45,"restricted access"))),IF(Metadata!C45="",FALSE,ISNUMBER(VALUE(Metadata!C45))))</f>
        <v>0</v>
      </c>
      <c r="W45">
        <f>AND(IF(Metadata!D45="",FALSE,TRUE),exact(Metadata!D45,"m"))</f>
        <v>0</v>
      </c>
      <c r="X45">
        <f>AND(IF(Metadata!E45="",FALSE,TRUE),OR(exact(Metadata!E45,"aerosol (non-saline)"),exact(Metadata!E45,"aerosol (saline)")))</f>
        <v>0</v>
      </c>
      <c r="Y45">
        <f>AND(IF(Metadata!F45="",FALSE,TRUE),exact(Metadata!F45,"air"))</f>
        <v>0</v>
      </c>
      <c r="Z45">
        <f>AND(IF(Metadata!G45="",FALSE,TRUE),exact(Metadata!G45,"air"))</f>
        <v>0</v>
      </c>
      <c r="AA45">
        <f>AND(IF(Metadata!H45="",FALSE,TRUE),exact(Metadata!H45,"air"))</f>
        <v>0</v>
      </c>
      <c r="AB45">
        <f>AND(IF(Metadata!I45="",FALSE,TRUE),exact(Metadata!I45,"air metagenome"))</f>
        <v>0</v>
      </c>
      <c r="AC45">
        <f>AND(IF(Metadata!J45="",FALSE,TRUE),exact(Metadata!J45,"655179"))</f>
        <v>0</v>
      </c>
    </row>
    <row r="46" spans="1:29">
      <c r="A46" s="5">
        <f>IF(B46=" "," ",HYPERLINK(CONCATENATE("#metadata!",ADDRESS(INDEX($P$2:$P$1001,MATCH(ROWS($N$2:N46),$N$2:$N$1001,0),0),1)),INDEX($S$2:$S$1001,MATCH(ROWS($N$2:N46),$N$2:$N$1001,0),0)))</f>
        <v>0</v>
      </c>
      <c r="B46" s="4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4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4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4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4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4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4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4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4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OR(AND(IF(Metadata!C46="",FALSE,TRUE),OR(exact(Metadata!C46,"not applicable"),exact(Metadata!C46,"not collected"),exact(Metadata!C46,"not provided"),exact(Metadata!C46,"restricted access"))),IF(Metadata!C46="",FALSE,ISNUMBER(VALUE(Metadata!C46))))</f>
        <v>0</v>
      </c>
      <c r="W46">
        <f>AND(IF(Metadata!D46="",FALSE,TRUE),exact(Metadata!D46,"m"))</f>
        <v>0</v>
      </c>
      <c r="X46">
        <f>AND(IF(Metadata!E46="",FALSE,TRUE),OR(exact(Metadata!E46,"aerosol (non-saline)"),exact(Metadata!E46,"aerosol (saline)")))</f>
        <v>0</v>
      </c>
      <c r="Y46">
        <f>AND(IF(Metadata!F46="",FALSE,TRUE),exact(Metadata!F46,"air"))</f>
        <v>0</v>
      </c>
      <c r="Z46">
        <f>AND(IF(Metadata!G46="",FALSE,TRUE),exact(Metadata!G46,"air"))</f>
        <v>0</v>
      </c>
      <c r="AA46">
        <f>AND(IF(Metadata!H46="",FALSE,TRUE),exact(Metadata!H46,"air"))</f>
        <v>0</v>
      </c>
      <c r="AB46">
        <f>AND(IF(Metadata!I46="",FALSE,TRUE),exact(Metadata!I46,"air metagenome"))</f>
        <v>0</v>
      </c>
      <c r="AC46">
        <f>AND(IF(Metadata!J46="",FALSE,TRUE),exact(Metadata!J46,"655179"))</f>
        <v>0</v>
      </c>
    </row>
    <row r="47" spans="1:29">
      <c r="A47" s="5">
        <f>IF(B47=" "," ",HYPERLINK(CONCATENATE("#metadata!",ADDRESS(INDEX($P$2:$P$1001,MATCH(ROWS($N$2:N47),$N$2:$N$1001,0),0),1)),INDEX($S$2:$S$1001,MATCH(ROWS($N$2:N47),$N$2:$N$1001,0),0)))</f>
        <v>0</v>
      </c>
      <c r="B47" s="4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4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4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4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4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4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4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4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4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OR(AND(IF(Metadata!C47="",FALSE,TRUE),OR(exact(Metadata!C47,"not applicable"),exact(Metadata!C47,"not collected"),exact(Metadata!C47,"not provided"),exact(Metadata!C47,"restricted access"))),IF(Metadata!C47="",FALSE,ISNUMBER(VALUE(Metadata!C47))))</f>
        <v>0</v>
      </c>
      <c r="W47">
        <f>AND(IF(Metadata!D47="",FALSE,TRUE),exact(Metadata!D47,"m"))</f>
        <v>0</v>
      </c>
      <c r="X47">
        <f>AND(IF(Metadata!E47="",FALSE,TRUE),OR(exact(Metadata!E47,"aerosol (non-saline)"),exact(Metadata!E47,"aerosol (saline)")))</f>
        <v>0</v>
      </c>
      <c r="Y47">
        <f>AND(IF(Metadata!F47="",FALSE,TRUE),exact(Metadata!F47,"air"))</f>
        <v>0</v>
      </c>
      <c r="Z47">
        <f>AND(IF(Metadata!G47="",FALSE,TRUE),exact(Metadata!G47,"air"))</f>
        <v>0</v>
      </c>
      <c r="AA47">
        <f>AND(IF(Metadata!H47="",FALSE,TRUE),exact(Metadata!H47,"air"))</f>
        <v>0</v>
      </c>
      <c r="AB47">
        <f>AND(IF(Metadata!I47="",FALSE,TRUE),exact(Metadata!I47,"air metagenome"))</f>
        <v>0</v>
      </c>
      <c r="AC47">
        <f>AND(IF(Metadata!J47="",FALSE,TRUE),exact(Metadata!J47,"655179"))</f>
        <v>0</v>
      </c>
    </row>
    <row r="48" spans="1:29">
      <c r="A48" s="5">
        <f>IF(B48=" "," ",HYPERLINK(CONCATENATE("#metadata!",ADDRESS(INDEX($P$2:$P$1001,MATCH(ROWS($N$2:N48),$N$2:$N$1001,0),0),1)),INDEX($S$2:$S$1001,MATCH(ROWS($N$2:N48),$N$2:$N$1001,0),0)))</f>
        <v>0</v>
      </c>
      <c r="B48" s="4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4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4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4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4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4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4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4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4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OR(AND(IF(Metadata!C48="",FALSE,TRUE),OR(exact(Metadata!C48,"not applicable"),exact(Metadata!C48,"not collected"),exact(Metadata!C48,"not provided"),exact(Metadata!C48,"restricted access"))),IF(Metadata!C48="",FALSE,ISNUMBER(VALUE(Metadata!C48))))</f>
        <v>0</v>
      </c>
      <c r="W48">
        <f>AND(IF(Metadata!D48="",FALSE,TRUE),exact(Metadata!D48,"m"))</f>
        <v>0</v>
      </c>
      <c r="X48">
        <f>AND(IF(Metadata!E48="",FALSE,TRUE),OR(exact(Metadata!E48,"aerosol (non-saline)"),exact(Metadata!E48,"aerosol (saline)")))</f>
        <v>0</v>
      </c>
      <c r="Y48">
        <f>AND(IF(Metadata!F48="",FALSE,TRUE),exact(Metadata!F48,"air"))</f>
        <v>0</v>
      </c>
      <c r="Z48">
        <f>AND(IF(Metadata!G48="",FALSE,TRUE),exact(Metadata!G48,"air"))</f>
        <v>0</v>
      </c>
      <c r="AA48">
        <f>AND(IF(Metadata!H48="",FALSE,TRUE),exact(Metadata!H48,"air"))</f>
        <v>0</v>
      </c>
      <c r="AB48">
        <f>AND(IF(Metadata!I48="",FALSE,TRUE),exact(Metadata!I48,"air metagenome"))</f>
        <v>0</v>
      </c>
      <c r="AC48">
        <f>AND(IF(Metadata!J48="",FALSE,TRUE),exact(Metadata!J48,"655179"))</f>
        <v>0</v>
      </c>
    </row>
    <row r="49" spans="1:29">
      <c r="A49" s="5">
        <f>IF(B49=" "," ",HYPERLINK(CONCATENATE("#metadata!",ADDRESS(INDEX($P$2:$P$1001,MATCH(ROWS($N$2:N49),$N$2:$N$1001,0),0),1)),INDEX($S$2:$S$1001,MATCH(ROWS($N$2:N49),$N$2:$N$1001,0),0)))</f>
        <v>0</v>
      </c>
      <c r="B49" s="4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4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4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4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4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4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4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4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4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OR(AND(IF(Metadata!C49="",FALSE,TRUE),OR(exact(Metadata!C49,"not applicable"),exact(Metadata!C49,"not collected"),exact(Metadata!C49,"not provided"),exact(Metadata!C49,"restricted access"))),IF(Metadata!C49="",FALSE,ISNUMBER(VALUE(Metadata!C49))))</f>
        <v>0</v>
      </c>
      <c r="W49">
        <f>AND(IF(Metadata!D49="",FALSE,TRUE),exact(Metadata!D49,"m"))</f>
        <v>0</v>
      </c>
      <c r="X49">
        <f>AND(IF(Metadata!E49="",FALSE,TRUE),OR(exact(Metadata!E49,"aerosol (non-saline)"),exact(Metadata!E49,"aerosol (saline)")))</f>
        <v>0</v>
      </c>
      <c r="Y49">
        <f>AND(IF(Metadata!F49="",FALSE,TRUE),exact(Metadata!F49,"air"))</f>
        <v>0</v>
      </c>
      <c r="Z49">
        <f>AND(IF(Metadata!G49="",FALSE,TRUE),exact(Metadata!G49,"air"))</f>
        <v>0</v>
      </c>
      <c r="AA49">
        <f>AND(IF(Metadata!H49="",FALSE,TRUE),exact(Metadata!H49,"air"))</f>
        <v>0</v>
      </c>
      <c r="AB49">
        <f>AND(IF(Metadata!I49="",FALSE,TRUE),exact(Metadata!I49,"air metagenome"))</f>
        <v>0</v>
      </c>
      <c r="AC49">
        <f>AND(IF(Metadata!J49="",FALSE,TRUE),exact(Metadata!J49,"655179"))</f>
        <v>0</v>
      </c>
    </row>
    <row r="50" spans="1:29">
      <c r="A50" s="5">
        <f>IF(B50=" "," ",HYPERLINK(CONCATENATE("#metadata!",ADDRESS(INDEX($P$2:$P$1001,MATCH(ROWS($N$2:N50),$N$2:$N$1001,0),0),1)),INDEX($S$2:$S$1001,MATCH(ROWS($N$2:N50),$N$2:$N$1001,0),0)))</f>
        <v>0</v>
      </c>
      <c r="B50" s="4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4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4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4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4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4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4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4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4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OR(AND(IF(Metadata!C50="",FALSE,TRUE),OR(exact(Metadata!C50,"not applicable"),exact(Metadata!C50,"not collected"),exact(Metadata!C50,"not provided"),exact(Metadata!C50,"restricted access"))),IF(Metadata!C50="",FALSE,ISNUMBER(VALUE(Metadata!C50))))</f>
        <v>0</v>
      </c>
      <c r="W50">
        <f>AND(IF(Metadata!D50="",FALSE,TRUE),exact(Metadata!D50,"m"))</f>
        <v>0</v>
      </c>
      <c r="X50">
        <f>AND(IF(Metadata!E50="",FALSE,TRUE),OR(exact(Metadata!E50,"aerosol (non-saline)"),exact(Metadata!E50,"aerosol (saline)")))</f>
        <v>0</v>
      </c>
      <c r="Y50">
        <f>AND(IF(Metadata!F50="",FALSE,TRUE),exact(Metadata!F50,"air"))</f>
        <v>0</v>
      </c>
      <c r="Z50">
        <f>AND(IF(Metadata!G50="",FALSE,TRUE),exact(Metadata!G50,"air"))</f>
        <v>0</v>
      </c>
      <c r="AA50">
        <f>AND(IF(Metadata!H50="",FALSE,TRUE),exact(Metadata!H50,"air"))</f>
        <v>0</v>
      </c>
      <c r="AB50">
        <f>AND(IF(Metadata!I50="",FALSE,TRUE),exact(Metadata!I50,"air metagenome"))</f>
        <v>0</v>
      </c>
      <c r="AC50">
        <f>AND(IF(Metadata!J50="",FALSE,TRUE),exact(Metadata!J50,"655179"))</f>
        <v>0</v>
      </c>
    </row>
    <row r="51" spans="1:29">
      <c r="A51" s="5">
        <f>IF(B51=" "," ",HYPERLINK(CONCATENATE("#metadata!",ADDRESS(INDEX($P$2:$P$1001,MATCH(ROWS($N$2:N51),$N$2:$N$1001,0),0),1)),INDEX($S$2:$S$1001,MATCH(ROWS($N$2:N51),$N$2:$N$1001,0),0)))</f>
        <v>0</v>
      </c>
      <c r="B51" s="4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4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4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4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4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4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4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4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4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OR(AND(IF(Metadata!C51="",FALSE,TRUE),OR(exact(Metadata!C51,"not applicable"),exact(Metadata!C51,"not collected"),exact(Metadata!C51,"not provided"),exact(Metadata!C51,"restricted access"))),IF(Metadata!C51="",FALSE,ISNUMBER(VALUE(Metadata!C51))))</f>
        <v>0</v>
      </c>
      <c r="W51">
        <f>AND(IF(Metadata!D51="",FALSE,TRUE),exact(Metadata!D51,"m"))</f>
        <v>0</v>
      </c>
      <c r="X51">
        <f>AND(IF(Metadata!E51="",FALSE,TRUE),OR(exact(Metadata!E51,"aerosol (non-saline)"),exact(Metadata!E51,"aerosol (saline)")))</f>
        <v>0</v>
      </c>
      <c r="Y51">
        <f>AND(IF(Metadata!F51="",FALSE,TRUE),exact(Metadata!F51,"air"))</f>
        <v>0</v>
      </c>
      <c r="Z51">
        <f>AND(IF(Metadata!G51="",FALSE,TRUE),exact(Metadata!G51,"air"))</f>
        <v>0</v>
      </c>
      <c r="AA51">
        <f>AND(IF(Metadata!H51="",FALSE,TRUE),exact(Metadata!H51,"air"))</f>
        <v>0</v>
      </c>
      <c r="AB51">
        <f>AND(IF(Metadata!I51="",FALSE,TRUE),exact(Metadata!I51,"air metagenome"))</f>
        <v>0</v>
      </c>
      <c r="AC51">
        <f>AND(IF(Metadata!J51="",FALSE,TRUE),exact(Metadata!J51,"655179"))</f>
        <v>0</v>
      </c>
    </row>
    <row r="52" spans="1:29">
      <c r="A52" s="5">
        <f>IF(B52=" "," ",HYPERLINK(CONCATENATE("#metadata!",ADDRESS(INDEX($P$2:$P$1001,MATCH(ROWS($N$2:N52),$N$2:$N$1001,0),0),1)),INDEX($S$2:$S$1001,MATCH(ROWS($N$2:N52),$N$2:$N$1001,0),0)))</f>
        <v>0</v>
      </c>
      <c r="B52" s="4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4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4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4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4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4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4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4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4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OR(AND(IF(Metadata!C52="",FALSE,TRUE),OR(exact(Metadata!C52,"not applicable"),exact(Metadata!C52,"not collected"),exact(Metadata!C52,"not provided"),exact(Metadata!C52,"restricted access"))),IF(Metadata!C52="",FALSE,ISNUMBER(VALUE(Metadata!C52))))</f>
        <v>0</v>
      </c>
      <c r="W52">
        <f>AND(IF(Metadata!D52="",FALSE,TRUE),exact(Metadata!D52,"m"))</f>
        <v>0</v>
      </c>
      <c r="X52">
        <f>AND(IF(Metadata!E52="",FALSE,TRUE),OR(exact(Metadata!E52,"aerosol (non-saline)"),exact(Metadata!E52,"aerosol (saline)")))</f>
        <v>0</v>
      </c>
      <c r="Y52">
        <f>AND(IF(Metadata!F52="",FALSE,TRUE),exact(Metadata!F52,"air"))</f>
        <v>0</v>
      </c>
      <c r="Z52">
        <f>AND(IF(Metadata!G52="",FALSE,TRUE),exact(Metadata!G52,"air"))</f>
        <v>0</v>
      </c>
      <c r="AA52">
        <f>AND(IF(Metadata!H52="",FALSE,TRUE),exact(Metadata!H52,"air"))</f>
        <v>0</v>
      </c>
      <c r="AB52">
        <f>AND(IF(Metadata!I52="",FALSE,TRUE),exact(Metadata!I52,"air metagenome"))</f>
        <v>0</v>
      </c>
      <c r="AC52">
        <f>AND(IF(Metadata!J52="",FALSE,TRUE),exact(Metadata!J52,"655179"))</f>
        <v>0</v>
      </c>
    </row>
    <row r="53" spans="1:29">
      <c r="A53" s="5">
        <f>IF(B53=" "," ",HYPERLINK(CONCATENATE("#metadata!",ADDRESS(INDEX($P$2:$P$1001,MATCH(ROWS($N$2:N53),$N$2:$N$1001,0),0),1)),INDEX($S$2:$S$1001,MATCH(ROWS($N$2:N53),$N$2:$N$1001,0),0)))</f>
        <v>0</v>
      </c>
      <c r="B53" s="4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4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4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4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4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4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4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4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4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OR(AND(IF(Metadata!C53="",FALSE,TRUE),OR(exact(Metadata!C53,"not applicable"),exact(Metadata!C53,"not collected"),exact(Metadata!C53,"not provided"),exact(Metadata!C53,"restricted access"))),IF(Metadata!C53="",FALSE,ISNUMBER(VALUE(Metadata!C53))))</f>
        <v>0</v>
      </c>
      <c r="W53">
        <f>AND(IF(Metadata!D53="",FALSE,TRUE),exact(Metadata!D53,"m"))</f>
        <v>0</v>
      </c>
      <c r="X53">
        <f>AND(IF(Metadata!E53="",FALSE,TRUE),OR(exact(Metadata!E53,"aerosol (non-saline)"),exact(Metadata!E53,"aerosol (saline)")))</f>
        <v>0</v>
      </c>
      <c r="Y53">
        <f>AND(IF(Metadata!F53="",FALSE,TRUE),exact(Metadata!F53,"air"))</f>
        <v>0</v>
      </c>
      <c r="Z53">
        <f>AND(IF(Metadata!G53="",FALSE,TRUE),exact(Metadata!G53,"air"))</f>
        <v>0</v>
      </c>
      <c r="AA53">
        <f>AND(IF(Metadata!H53="",FALSE,TRUE),exact(Metadata!H53,"air"))</f>
        <v>0</v>
      </c>
      <c r="AB53">
        <f>AND(IF(Metadata!I53="",FALSE,TRUE),exact(Metadata!I53,"air metagenome"))</f>
        <v>0</v>
      </c>
      <c r="AC53">
        <f>AND(IF(Metadata!J53="",FALSE,TRUE),exact(Metadata!J53,"655179"))</f>
        <v>0</v>
      </c>
    </row>
    <row r="54" spans="1:29">
      <c r="A54" s="5">
        <f>IF(B54=" "," ",HYPERLINK(CONCATENATE("#metadata!",ADDRESS(INDEX($P$2:$P$1001,MATCH(ROWS($N$2:N54),$N$2:$N$1001,0),0),1)),INDEX($S$2:$S$1001,MATCH(ROWS($N$2:N54),$N$2:$N$1001,0),0)))</f>
        <v>0</v>
      </c>
      <c r="B54" s="4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4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4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4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4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4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4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4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4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OR(AND(IF(Metadata!C54="",FALSE,TRUE),OR(exact(Metadata!C54,"not applicable"),exact(Metadata!C54,"not collected"),exact(Metadata!C54,"not provided"),exact(Metadata!C54,"restricted access"))),IF(Metadata!C54="",FALSE,ISNUMBER(VALUE(Metadata!C54))))</f>
        <v>0</v>
      </c>
      <c r="W54">
        <f>AND(IF(Metadata!D54="",FALSE,TRUE),exact(Metadata!D54,"m"))</f>
        <v>0</v>
      </c>
      <c r="X54">
        <f>AND(IF(Metadata!E54="",FALSE,TRUE),OR(exact(Metadata!E54,"aerosol (non-saline)"),exact(Metadata!E54,"aerosol (saline)")))</f>
        <v>0</v>
      </c>
      <c r="Y54">
        <f>AND(IF(Metadata!F54="",FALSE,TRUE),exact(Metadata!F54,"air"))</f>
        <v>0</v>
      </c>
      <c r="Z54">
        <f>AND(IF(Metadata!G54="",FALSE,TRUE),exact(Metadata!G54,"air"))</f>
        <v>0</v>
      </c>
      <c r="AA54">
        <f>AND(IF(Metadata!H54="",FALSE,TRUE),exact(Metadata!H54,"air"))</f>
        <v>0</v>
      </c>
      <c r="AB54">
        <f>AND(IF(Metadata!I54="",FALSE,TRUE),exact(Metadata!I54,"air metagenome"))</f>
        <v>0</v>
      </c>
      <c r="AC54">
        <f>AND(IF(Metadata!J54="",FALSE,TRUE),exact(Metadata!J54,"655179"))</f>
        <v>0</v>
      </c>
    </row>
    <row r="55" spans="1:29">
      <c r="A55" s="5">
        <f>IF(B55=" "," ",HYPERLINK(CONCATENATE("#metadata!",ADDRESS(INDEX($P$2:$P$1001,MATCH(ROWS($N$2:N55),$N$2:$N$1001,0),0),1)),INDEX($S$2:$S$1001,MATCH(ROWS($N$2:N55),$N$2:$N$1001,0),0)))</f>
        <v>0</v>
      </c>
      <c r="B55" s="4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4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4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4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4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4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4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4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4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OR(AND(IF(Metadata!C55="",FALSE,TRUE),OR(exact(Metadata!C55,"not applicable"),exact(Metadata!C55,"not collected"),exact(Metadata!C55,"not provided"),exact(Metadata!C55,"restricted access"))),IF(Metadata!C55="",FALSE,ISNUMBER(VALUE(Metadata!C55))))</f>
        <v>0</v>
      </c>
      <c r="W55">
        <f>AND(IF(Metadata!D55="",FALSE,TRUE),exact(Metadata!D55,"m"))</f>
        <v>0</v>
      </c>
      <c r="X55">
        <f>AND(IF(Metadata!E55="",FALSE,TRUE),OR(exact(Metadata!E55,"aerosol (non-saline)"),exact(Metadata!E55,"aerosol (saline)")))</f>
        <v>0</v>
      </c>
      <c r="Y55">
        <f>AND(IF(Metadata!F55="",FALSE,TRUE),exact(Metadata!F55,"air"))</f>
        <v>0</v>
      </c>
      <c r="Z55">
        <f>AND(IF(Metadata!G55="",FALSE,TRUE),exact(Metadata!G55,"air"))</f>
        <v>0</v>
      </c>
      <c r="AA55">
        <f>AND(IF(Metadata!H55="",FALSE,TRUE),exact(Metadata!H55,"air"))</f>
        <v>0</v>
      </c>
      <c r="AB55">
        <f>AND(IF(Metadata!I55="",FALSE,TRUE),exact(Metadata!I55,"air metagenome"))</f>
        <v>0</v>
      </c>
      <c r="AC55">
        <f>AND(IF(Metadata!J55="",FALSE,TRUE),exact(Metadata!J55,"655179"))</f>
        <v>0</v>
      </c>
    </row>
    <row r="56" spans="1:29">
      <c r="A56" s="5">
        <f>IF(B56=" "," ",HYPERLINK(CONCATENATE("#metadata!",ADDRESS(INDEX($P$2:$P$1001,MATCH(ROWS($N$2:N56),$N$2:$N$1001,0),0),1)),INDEX($S$2:$S$1001,MATCH(ROWS($N$2:N56),$N$2:$N$1001,0),0)))</f>
        <v>0</v>
      </c>
      <c r="B56" s="4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4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4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4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4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4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4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4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4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OR(AND(IF(Metadata!C56="",FALSE,TRUE),OR(exact(Metadata!C56,"not applicable"),exact(Metadata!C56,"not collected"),exact(Metadata!C56,"not provided"),exact(Metadata!C56,"restricted access"))),IF(Metadata!C56="",FALSE,ISNUMBER(VALUE(Metadata!C56))))</f>
        <v>0</v>
      </c>
      <c r="W56">
        <f>AND(IF(Metadata!D56="",FALSE,TRUE),exact(Metadata!D56,"m"))</f>
        <v>0</v>
      </c>
      <c r="X56">
        <f>AND(IF(Metadata!E56="",FALSE,TRUE),OR(exact(Metadata!E56,"aerosol (non-saline)"),exact(Metadata!E56,"aerosol (saline)")))</f>
        <v>0</v>
      </c>
      <c r="Y56">
        <f>AND(IF(Metadata!F56="",FALSE,TRUE),exact(Metadata!F56,"air"))</f>
        <v>0</v>
      </c>
      <c r="Z56">
        <f>AND(IF(Metadata!G56="",FALSE,TRUE),exact(Metadata!G56,"air"))</f>
        <v>0</v>
      </c>
      <c r="AA56">
        <f>AND(IF(Metadata!H56="",FALSE,TRUE),exact(Metadata!H56,"air"))</f>
        <v>0</v>
      </c>
      <c r="AB56">
        <f>AND(IF(Metadata!I56="",FALSE,TRUE),exact(Metadata!I56,"air metagenome"))</f>
        <v>0</v>
      </c>
      <c r="AC56">
        <f>AND(IF(Metadata!J56="",FALSE,TRUE),exact(Metadata!J56,"655179"))</f>
        <v>0</v>
      </c>
    </row>
    <row r="57" spans="1:29">
      <c r="A57" s="5">
        <f>IF(B57=" "," ",HYPERLINK(CONCATENATE("#metadata!",ADDRESS(INDEX($P$2:$P$1001,MATCH(ROWS($N$2:N57),$N$2:$N$1001,0),0),1)),INDEX($S$2:$S$1001,MATCH(ROWS($N$2:N57),$N$2:$N$1001,0),0)))</f>
        <v>0</v>
      </c>
      <c r="B57" s="4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4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4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4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4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4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4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4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4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OR(AND(IF(Metadata!C57="",FALSE,TRUE),OR(exact(Metadata!C57,"not applicable"),exact(Metadata!C57,"not collected"),exact(Metadata!C57,"not provided"),exact(Metadata!C57,"restricted access"))),IF(Metadata!C57="",FALSE,ISNUMBER(VALUE(Metadata!C57))))</f>
        <v>0</v>
      </c>
      <c r="W57">
        <f>AND(IF(Metadata!D57="",FALSE,TRUE),exact(Metadata!D57,"m"))</f>
        <v>0</v>
      </c>
      <c r="X57">
        <f>AND(IF(Metadata!E57="",FALSE,TRUE),OR(exact(Metadata!E57,"aerosol (non-saline)"),exact(Metadata!E57,"aerosol (saline)")))</f>
        <v>0</v>
      </c>
      <c r="Y57">
        <f>AND(IF(Metadata!F57="",FALSE,TRUE),exact(Metadata!F57,"air"))</f>
        <v>0</v>
      </c>
      <c r="Z57">
        <f>AND(IF(Metadata!G57="",FALSE,TRUE),exact(Metadata!G57,"air"))</f>
        <v>0</v>
      </c>
      <c r="AA57">
        <f>AND(IF(Metadata!H57="",FALSE,TRUE),exact(Metadata!H57,"air"))</f>
        <v>0</v>
      </c>
      <c r="AB57">
        <f>AND(IF(Metadata!I57="",FALSE,TRUE),exact(Metadata!I57,"air metagenome"))</f>
        <v>0</v>
      </c>
      <c r="AC57">
        <f>AND(IF(Metadata!J57="",FALSE,TRUE),exact(Metadata!J57,"655179"))</f>
        <v>0</v>
      </c>
    </row>
    <row r="58" spans="1:29">
      <c r="A58" s="5">
        <f>IF(B58=" "," ",HYPERLINK(CONCATENATE("#metadata!",ADDRESS(INDEX($P$2:$P$1001,MATCH(ROWS($N$2:N58),$N$2:$N$1001,0),0),1)),INDEX($S$2:$S$1001,MATCH(ROWS($N$2:N58),$N$2:$N$1001,0),0)))</f>
        <v>0</v>
      </c>
      <c r="B58" s="4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4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4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4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4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4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4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4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4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OR(AND(IF(Metadata!C58="",FALSE,TRUE),OR(exact(Metadata!C58,"not applicable"),exact(Metadata!C58,"not collected"),exact(Metadata!C58,"not provided"),exact(Metadata!C58,"restricted access"))),IF(Metadata!C58="",FALSE,ISNUMBER(VALUE(Metadata!C58))))</f>
        <v>0</v>
      </c>
      <c r="W58">
        <f>AND(IF(Metadata!D58="",FALSE,TRUE),exact(Metadata!D58,"m"))</f>
        <v>0</v>
      </c>
      <c r="X58">
        <f>AND(IF(Metadata!E58="",FALSE,TRUE),OR(exact(Metadata!E58,"aerosol (non-saline)"),exact(Metadata!E58,"aerosol (saline)")))</f>
        <v>0</v>
      </c>
      <c r="Y58">
        <f>AND(IF(Metadata!F58="",FALSE,TRUE),exact(Metadata!F58,"air"))</f>
        <v>0</v>
      </c>
      <c r="Z58">
        <f>AND(IF(Metadata!G58="",FALSE,TRUE),exact(Metadata!G58,"air"))</f>
        <v>0</v>
      </c>
      <c r="AA58">
        <f>AND(IF(Metadata!H58="",FALSE,TRUE),exact(Metadata!H58,"air"))</f>
        <v>0</v>
      </c>
      <c r="AB58">
        <f>AND(IF(Metadata!I58="",FALSE,TRUE),exact(Metadata!I58,"air metagenome"))</f>
        <v>0</v>
      </c>
      <c r="AC58">
        <f>AND(IF(Metadata!J58="",FALSE,TRUE),exact(Metadata!J58,"655179"))</f>
        <v>0</v>
      </c>
    </row>
    <row r="59" spans="1:29">
      <c r="A59" s="5">
        <f>IF(B59=" "," ",HYPERLINK(CONCATENATE("#metadata!",ADDRESS(INDEX($P$2:$P$1001,MATCH(ROWS($N$2:N59),$N$2:$N$1001,0),0),1)),INDEX($S$2:$S$1001,MATCH(ROWS($N$2:N59),$N$2:$N$1001,0),0)))</f>
        <v>0</v>
      </c>
      <c r="B59" s="4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4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4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4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4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4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4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4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4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OR(AND(IF(Metadata!C59="",FALSE,TRUE),OR(exact(Metadata!C59,"not applicable"),exact(Metadata!C59,"not collected"),exact(Metadata!C59,"not provided"),exact(Metadata!C59,"restricted access"))),IF(Metadata!C59="",FALSE,ISNUMBER(VALUE(Metadata!C59))))</f>
        <v>0</v>
      </c>
      <c r="W59">
        <f>AND(IF(Metadata!D59="",FALSE,TRUE),exact(Metadata!D59,"m"))</f>
        <v>0</v>
      </c>
      <c r="X59">
        <f>AND(IF(Metadata!E59="",FALSE,TRUE),OR(exact(Metadata!E59,"aerosol (non-saline)"),exact(Metadata!E59,"aerosol (saline)")))</f>
        <v>0</v>
      </c>
      <c r="Y59">
        <f>AND(IF(Metadata!F59="",FALSE,TRUE),exact(Metadata!F59,"air"))</f>
        <v>0</v>
      </c>
      <c r="Z59">
        <f>AND(IF(Metadata!G59="",FALSE,TRUE),exact(Metadata!G59,"air"))</f>
        <v>0</v>
      </c>
      <c r="AA59">
        <f>AND(IF(Metadata!H59="",FALSE,TRUE),exact(Metadata!H59,"air"))</f>
        <v>0</v>
      </c>
      <c r="AB59">
        <f>AND(IF(Metadata!I59="",FALSE,TRUE),exact(Metadata!I59,"air metagenome"))</f>
        <v>0</v>
      </c>
      <c r="AC59">
        <f>AND(IF(Metadata!J59="",FALSE,TRUE),exact(Metadata!J59,"655179"))</f>
        <v>0</v>
      </c>
    </row>
    <row r="60" spans="1:29">
      <c r="A60" s="5">
        <f>IF(B60=" "," ",HYPERLINK(CONCATENATE("#metadata!",ADDRESS(INDEX($P$2:$P$1001,MATCH(ROWS($N$2:N60),$N$2:$N$1001,0),0),1)),INDEX($S$2:$S$1001,MATCH(ROWS($N$2:N60),$N$2:$N$1001,0),0)))</f>
        <v>0</v>
      </c>
      <c r="B60" s="4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4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4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4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4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4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4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4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4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OR(AND(IF(Metadata!C60="",FALSE,TRUE),OR(exact(Metadata!C60,"not applicable"),exact(Metadata!C60,"not collected"),exact(Metadata!C60,"not provided"),exact(Metadata!C60,"restricted access"))),IF(Metadata!C60="",FALSE,ISNUMBER(VALUE(Metadata!C60))))</f>
        <v>0</v>
      </c>
      <c r="W60">
        <f>AND(IF(Metadata!D60="",FALSE,TRUE),exact(Metadata!D60,"m"))</f>
        <v>0</v>
      </c>
      <c r="X60">
        <f>AND(IF(Metadata!E60="",FALSE,TRUE),OR(exact(Metadata!E60,"aerosol (non-saline)"),exact(Metadata!E60,"aerosol (saline)")))</f>
        <v>0</v>
      </c>
      <c r="Y60">
        <f>AND(IF(Metadata!F60="",FALSE,TRUE),exact(Metadata!F60,"air"))</f>
        <v>0</v>
      </c>
      <c r="Z60">
        <f>AND(IF(Metadata!G60="",FALSE,TRUE),exact(Metadata!G60,"air"))</f>
        <v>0</v>
      </c>
      <c r="AA60">
        <f>AND(IF(Metadata!H60="",FALSE,TRUE),exact(Metadata!H60,"air"))</f>
        <v>0</v>
      </c>
      <c r="AB60">
        <f>AND(IF(Metadata!I60="",FALSE,TRUE),exact(Metadata!I60,"air metagenome"))</f>
        <v>0</v>
      </c>
      <c r="AC60">
        <f>AND(IF(Metadata!J60="",FALSE,TRUE),exact(Metadata!J60,"655179"))</f>
        <v>0</v>
      </c>
    </row>
    <row r="61" spans="1:29">
      <c r="A61" s="5">
        <f>IF(B61=" "," ",HYPERLINK(CONCATENATE("#metadata!",ADDRESS(INDEX($P$2:$P$1001,MATCH(ROWS($N$2:N61),$N$2:$N$1001,0),0),1)),INDEX($S$2:$S$1001,MATCH(ROWS($N$2:N61),$N$2:$N$1001,0),0)))</f>
        <v>0</v>
      </c>
      <c r="B61" s="4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4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4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4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4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4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4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4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4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OR(AND(IF(Metadata!C61="",FALSE,TRUE),OR(exact(Metadata!C61,"not applicable"),exact(Metadata!C61,"not collected"),exact(Metadata!C61,"not provided"),exact(Metadata!C61,"restricted access"))),IF(Metadata!C61="",FALSE,ISNUMBER(VALUE(Metadata!C61))))</f>
        <v>0</v>
      </c>
      <c r="W61">
        <f>AND(IF(Metadata!D61="",FALSE,TRUE),exact(Metadata!D61,"m"))</f>
        <v>0</v>
      </c>
      <c r="X61">
        <f>AND(IF(Metadata!E61="",FALSE,TRUE),OR(exact(Metadata!E61,"aerosol (non-saline)"),exact(Metadata!E61,"aerosol (saline)")))</f>
        <v>0</v>
      </c>
      <c r="Y61">
        <f>AND(IF(Metadata!F61="",FALSE,TRUE),exact(Metadata!F61,"air"))</f>
        <v>0</v>
      </c>
      <c r="Z61">
        <f>AND(IF(Metadata!G61="",FALSE,TRUE),exact(Metadata!G61,"air"))</f>
        <v>0</v>
      </c>
      <c r="AA61">
        <f>AND(IF(Metadata!H61="",FALSE,TRUE),exact(Metadata!H61,"air"))</f>
        <v>0</v>
      </c>
      <c r="AB61">
        <f>AND(IF(Metadata!I61="",FALSE,TRUE),exact(Metadata!I61,"air metagenome"))</f>
        <v>0</v>
      </c>
      <c r="AC61">
        <f>AND(IF(Metadata!J61="",FALSE,TRUE),exact(Metadata!J61,"655179"))</f>
        <v>0</v>
      </c>
    </row>
    <row r="62" spans="1:29">
      <c r="A62" s="5">
        <f>IF(B62=" "," ",HYPERLINK(CONCATENATE("#metadata!",ADDRESS(INDEX($P$2:$P$1001,MATCH(ROWS($N$2:N62),$N$2:$N$1001,0),0),1)),INDEX($S$2:$S$1001,MATCH(ROWS($N$2:N62),$N$2:$N$1001,0),0)))</f>
        <v>0</v>
      </c>
      <c r="B62" s="4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4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4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4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4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4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4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4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4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OR(AND(IF(Metadata!C62="",FALSE,TRUE),OR(exact(Metadata!C62,"not applicable"),exact(Metadata!C62,"not collected"),exact(Metadata!C62,"not provided"),exact(Metadata!C62,"restricted access"))),IF(Metadata!C62="",FALSE,ISNUMBER(VALUE(Metadata!C62))))</f>
        <v>0</v>
      </c>
      <c r="W62">
        <f>AND(IF(Metadata!D62="",FALSE,TRUE),exact(Metadata!D62,"m"))</f>
        <v>0</v>
      </c>
      <c r="X62">
        <f>AND(IF(Metadata!E62="",FALSE,TRUE),OR(exact(Metadata!E62,"aerosol (non-saline)"),exact(Metadata!E62,"aerosol (saline)")))</f>
        <v>0</v>
      </c>
      <c r="Y62">
        <f>AND(IF(Metadata!F62="",FALSE,TRUE),exact(Metadata!F62,"air"))</f>
        <v>0</v>
      </c>
      <c r="Z62">
        <f>AND(IF(Metadata!G62="",FALSE,TRUE),exact(Metadata!G62,"air"))</f>
        <v>0</v>
      </c>
      <c r="AA62">
        <f>AND(IF(Metadata!H62="",FALSE,TRUE),exact(Metadata!H62,"air"))</f>
        <v>0</v>
      </c>
      <c r="AB62">
        <f>AND(IF(Metadata!I62="",FALSE,TRUE),exact(Metadata!I62,"air metagenome"))</f>
        <v>0</v>
      </c>
      <c r="AC62">
        <f>AND(IF(Metadata!J62="",FALSE,TRUE),exact(Metadata!J62,"655179"))</f>
        <v>0</v>
      </c>
    </row>
    <row r="63" spans="1:29">
      <c r="A63" s="5">
        <f>IF(B63=" "," ",HYPERLINK(CONCATENATE("#metadata!",ADDRESS(INDEX($P$2:$P$1001,MATCH(ROWS($N$2:N63),$N$2:$N$1001,0),0),1)),INDEX($S$2:$S$1001,MATCH(ROWS($N$2:N63),$N$2:$N$1001,0),0)))</f>
        <v>0</v>
      </c>
      <c r="B63" s="4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4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4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4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4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4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4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4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4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OR(AND(IF(Metadata!C63="",FALSE,TRUE),OR(exact(Metadata!C63,"not applicable"),exact(Metadata!C63,"not collected"),exact(Metadata!C63,"not provided"),exact(Metadata!C63,"restricted access"))),IF(Metadata!C63="",FALSE,ISNUMBER(VALUE(Metadata!C63))))</f>
        <v>0</v>
      </c>
      <c r="W63">
        <f>AND(IF(Metadata!D63="",FALSE,TRUE),exact(Metadata!D63,"m"))</f>
        <v>0</v>
      </c>
      <c r="X63">
        <f>AND(IF(Metadata!E63="",FALSE,TRUE),OR(exact(Metadata!E63,"aerosol (non-saline)"),exact(Metadata!E63,"aerosol (saline)")))</f>
        <v>0</v>
      </c>
      <c r="Y63">
        <f>AND(IF(Metadata!F63="",FALSE,TRUE),exact(Metadata!F63,"air"))</f>
        <v>0</v>
      </c>
      <c r="Z63">
        <f>AND(IF(Metadata!G63="",FALSE,TRUE),exact(Metadata!G63,"air"))</f>
        <v>0</v>
      </c>
      <c r="AA63">
        <f>AND(IF(Metadata!H63="",FALSE,TRUE),exact(Metadata!H63,"air"))</f>
        <v>0</v>
      </c>
      <c r="AB63">
        <f>AND(IF(Metadata!I63="",FALSE,TRUE),exact(Metadata!I63,"air metagenome"))</f>
        <v>0</v>
      </c>
      <c r="AC63">
        <f>AND(IF(Metadata!J63="",FALSE,TRUE),exact(Metadata!J63,"655179"))</f>
        <v>0</v>
      </c>
    </row>
    <row r="64" spans="1:29">
      <c r="A64" s="5">
        <f>IF(B64=" "," ",HYPERLINK(CONCATENATE("#metadata!",ADDRESS(INDEX($P$2:$P$1001,MATCH(ROWS($N$2:N64),$N$2:$N$1001,0),0),1)),INDEX($S$2:$S$1001,MATCH(ROWS($N$2:N64),$N$2:$N$1001,0),0)))</f>
        <v>0</v>
      </c>
      <c r="B64" s="4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4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4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4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4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4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4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4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4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OR(AND(IF(Metadata!C64="",FALSE,TRUE),OR(exact(Metadata!C64,"not applicable"),exact(Metadata!C64,"not collected"),exact(Metadata!C64,"not provided"),exact(Metadata!C64,"restricted access"))),IF(Metadata!C64="",FALSE,ISNUMBER(VALUE(Metadata!C64))))</f>
        <v>0</v>
      </c>
      <c r="W64">
        <f>AND(IF(Metadata!D64="",FALSE,TRUE),exact(Metadata!D64,"m"))</f>
        <v>0</v>
      </c>
      <c r="X64">
        <f>AND(IF(Metadata!E64="",FALSE,TRUE),OR(exact(Metadata!E64,"aerosol (non-saline)"),exact(Metadata!E64,"aerosol (saline)")))</f>
        <v>0</v>
      </c>
      <c r="Y64">
        <f>AND(IF(Metadata!F64="",FALSE,TRUE),exact(Metadata!F64,"air"))</f>
        <v>0</v>
      </c>
      <c r="Z64">
        <f>AND(IF(Metadata!G64="",FALSE,TRUE),exact(Metadata!G64,"air"))</f>
        <v>0</v>
      </c>
      <c r="AA64">
        <f>AND(IF(Metadata!H64="",FALSE,TRUE),exact(Metadata!H64,"air"))</f>
        <v>0</v>
      </c>
      <c r="AB64">
        <f>AND(IF(Metadata!I64="",FALSE,TRUE),exact(Metadata!I64,"air metagenome"))</f>
        <v>0</v>
      </c>
      <c r="AC64">
        <f>AND(IF(Metadata!J64="",FALSE,TRUE),exact(Metadata!J64,"655179"))</f>
        <v>0</v>
      </c>
    </row>
    <row r="65" spans="1:29">
      <c r="A65" s="5">
        <f>IF(B65=" "," ",HYPERLINK(CONCATENATE("#metadata!",ADDRESS(INDEX($P$2:$P$1001,MATCH(ROWS($N$2:N65),$N$2:$N$1001,0),0),1)),INDEX($S$2:$S$1001,MATCH(ROWS($N$2:N65),$N$2:$N$1001,0),0)))</f>
        <v>0</v>
      </c>
      <c r="B65" s="4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4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4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4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4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4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4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4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4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OR(AND(IF(Metadata!C65="",FALSE,TRUE),OR(exact(Metadata!C65,"not applicable"),exact(Metadata!C65,"not collected"),exact(Metadata!C65,"not provided"),exact(Metadata!C65,"restricted access"))),IF(Metadata!C65="",FALSE,ISNUMBER(VALUE(Metadata!C65))))</f>
        <v>0</v>
      </c>
      <c r="W65">
        <f>AND(IF(Metadata!D65="",FALSE,TRUE),exact(Metadata!D65,"m"))</f>
        <v>0</v>
      </c>
      <c r="X65">
        <f>AND(IF(Metadata!E65="",FALSE,TRUE),OR(exact(Metadata!E65,"aerosol (non-saline)"),exact(Metadata!E65,"aerosol (saline)")))</f>
        <v>0</v>
      </c>
      <c r="Y65">
        <f>AND(IF(Metadata!F65="",FALSE,TRUE),exact(Metadata!F65,"air"))</f>
        <v>0</v>
      </c>
      <c r="Z65">
        <f>AND(IF(Metadata!G65="",FALSE,TRUE),exact(Metadata!G65,"air"))</f>
        <v>0</v>
      </c>
      <c r="AA65">
        <f>AND(IF(Metadata!H65="",FALSE,TRUE),exact(Metadata!H65,"air"))</f>
        <v>0</v>
      </c>
      <c r="AB65">
        <f>AND(IF(Metadata!I65="",FALSE,TRUE),exact(Metadata!I65,"air metagenome"))</f>
        <v>0</v>
      </c>
      <c r="AC65">
        <f>AND(IF(Metadata!J65="",FALSE,TRUE),exact(Metadata!J65,"655179"))</f>
        <v>0</v>
      </c>
    </row>
    <row r="66" spans="1:29">
      <c r="A66" s="5">
        <f>IF(B66=" "," ",HYPERLINK(CONCATENATE("#metadata!",ADDRESS(INDEX($P$2:$P$1001,MATCH(ROWS($N$2:N66),$N$2:$N$1001,0),0),1)),INDEX($S$2:$S$1001,MATCH(ROWS($N$2:N66),$N$2:$N$1001,0),0)))</f>
        <v>0</v>
      </c>
      <c r="B66" s="4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4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4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4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4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4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4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4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4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OR(AND(IF(Metadata!C66="",FALSE,TRUE),OR(exact(Metadata!C66,"not applicable"),exact(Metadata!C66,"not collected"),exact(Metadata!C66,"not provided"),exact(Metadata!C66,"restricted access"))),IF(Metadata!C66="",FALSE,ISNUMBER(VALUE(Metadata!C66))))</f>
        <v>0</v>
      </c>
      <c r="W66">
        <f>AND(IF(Metadata!D66="",FALSE,TRUE),exact(Metadata!D66,"m"))</f>
        <v>0</v>
      </c>
      <c r="X66">
        <f>AND(IF(Metadata!E66="",FALSE,TRUE),OR(exact(Metadata!E66,"aerosol (non-saline)"),exact(Metadata!E66,"aerosol (saline)")))</f>
        <v>0</v>
      </c>
      <c r="Y66">
        <f>AND(IF(Metadata!F66="",FALSE,TRUE),exact(Metadata!F66,"air"))</f>
        <v>0</v>
      </c>
      <c r="Z66">
        <f>AND(IF(Metadata!G66="",FALSE,TRUE),exact(Metadata!G66,"air"))</f>
        <v>0</v>
      </c>
      <c r="AA66">
        <f>AND(IF(Metadata!H66="",FALSE,TRUE),exact(Metadata!H66,"air"))</f>
        <v>0</v>
      </c>
      <c r="AB66">
        <f>AND(IF(Metadata!I66="",FALSE,TRUE),exact(Metadata!I66,"air metagenome"))</f>
        <v>0</v>
      </c>
      <c r="AC66">
        <f>AND(IF(Metadata!J66="",FALSE,TRUE),exact(Metadata!J66,"655179"))</f>
        <v>0</v>
      </c>
    </row>
    <row r="67" spans="1:29">
      <c r="A67" s="5">
        <f>IF(B67=" "," ",HYPERLINK(CONCATENATE("#metadata!",ADDRESS(INDEX($P$2:$P$1001,MATCH(ROWS($N$2:N67),$N$2:$N$1001,0),0),1)),INDEX($S$2:$S$1001,MATCH(ROWS($N$2:N67),$N$2:$N$1001,0),0)))</f>
        <v>0</v>
      </c>
      <c r="B67" s="4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4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4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4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4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4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4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4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4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OR(AND(IF(Metadata!C67="",FALSE,TRUE),OR(exact(Metadata!C67,"not applicable"),exact(Metadata!C67,"not collected"),exact(Metadata!C67,"not provided"),exact(Metadata!C67,"restricted access"))),IF(Metadata!C67="",FALSE,ISNUMBER(VALUE(Metadata!C67))))</f>
        <v>0</v>
      </c>
      <c r="W67">
        <f>AND(IF(Metadata!D67="",FALSE,TRUE),exact(Metadata!D67,"m"))</f>
        <v>0</v>
      </c>
      <c r="X67">
        <f>AND(IF(Metadata!E67="",FALSE,TRUE),OR(exact(Metadata!E67,"aerosol (non-saline)"),exact(Metadata!E67,"aerosol (saline)")))</f>
        <v>0</v>
      </c>
      <c r="Y67">
        <f>AND(IF(Metadata!F67="",FALSE,TRUE),exact(Metadata!F67,"air"))</f>
        <v>0</v>
      </c>
      <c r="Z67">
        <f>AND(IF(Metadata!G67="",FALSE,TRUE),exact(Metadata!G67,"air"))</f>
        <v>0</v>
      </c>
      <c r="AA67">
        <f>AND(IF(Metadata!H67="",FALSE,TRUE),exact(Metadata!H67,"air"))</f>
        <v>0</v>
      </c>
      <c r="AB67">
        <f>AND(IF(Metadata!I67="",FALSE,TRUE),exact(Metadata!I67,"air metagenome"))</f>
        <v>0</v>
      </c>
      <c r="AC67">
        <f>AND(IF(Metadata!J67="",FALSE,TRUE),exact(Metadata!J67,"655179"))</f>
        <v>0</v>
      </c>
    </row>
    <row r="68" spans="1:29">
      <c r="A68" s="5">
        <f>IF(B68=" "," ",HYPERLINK(CONCATENATE("#metadata!",ADDRESS(INDEX($P$2:$P$1001,MATCH(ROWS($N$2:N68),$N$2:$N$1001,0),0),1)),INDEX($S$2:$S$1001,MATCH(ROWS($N$2:N68),$N$2:$N$1001,0),0)))</f>
        <v>0</v>
      </c>
      <c r="B68" s="4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4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4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4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4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4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4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4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4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OR(AND(IF(Metadata!C68="",FALSE,TRUE),OR(exact(Metadata!C68,"not applicable"),exact(Metadata!C68,"not collected"),exact(Metadata!C68,"not provided"),exact(Metadata!C68,"restricted access"))),IF(Metadata!C68="",FALSE,ISNUMBER(VALUE(Metadata!C68))))</f>
        <v>0</v>
      </c>
      <c r="W68">
        <f>AND(IF(Metadata!D68="",FALSE,TRUE),exact(Metadata!D68,"m"))</f>
        <v>0</v>
      </c>
      <c r="X68">
        <f>AND(IF(Metadata!E68="",FALSE,TRUE),OR(exact(Metadata!E68,"aerosol (non-saline)"),exact(Metadata!E68,"aerosol (saline)")))</f>
        <v>0</v>
      </c>
      <c r="Y68">
        <f>AND(IF(Metadata!F68="",FALSE,TRUE),exact(Metadata!F68,"air"))</f>
        <v>0</v>
      </c>
      <c r="Z68">
        <f>AND(IF(Metadata!G68="",FALSE,TRUE),exact(Metadata!G68,"air"))</f>
        <v>0</v>
      </c>
      <c r="AA68">
        <f>AND(IF(Metadata!H68="",FALSE,TRUE),exact(Metadata!H68,"air"))</f>
        <v>0</v>
      </c>
      <c r="AB68">
        <f>AND(IF(Metadata!I68="",FALSE,TRUE),exact(Metadata!I68,"air metagenome"))</f>
        <v>0</v>
      </c>
      <c r="AC68">
        <f>AND(IF(Metadata!J68="",FALSE,TRUE),exact(Metadata!J68,"655179"))</f>
        <v>0</v>
      </c>
    </row>
    <row r="69" spans="1:29">
      <c r="A69" s="5">
        <f>IF(B69=" "," ",HYPERLINK(CONCATENATE("#metadata!",ADDRESS(INDEX($P$2:$P$1001,MATCH(ROWS($N$2:N69),$N$2:$N$1001,0),0),1)),INDEX($S$2:$S$1001,MATCH(ROWS($N$2:N69),$N$2:$N$1001,0),0)))</f>
        <v>0</v>
      </c>
      <c r="B69" s="4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4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4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4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4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4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4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4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4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OR(AND(IF(Metadata!C69="",FALSE,TRUE),OR(exact(Metadata!C69,"not applicable"),exact(Metadata!C69,"not collected"),exact(Metadata!C69,"not provided"),exact(Metadata!C69,"restricted access"))),IF(Metadata!C69="",FALSE,ISNUMBER(VALUE(Metadata!C69))))</f>
        <v>0</v>
      </c>
      <c r="W69">
        <f>AND(IF(Metadata!D69="",FALSE,TRUE),exact(Metadata!D69,"m"))</f>
        <v>0</v>
      </c>
      <c r="X69">
        <f>AND(IF(Metadata!E69="",FALSE,TRUE),OR(exact(Metadata!E69,"aerosol (non-saline)"),exact(Metadata!E69,"aerosol (saline)")))</f>
        <v>0</v>
      </c>
      <c r="Y69">
        <f>AND(IF(Metadata!F69="",FALSE,TRUE),exact(Metadata!F69,"air"))</f>
        <v>0</v>
      </c>
      <c r="Z69">
        <f>AND(IF(Metadata!G69="",FALSE,TRUE),exact(Metadata!G69,"air"))</f>
        <v>0</v>
      </c>
      <c r="AA69">
        <f>AND(IF(Metadata!H69="",FALSE,TRUE),exact(Metadata!H69,"air"))</f>
        <v>0</v>
      </c>
      <c r="AB69">
        <f>AND(IF(Metadata!I69="",FALSE,TRUE),exact(Metadata!I69,"air metagenome"))</f>
        <v>0</v>
      </c>
      <c r="AC69">
        <f>AND(IF(Metadata!J69="",FALSE,TRUE),exact(Metadata!J69,"655179"))</f>
        <v>0</v>
      </c>
    </row>
    <row r="70" spans="1:29">
      <c r="A70" s="5">
        <f>IF(B70=" "," ",HYPERLINK(CONCATENATE("#metadata!",ADDRESS(INDEX($P$2:$P$1001,MATCH(ROWS($N$2:N70),$N$2:$N$1001,0),0),1)),INDEX($S$2:$S$1001,MATCH(ROWS($N$2:N70),$N$2:$N$1001,0),0)))</f>
        <v>0</v>
      </c>
      <c r="B70" s="4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4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4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4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4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4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4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4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4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OR(AND(IF(Metadata!C70="",FALSE,TRUE),OR(exact(Metadata!C70,"not applicable"),exact(Metadata!C70,"not collected"),exact(Metadata!C70,"not provided"),exact(Metadata!C70,"restricted access"))),IF(Metadata!C70="",FALSE,ISNUMBER(VALUE(Metadata!C70))))</f>
        <v>0</v>
      </c>
      <c r="W70">
        <f>AND(IF(Metadata!D70="",FALSE,TRUE),exact(Metadata!D70,"m"))</f>
        <v>0</v>
      </c>
      <c r="X70">
        <f>AND(IF(Metadata!E70="",FALSE,TRUE),OR(exact(Metadata!E70,"aerosol (non-saline)"),exact(Metadata!E70,"aerosol (saline)")))</f>
        <v>0</v>
      </c>
      <c r="Y70">
        <f>AND(IF(Metadata!F70="",FALSE,TRUE),exact(Metadata!F70,"air"))</f>
        <v>0</v>
      </c>
      <c r="Z70">
        <f>AND(IF(Metadata!G70="",FALSE,TRUE),exact(Metadata!G70,"air"))</f>
        <v>0</v>
      </c>
      <c r="AA70">
        <f>AND(IF(Metadata!H70="",FALSE,TRUE),exact(Metadata!H70,"air"))</f>
        <v>0</v>
      </c>
      <c r="AB70">
        <f>AND(IF(Metadata!I70="",FALSE,TRUE),exact(Metadata!I70,"air metagenome"))</f>
        <v>0</v>
      </c>
      <c r="AC70">
        <f>AND(IF(Metadata!J70="",FALSE,TRUE),exact(Metadata!J70,"655179"))</f>
        <v>0</v>
      </c>
    </row>
    <row r="71" spans="1:29">
      <c r="A71" s="5">
        <f>IF(B71=" "," ",HYPERLINK(CONCATENATE("#metadata!",ADDRESS(INDEX($P$2:$P$1001,MATCH(ROWS($N$2:N71),$N$2:$N$1001,0),0),1)),INDEX($S$2:$S$1001,MATCH(ROWS($N$2:N71),$N$2:$N$1001,0),0)))</f>
        <v>0</v>
      </c>
      <c r="B71" s="4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4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4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4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4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4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4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4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4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OR(AND(IF(Metadata!C71="",FALSE,TRUE),OR(exact(Metadata!C71,"not applicable"),exact(Metadata!C71,"not collected"),exact(Metadata!C71,"not provided"),exact(Metadata!C71,"restricted access"))),IF(Metadata!C71="",FALSE,ISNUMBER(VALUE(Metadata!C71))))</f>
        <v>0</v>
      </c>
      <c r="W71">
        <f>AND(IF(Metadata!D71="",FALSE,TRUE),exact(Metadata!D71,"m"))</f>
        <v>0</v>
      </c>
      <c r="X71">
        <f>AND(IF(Metadata!E71="",FALSE,TRUE),OR(exact(Metadata!E71,"aerosol (non-saline)"),exact(Metadata!E71,"aerosol (saline)")))</f>
        <v>0</v>
      </c>
      <c r="Y71">
        <f>AND(IF(Metadata!F71="",FALSE,TRUE),exact(Metadata!F71,"air"))</f>
        <v>0</v>
      </c>
      <c r="Z71">
        <f>AND(IF(Metadata!G71="",FALSE,TRUE),exact(Metadata!G71,"air"))</f>
        <v>0</v>
      </c>
      <c r="AA71">
        <f>AND(IF(Metadata!H71="",FALSE,TRUE),exact(Metadata!H71,"air"))</f>
        <v>0</v>
      </c>
      <c r="AB71">
        <f>AND(IF(Metadata!I71="",FALSE,TRUE),exact(Metadata!I71,"air metagenome"))</f>
        <v>0</v>
      </c>
      <c r="AC71">
        <f>AND(IF(Metadata!J71="",FALSE,TRUE),exact(Metadata!J71,"655179"))</f>
        <v>0</v>
      </c>
    </row>
    <row r="72" spans="1:29">
      <c r="A72" s="5">
        <f>IF(B72=" "," ",HYPERLINK(CONCATENATE("#metadata!",ADDRESS(INDEX($P$2:$P$1001,MATCH(ROWS($N$2:N72),$N$2:$N$1001,0),0),1)),INDEX($S$2:$S$1001,MATCH(ROWS($N$2:N72),$N$2:$N$1001,0),0)))</f>
        <v>0</v>
      </c>
      <c r="B72" s="4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4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4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4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4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4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4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4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4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OR(AND(IF(Metadata!C72="",FALSE,TRUE),OR(exact(Metadata!C72,"not applicable"),exact(Metadata!C72,"not collected"),exact(Metadata!C72,"not provided"),exact(Metadata!C72,"restricted access"))),IF(Metadata!C72="",FALSE,ISNUMBER(VALUE(Metadata!C72))))</f>
        <v>0</v>
      </c>
      <c r="W72">
        <f>AND(IF(Metadata!D72="",FALSE,TRUE),exact(Metadata!D72,"m"))</f>
        <v>0</v>
      </c>
      <c r="X72">
        <f>AND(IF(Metadata!E72="",FALSE,TRUE),OR(exact(Metadata!E72,"aerosol (non-saline)"),exact(Metadata!E72,"aerosol (saline)")))</f>
        <v>0</v>
      </c>
      <c r="Y72">
        <f>AND(IF(Metadata!F72="",FALSE,TRUE),exact(Metadata!F72,"air"))</f>
        <v>0</v>
      </c>
      <c r="Z72">
        <f>AND(IF(Metadata!G72="",FALSE,TRUE),exact(Metadata!G72,"air"))</f>
        <v>0</v>
      </c>
      <c r="AA72">
        <f>AND(IF(Metadata!H72="",FALSE,TRUE),exact(Metadata!H72,"air"))</f>
        <v>0</v>
      </c>
      <c r="AB72">
        <f>AND(IF(Metadata!I72="",FALSE,TRUE),exact(Metadata!I72,"air metagenome"))</f>
        <v>0</v>
      </c>
      <c r="AC72">
        <f>AND(IF(Metadata!J72="",FALSE,TRUE),exact(Metadata!J72,"655179"))</f>
        <v>0</v>
      </c>
    </row>
    <row r="73" spans="1:29">
      <c r="A73" s="5">
        <f>IF(B73=" "," ",HYPERLINK(CONCATENATE("#metadata!",ADDRESS(INDEX($P$2:$P$1001,MATCH(ROWS($N$2:N73),$N$2:$N$1001,0),0),1)),INDEX($S$2:$S$1001,MATCH(ROWS($N$2:N73),$N$2:$N$1001,0),0)))</f>
        <v>0</v>
      </c>
      <c r="B73" s="4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4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4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4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4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4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4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4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4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OR(AND(IF(Metadata!C73="",FALSE,TRUE),OR(exact(Metadata!C73,"not applicable"),exact(Metadata!C73,"not collected"),exact(Metadata!C73,"not provided"),exact(Metadata!C73,"restricted access"))),IF(Metadata!C73="",FALSE,ISNUMBER(VALUE(Metadata!C73))))</f>
        <v>0</v>
      </c>
      <c r="W73">
        <f>AND(IF(Metadata!D73="",FALSE,TRUE),exact(Metadata!D73,"m"))</f>
        <v>0</v>
      </c>
      <c r="X73">
        <f>AND(IF(Metadata!E73="",FALSE,TRUE),OR(exact(Metadata!E73,"aerosol (non-saline)"),exact(Metadata!E73,"aerosol (saline)")))</f>
        <v>0</v>
      </c>
      <c r="Y73">
        <f>AND(IF(Metadata!F73="",FALSE,TRUE),exact(Metadata!F73,"air"))</f>
        <v>0</v>
      </c>
      <c r="Z73">
        <f>AND(IF(Metadata!G73="",FALSE,TRUE),exact(Metadata!G73,"air"))</f>
        <v>0</v>
      </c>
      <c r="AA73">
        <f>AND(IF(Metadata!H73="",FALSE,TRUE),exact(Metadata!H73,"air"))</f>
        <v>0</v>
      </c>
      <c r="AB73">
        <f>AND(IF(Metadata!I73="",FALSE,TRUE),exact(Metadata!I73,"air metagenome"))</f>
        <v>0</v>
      </c>
      <c r="AC73">
        <f>AND(IF(Metadata!J73="",FALSE,TRUE),exact(Metadata!J73,"655179"))</f>
        <v>0</v>
      </c>
    </row>
    <row r="74" spans="1:29">
      <c r="A74" s="5">
        <f>IF(B74=" "," ",HYPERLINK(CONCATENATE("#metadata!",ADDRESS(INDEX($P$2:$P$1001,MATCH(ROWS($N$2:N74),$N$2:$N$1001,0),0),1)),INDEX($S$2:$S$1001,MATCH(ROWS($N$2:N74),$N$2:$N$1001,0),0)))</f>
        <v>0</v>
      </c>
      <c r="B74" s="4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4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4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4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4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4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4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4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4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OR(AND(IF(Metadata!C74="",FALSE,TRUE),OR(exact(Metadata!C74,"not applicable"),exact(Metadata!C74,"not collected"),exact(Metadata!C74,"not provided"),exact(Metadata!C74,"restricted access"))),IF(Metadata!C74="",FALSE,ISNUMBER(VALUE(Metadata!C74))))</f>
        <v>0</v>
      </c>
      <c r="W74">
        <f>AND(IF(Metadata!D74="",FALSE,TRUE),exact(Metadata!D74,"m"))</f>
        <v>0</v>
      </c>
      <c r="X74">
        <f>AND(IF(Metadata!E74="",FALSE,TRUE),OR(exact(Metadata!E74,"aerosol (non-saline)"),exact(Metadata!E74,"aerosol (saline)")))</f>
        <v>0</v>
      </c>
      <c r="Y74">
        <f>AND(IF(Metadata!F74="",FALSE,TRUE),exact(Metadata!F74,"air"))</f>
        <v>0</v>
      </c>
      <c r="Z74">
        <f>AND(IF(Metadata!G74="",FALSE,TRUE),exact(Metadata!G74,"air"))</f>
        <v>0</v>
      </c>
      <c r="AA74">
        <f>AND(IF(Metadata!H74="",FALSE,TRUE),exact(Metadata!H74,"air"))</f>
        <v>0</v>
      </c>
      <c r="AB74">
        <f>AND(IF(Metadata!I74="",FALSE,TRUE),exact(Metadata!I74,"air metagenome"))</f>
        <v>0</v>
      </c>
      <c r="AC74">
        <f>AND(IF(Metadata!J74="",FALSE,TRUE),exact(Metadata!J74,"655179"))</f>
        <v>0</v>
      </c>
    </row>
    <row r="75" spans="1:29">
      <c r="A75" s="5">
        <f>IF(B75=" "," ",HYPERLINK(CONCATENATE("#metadata!",ADDRESS(INDEX($P$2:$P$1001,MATCH(ROWS($N$2:N75),$N$2:$N$1001,0),0),1)),INDEX($S$2:$S$1001,MATCH(ROWS($N$2:N75),$N$2:$N$1001,0),0)))</f>
        <v>0</v>
      </c>
      <c r="B75" s="4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4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4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4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4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4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4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4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4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OR(AND(IF(Metadata!C75="",FALSE,TRUE),OR(exact(Metadata!C75,"not applicable"),exact(Metadata!C75,"not collected"),exact(Metadata!C75,"not provided"),exact(Metadata!C75,"restricted access"))),IF(Metadata!C75="",FALSE,ISNUMBER(VALUE(Metadata!C75))))</f>
        <v>0</v>
      </c>
      <c r="W75">
        <f>AND(IF(Metadata!D75="",FALSE,TRUE),exact(Metadata!D75,"m"))</f>
        <v>0</v>
      </c>
      <c r="X75">
        <f>AND(IF(Metadata!E75="",FALSE,TRUE),OR(exact(Metadata!E75,"aerosol (non-saline)"),exact(Metadata!E75,"aerosol (saline)")))</f>
        <v>0</v>
      </c>
      <c r="Y75">
        <f>AND(IF(Metadata!F75="",FALSE,TRUE),exact(Metadata!F75,"air"))</f>
        <v>0</v>
      </c>
      <c r="Z75">
        <f>AND(IF(Metadata!G75="",FALSE,TRUE),exact(Metadata!G75,"air"))</f>
        <v>0</v>
      </c>
      <c r="AA75">
        <f>AND(IF(Metadata!H75="",FALSE,TRUE),exact(Metadata!H75,"air"))</f>
        <v>0</v>
      </c>
      <c r="AB75">
        <f>AND(IF(Metadata!I75="",FALSE,TRUE),exact(Metadata!I75,"air metagenome"))</f>
        <v>0</v>
      </c>
      <c r="AC75">
        <f>AND(IF(Metadata!J75="",FALSE,TRUE),exact(Metadata!J75,"655179"))</f>
        <v>0</v>
      </c>
    </row>
    <row r="76" spans="1:29">
      <c r="A76" s="5">
        <f>IF(B76=" "," ",HYPERLINK(CONCATENATE("#metadata!",ADDRESS(INDEX($P$2:$P$1001,MATCH(ROWS($N$2:N76),$N$2:$N$1001,0),0),1)),INDEX($S$2:$S$1001,MATCH(ROWS($N$2:N76),$N$2:$N$1001,0),0)))</f>
        <v>0</v>
      </c>
      <c r="B76" s="4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4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4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4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4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4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4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4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4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OR(AND(IF(Metadata!C76="",FALSE,TRUE),OR(exact(Metadata!C76,"not applicable"),exact(Metadata!C76,"not collected"),exact(Metadata!C76,"not provided"),exact(Metadata!C76,"restricted access"))),IF(Metadata!C76="",FALSE,ISNUMBER(VALUE(Metadata!C76))))</f>
        <v>0</v>
      </c>
      <c r="W76">
        <f>AND(IF(Metadata!D76="",FALSE,TRUE),exact(Metadata!D76,"m"))</f>
        <v>0</v>
      </c>
      <c r="X76">
        <f>AND(IF(Metadata!E76="",FALSE,TRUE),OR(exact(Metadata!E76,"aerosol (non-saline)"),exact(Metadata!E76,"aerosol (saline)")))</f>
        <v>0</v>
      </c>
      <c r="Y76">
        <f>AND(IF(Metadata!F76="",FALSE,TRUE),exact(Metadata!F76,"air"))</f>
        <v>0</v>
      </c>
      <c r="Z76">
        <f>AND(IF(Metadata!G76="",FALSE,TRUE),exact(Metadata!G76,"air"))</f>
        <v>0</v>
      </c>
      <c r="AA76">
        <f>AND(IF(Metadata!H76="",FALSE,TRUE),exact(Metadata!H76,"air"))</f>
        <v>0</v>
      </c>
      <c r="AB76">
        <f>AND(IF(Metadata!I76="",FALSE,TRUE),exact(Metadata!I76,"air metagenome"))</f>
        <v>0</v>
      </c>
      <c r="AC76">
        <f>AND(IF(Metadata!J76="",FALSE,TRUE),exact(Metadata!J76,"655179"))</f>
        <v>0</v>
      </c>
    </row>
    <row r="77" spans="1:29">
      <c r="A77" s="5">
        <f>IF(B77=" "," ",HYPERLINK(CONCATENATE("#metadata!",ADDRESS(INDEX($P$2:$P$1001,MATCH(ROWS($N$2:N77),$N$2:$N$1001,0),0),1)),INDEX($S$2:$S$1001,MATCH(ROWS($N$2:N77),$N$2:$N$1001,0),0)))</f>
        <v>0</v>
      </c>
      <c r="B77" s="4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4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4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4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4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4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4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4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4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OR(AND(IF(Metadata!C77="",FALSE,TRUE),OR(exact(Metadata!C77,"not applicable"),exact(Metadata!C77,"not collected"),exact(Metadata!C77,"not provided"),exact(Metadata!C77,"restricted access"))),IF(Metadata!C77="",FALSE,ISNUMBER(VALUE(Metadata!C77))))</f>
        <v>0</v>
      </c>
      <c r="W77">
        <f>AND(IF(Metadata!D77="",FALSE,TRUE),exact(Metadata!D77,"m"))</f>
        <v>0</v>
      </c>
      <c r="X77">
        <f>AND(IF(Metadata!E77="",FALSE,TRUE),OR(exact(Metadata!E77,"aerosol (non-saline)"),exact(Metadata!E77,"aerosol (saline)")))</f>
        <v>0</v>
      </c>
      <c r="Y77">
        <f>AND(IF(Metadata!F77="",FALSE,TRUE),exact(Metadata!F77,"air"))</f>
        <v>0</v>
      </c>
      <c r="Z77">
        <f>AND(IF(Metadata!G77="",FALSE,TRUE),exact(Metadata!G77,"air"))</f>
        <v>0</v>
      </c>
      <c r="AA77">
        <f>AND(IF(Metadata!H77="",FALSE,TRUE),exact(Metadata!H77,"air"))</f>
        <v>0</v>
      </c>
      <c r="AB77">
        <f>AND(IF(Metadata!I77="",FALSE,TRUE),exact(Metadata!I77,"air metagenome"))</f>
        <v>0</v>
      </c>
      <c r="AC77">
        <f>AND(IF(Metadata!J77="",FALSE,TRUE),exact(Metadata!J77,"655179"))</f>
        <v>0</v>
      </c>
    </row>
    <row r="78" spans="1:29">
      <c r="A78" s="5">
        <f>IF(B78=" "," ",HYPERLINK(CONCATENATE("#metadata!",ADDRESS(INDEX($P$2:$P$1001,MATCH(ROWS($N$2:N78),$N$2:$N$1001,0),0),1)),INDEX($S$2:$S$1001,MATCH(ROWS($N$2:N78),$N$2:$N$1001,0),0)))</f>
        <v>0</v>
      </c>
      <c r="B78" s="4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4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4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4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4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4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4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4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4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OR(AND(IF(Metadata!C78="",FALSE,TRUE),OR(exact(Metadata!C78,"not applicable"),exact(Metadata!C78,"not collected"),exact(Metadata!C78,"not provided"),exact(Metadata!C78,"restricted access"))),IF(Metadata!C78="",FALSE,ISNUMBER(VALUE(Metadata!C78))))</f>
        <v>0</v>
      </c>
      <c r="W78">
        <f>AND(IF(Metadata!D78="",FALSE,TRUE),exact(Metadata!D78,"m"))</f>
        <v>0</v>
      </c>
      <c r="X78">
        <f>AND(IF(Metadata!E78="",FALSE,TRUE),OR(exact(Metadata!E78,"aerosol (non-saline)"),exact(Metadata!E78,"aerosol (saline)")))</f>
        <v>0</v>
      </c>
      <c r="Y78">
        <f>AND(IF(Metadata!F78="",FALSE,TRUE),exact(Metadata!F78,"air"))</f>
        <v>0</v>
      </c>
      <c r="Z78">
        <f>AND(IF(Metadata!G78="",FALSE,TRUE),exact(Metadata!G78,"air"))</f>
        <v>0</v>
      </c>
      <c r="AA78">
        <f>AND(IF(Metadata!H78="",FALSE,TRUE),exact(Metadata!H78,"air"))</f>
        <v>0</v>
      </c>
      <c r="AB78">
        <f>AND(IF(Metadata!I78="",FALSE,TRUE),exact(Metadata!I78,"air metagenome"))</f>
        <v>0</v>
      </c>
      <c r="AC78">
        <f>AND(IF(Metadata!J78="",FALSE,TRUE),exact(Metadata!J78,"655179"))</f>
        <v>0</v>
      </c>
    </row>
    <row r="79" spans="1:29">
      <c r="A79" s="5">
        <f>IF(B79=" "," ",HYPERLINK(CONCATENATE("#metadata!",ADDRESS(INDEX($P$2:$P$1001,MATCH(ROWS($N$2:N79),$N$2:$N$1001,0),0),1)),INDEX($S$2:$S$1001,MATCH(ROWS($N$2:N79),$N$2:$N$1001,0),0)))</f>
        <v>0</v>
      </c>
      <c r="B79" s="4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4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4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4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4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4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4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4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4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OR(AND(IF(Metadata!C79="",FALSE,TRUE),OR(exact(Metadata!C79,"not applicable"),exact(Metadata!C79,"not collected"),exact(Metadata!C79,"not provided"),exact(Metadata!C79,"restricted access"))),IF(Metadata!C79="",FALSE,ISNUMBER(VALUE(Metadata!C79))))</f>
        <v>0</v>
      </c>
      <c r="W79">
        <f>AND(IF(Metadata!D79="",FALSE,TRUE),exact(Metadata!D79,"m"))</f>
        <v>0</v>
      </c>
      <c r="X79">
        <f>AND(IF(Metadata!E79="",FALSE,TRUE),OR(exact(Metadata!E79,"aerosol (non-saline)"),exact(Metadata!E79,"aerosol (saline)")))</f>
        <v>0</v>
      </c>
      <c r="Y79">
        <f>AND(IF(Metadata!F79="",FALSE,TRUE),exact(Metadata!F79,"air"))</f>
        <v>0</v>
      </c>
      <c r="Z79">
        <f>AND(IF(Metadata!G79="",FALSE,TRUE),exact(Metadata!G79,"air"))</f>
        <v>0</v>
      </c>
      <c r="AA79">
        <f>AND(IF(Metadata!H79="",FALSE,TRUE),exact(Metadata!H79,"air"))</f>
        <v>0</v>
      </c>
      <c r="AB79">
        <f>AND(IF(Metadata!I79="",FALSE,TRUE),exact(Metadata!I79,"air metagenome"))</f>
        <v>0</v>
      </c>
      <c r="AC79">
        <f>AND(IF(Metadata!J79="",FALSE,TRUE),exact(Metadata!J79,"655179"))</f>
        <v>0</v>
      </c>
    </row>
    <row r="80" spans="1:29">
      <c r="A80" s="5">
        <f>IF(B80=" "," ",HYPERLINK(CONCATENATE("#metadata!",ADDRESS(INDEX($P$2:$P$1001,MATCH(ROWS($N$2:N80),$N$2:$N$1001,0),0),1)),INDEX($S$2:$S$1001,MATCH(ROWS($N$2:N80),$N$2:$N$1001,0),0)))</f>
        <v>0</v>
      </c>
      <c r="B80" s="4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4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4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4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4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4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4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4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4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OR(AND(IF(Metadata!C80="",FALSE,TRUE),OR(exact(Metadata!C80,"not applicable"),exact(Metadata!C80,"not collected"),exact(Metadata!C80,"not provided"),exact(Metadata!C80,"restricted access"))),IF(Metadata!C80="",FALSE,ISNUMBER(VALUE(Metadata!C80))))</f>
        <v>0</v>
      </c>
      <c r="W80">
        <f>AND(IF(Metadata!D80="",FALSE,TRUE),exact(Metadata!D80,"m"))</f>
        <v>0</v>
      </c>
      <c r="X80">
        <f>AND(IF(Metadata!E80="",FALSE,TRUE),OR(exact(Metadata!E80,"aerosol (non-saline)"),exact(Metadata!E80,"aerosol (saline)")))</f>
        <v>0</v>
      </c>
      <c r="Y80">
        <f>AND(IF(Metadata!F80="",FALSE,TRUE),exact(Metadata!F80,"air"))</f>
        <v>0</v>
      </c>
      <c r="Z80">
        <f>AND(IF(Metadata!G80="",FALSE,TRUE),exact(Metadata!G80,"air"))</f>
        <v>0</v>
      </c>
      <c r="AA80">
        <f>AND(IF(Metadata!H80="",FALSE,TRUE),exact(Metadata!H80,"air"))</f>
        <v>0</v>
      </c>
      <c r="AB80">
        <f>AND(IF(Metadata!I80="",FALSE,TRUE),exact(Metadata!I80,"air metagenome"))</f>
        <v>0</v>
      </c>
      <c r="AC80">
        <f>AND(IF(Metadata!J80="",FALSE,TRUE),exact(Metadata!J80,"655179"))</f>
        <v>0</v>
      </c>
    </row>
    <row r="81" spans="1:29">
      <c r="A81" s="5">
        <f>IF(B81=" "," ",HYPERLINK(CONCATENATE("#metadata!",ADDRESS(INDEX($P$2:$P$1001,MATCH(ROWS($N$2:N81),$N$2:$N$1001,0),0),1)),INDEX($S$2:$S$1001,MATCH(ROWS($N$2:N81),$N$2:$N$1001,0),0)))</f>
        <v>0</v>
      </c>
      <c r="B81" s="4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4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4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4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4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4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4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4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4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OR(AND(IF(Metadata!C81="",FALSE,TRUE),OR(exact(Metadata!C81,"not applicable"),exact(Metadata!C81,"not collected"),exact(Metadata!C81,"not provided"),exact(Metadata!C81,"restricted access"))),IF(Metadata!C81="",FALSE,ISNUMBER(VALUE(Metadata!C81))))</f>
        <v>0</v>
      </c>
      <c r="W81">
        <f>AND(IF(Metadata!D81="",FALSE,TRUE),exact(Metadata!D81,"m"))</f>
        <v>0</v>
      </c>
      <c r="X81">
        <f>AND(IF(Metadata!E81="",FALSE,TRUE),OR(exact(Metadata!E81,"aerosol (non-saline)"),exact(Metadata!E81,"aerosol (saline)")))</f>
        <v>0</v>
      </c>
      <c r="Y81">
        <f>AND(IF(Metadata!F81="",FALSE,TRUE),exact(Metadata!F81,"air"))</f>
        <v>0</v>
      </c>
      <c r="Z81">
        <f>AND(IF(Metadata!G81="",FALSE,TRUE),exact(Metadata!G81,"air"))</f>
        <v>0</v>
      </c>
      <c r="AA81">
        <f>AND(IF(Metadata!H81="",FALSE,TRUE),exact(Metadata!H81,"air"))</f>
        <v>0</v>
      </c>
      <c r="AB81">
        <f>AND(IF(Metadata!I81="",FALSE,TRUE),exact(Metadata!I81,"air metagenome"))</f>
        <v>0</v>
      </c>
      <c r="AC81">
        <f>AND(IF(Metadata!J81="",FALSE,TRUE),exact(Metadata!J81,"655179"))</f>
        <v>0</v>
      </c>
    </row>
    <row r="82" spans="1:29">
      <c r="A82" s="5">
        <f>IF(B82=" "," ",HYPERLINK(CONCATENATE("#metadata!",ADDRESS(INDEX($P$2:$P$1001,MATCH(ROWS($N$2:N82),$N$2:$N$1001,0),0),1)),INDEX($S$2:$S$1001,MATCH(ROWS($N$2:N82),$N$2:$N$1001,0),0)))</f>
        <v>0</v>
      </c>
      <c r="B82" s="4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4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4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4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4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4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4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4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4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OR(AND(IF(Metadata!C82="",FALSE,TRUE),OR(exact(Metadata!C82,"not applicable"),exact(Metadata!C82,"not collected"),exact(Metadata!C82,"not provided"),exact(Metadata!C82,"restricted access"))),IF(Metadata!C82="",FALSE,ISNUMBER(VALUE(Metadata!C82))))</f>
        <v>0</v>
      </c>
      <c r="W82">
        <f>AND(IF(Metadata!D82="",FALSE,TRUE),exact(Metadata!D82,"m"))</f>
        <v>0</v>
      </c>
      <c r="X82">
        <f>AND(IF(Metadata!E82="",FALSE,TRUE),OR(exact(Metadata!E82,"aerosol (non-saline)"),exact(Metadata!E82,"aerosol (saline)")))</f>
        <v>0</v>
      </c>
      <c r="Y82">
        <f>AND(IF(Metadata!F82="",FALSE,TRUE),exact(Metadata!F82,"air"))</f>
        <v>0</v>
      </c>
      <c r="Z82">
        <f>AND(IF(Metadata!G82="",FALSE,TRUE),exact(Metadata!G82,"air"))</f>
        <v>0</v>
      </c>
      <c r="AA82">
        <f>AND(IF(Metadata!H82="",FALSE,TRUE),exact(Metadata!H82,"air"))</f>
        <v>0</v>
      </c>
      <c r="AB82">
        <f>AND(IF(Metadata!I82="",FALSE,TRUE),exact(Metadata!I82,"air metagenome"))</f>
        <v>0</v>
      </c>
      <c r="AC82">
        <f>AND(IF(Metadata!J82="",FALSE,TRUE),exact(Metadata!J82,"655179"))</f>
        <v>0</v>
      </c>
    </row>
    <row r="83" spans="1:29">
      <c r="A83" s="5">
        <f>IF(B83=" "," ",HYPERLINK(CONCATENATE("#metadata!",ADDRESS(INDEX($P$2:$P$1001,MATCH(ROWS($N$2:N83),$N$2:$N$1001,0),0),1)),INDEX($S$2:$S$1001,MATCH(ROWS($N$2:N83),$N$2:$N$1001,0),0)))</f>
        <v>0</v>
      </c>
      <c r="B83" s="4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4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4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4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4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4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4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4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4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OR(AND(IF(Metadata!C83="",FALSE,TRUE),OR(exact(Metadata!C83,"not applicable"),exact(Metadata!C83,"not collected"),exact(Metadata!C83,"not provided"),exact(Metadata!C83,"restricted access"))),IF(Metadata!C83="",FALSE,ISNUMBER(VALUE(Metadata!C83))))</f>
        <v>0</v>
      </c>
      <c r="W83">
        <f>AND(IF(Metadata!D83="",FALSE,TRUE),exact(Metadata!D83,"m"))</f>
        <v>0</v>
      </c>
      <c r="X83">
        <f>AND(IF(Metadata!E83="",FALSE,TRUE),OR(exact(Metadata!E83,"aerosol (non-saline)"),exact(Metadata!E83,"aerosol (saline)")))</f>
        <v>0</v>
      </c>
      <c r="Y83">
        <f>AND(IF(Metadata!F83="",FALSE,TRUE),exact(Metadata!F83,"air"))</f>
        <v>0</v>
      </c>
      <c r="Z83">
        <f>AND(IF(Metadata!G83="",FALSE,TRUE),exact(Metadata!G83,"air"))</f>
        <v>0</v>
      </c>
      <c r="AA83">
        <f>AND(IF(Metadata!H83="",FALSE,TRUE),exact(Metadata!H83,"air"))</f>
        <v>0</v>
      </c>
      <c r="AB83">
        <f>AND(IF(Metadata!I83="",FALSE,TRUE),exact(Metadata!I83,"air metagenome"))</f>
        <v>0</v>
      </c>
      <c r="AC83">
        <f>AND(IF(Metadata!J83="",FALSE,TRUE),exact(Metadata!J83,"655179"))</f>
        <v>0</v>
      </c>
    </row>
    <row r="84" spans="1:29">
      <c r="A84" s="5">
        <f>IF(B84=" "," ",HYPERLINK(CONCATENATE("#metadata!",ADDRESS(INDEX($P$2:$P$1001,MATCH(ROWS($N$2:N84),$N$2:$N$1001,0),0),1)),INDEX($S$2:$S$1001,MATCH(ROWS($N$2:N84),$N$2:$N$1001,0),0)))</f>
        <v>0</v>
      </c>
      <c r="B84" s="4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4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4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4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4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4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4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4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4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OR(AND(IF(Metadata!C84="",FALSE,TRUE),OR(exact(Metadata!C84,"not applicable"),exact(Metadata!C84,"not collected"),exact(Metadata!C84,"not provided"),exact(Metadata!C84,"restricted access"))),IF(Metadata!C84="",FALSE,ISNUMBER(VALUE(Metadata!C84))))</f>
        <v>0</v>
      </c>
      <c r="W84">
        <f>AND(IF(Metadata!D84="",FALSE,TRUE),exact(Metadata!D84,"m"))</f>
        <v>0</v>
      </c>
      <c r="X84">
        <f>AND(IF(Metadata!E84="",FALSE,TRUE),OR(exact(Metadata!E84,"aerosol (non-saline)"),exact(Metadata!E84,"aerosol (saline)")))</f>
        <v>0</v>
      </c>
      <c r="Y84">
        <f>AND(IF(Metadata!F84="",FALSE,TRUE),exact(Metadata!F84,"air"))</f>
        <v>0</v>
      </c>
      <c r="Z84">
        <f>AND(IF(Metadata!G84="",FALSE,TRUE),exact(Metadata!G84,"air"))</f>
        <v>0</v>
      </c>
      <c r="AA84">
        <f>AND(IF(Metadata!H84="",FALSE,TRUE),exact(Metadata!H84,"air"))</f>
        <v>0</v>
      </c>
      <c r="AB84">
        <f>AND(IF(Metadata!I84="",FALSE,TRUE),exact(Metadata!I84,"air metagenome"))</f>
        <v>0</v>
      </c>
      <c r="AC84">
        <f>AND(IF(Metadata!J84="",FALSE,TRUE),exact(Metadata!J84,"655179"))</f>
        <v>0</v>
      </c>
    </row>
    <row r="85" spans="1:29">
      <c r="A85" s="5">
        <f>IF(B85=" "," ",HYPERLINK(CONCATENATE("#metadata!",ADDRESS(INDEX($P$2:$P$1001,MATCH(ROWS($N$2:N85),$N$2:$N$1001,0),0),1)),INDEX($S$2:$S$1001,MATCH(ROWS($N$2:N85),$N$2:$N$1001,0),0)))</f>
        <v>0</v>
      </c>
      <c r="B85" s="4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4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4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4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4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4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4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4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4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OR(AND(IF(Metadata!C85="",FALSE,TRUE),OR(exact(Metadata!C85,"not applicable"),exact(Metadata!C85,"not collected"),exact(Metadata!C85,"not provided"),exact(Metadata!C85,"restricted access"))),IF(Metadata!C85="",FALSE,ISNUMBER(VALUE(Metadata!C85))))</f>
        <v>0</v>
      </c>
      <c r="W85">
        <f>AND(IF(Metadata!D85="",FALSE,TRUE),exact(Metadata!D85,"m"))</f>
        <v>0</v>
      </c>
      <c r="X85">
        <f>AND(IF(Metadata!E85="",FALSE,TRUE),OR(exact(Metadata!E85,"aerosol (non-saline)"),exact(Metadata!E85,"aerosol (saline)")))</f>
        <v>0</v>
      </c>
      <c r="Y85">
        <f>AND(IF(Metadata!F85="",FALSE,TRUE),exact(Metadata!F85,"air"))</f>
        <v>0</v>
      </c>
      <c r="Z85">
        <f>AND(IF(Metadata!G85="",FALSE,TRUE),exact(Metadata!G85,"air"))</f>
        <v>0</v>
      </c>
      <c r="AA85">
        <f>AND(IF(Metadata!H85="",FALSE,TRUE),exact(Metadata!H85,"air"))</f>
        <v>0</v>
      </c>
      <c r="AB85">
        <f>AND(IF(Metadata!I85="",FALSE,TRUE),exact(Metadata!I85,"air metagenome"))</f>
        <v>0</v>
      </c>
      <c r="AC85">
        <f>AND(IF(Metadata!J85="",FALSE,TRUE),exact(Metadata!J85,"655179"))</f>
        <v>0</v>
      </c>
    </row>
    <row r="86" spans="1:29">
      <c r="A86" s="5">
        <f>IF(B86=" "," ",HYPERLINK(CONCATENATE("#metadata!",ADDRESS(INDEX($P$2:$P$1001,MATCH(ROWS($N$2:N86),$N$2:$N$1001,0),0),1)),INDEX($S$2:$S$1001,MATCH(ROWS($N$2:N86),$N$2:$N$1001,0),0)))</f>
        <v>0</v>
      </c>
      <c r="B86" s="4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4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4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4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4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4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4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4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4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OR(AND(IF(Metadata!C86="",FALSE,TRUE),OR(exact(Metadata!C86,"not applicable"),exact(Metadata!C86,"not collected"),exact(Metadata!C86,"not provided"),exact(Metadata!C86,"restricted access"))),IF(Metadata!C86="",FALSE,ISNUMBER(VALUE(Metadata!C86))))</f>
        <v>0</v>
      </c>
      <c r="W86">
        <f>AND(IF(Metadata!D86="",FALSE,TRUE),exact(Metadata!D86,"m"))</f>
        <v>0</v>
      </c>
      <c r="X86">
        <f>AND(IF(Metadata!E86="",FALSE,TRUE),OR(exact(Metadata!E86,"aerosol (non-saline)"),exact(Metadata!E86,"aerosol (saline)")))</f>
        <v>0</v>
      </c>
      <c r="Y86">
        <f>AND(IF(Metadata!F86="",FALSE,TRUE),exact(Metadata!F86,"air"))</f>
        <v>0</v>
      </c>
      <c r="Z86">
        <f>AND(IF(Metadata!G86="",FALSE,TRUE),exact(Metadata!G86,"air"))</f>
        <v>0</v>
      </c>
      <c r="AA86">
        <f>AND(IF(Metadata!H86="",FALSE,TRUE),exact(Metadata!H86,"air"))</f>
        <v>0</v>
      </c>
      <c r="AB86">
        <f>AND(IF(Metadata!I86="",FALSE,TRUE),exact(Metadata!I86,"air metagenome"))</f>
        <v>0</v>
      </c>
      <c r="AC86">
        <f>AND(IF(Metadata!J86="",FALSE,TRUE),exact(Metadata!J86,"655179"))</f>
        <v>0</v>
      </c>
    </row>
    <row r="87" spans="1:29">
      <c r="A87" s="5">
        <f>IF(B87=" "," ",HYPERLINK(CONCATENATE("#metadata!",ADDRESS(INDEX($P$2:$P$1001,MATCH(ROWS($N$2:N87),$N$2:$N$1001,0),0),1)),INDEX($S$2:$S$1001,MATCH(ROWS($N$2:N87),$N$2:$N$1001,0),0)))</f>
        <v>0</v>
      </c>
      <c r="B87" s="4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4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4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4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4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4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4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4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4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OR(AND(IF(Metadata!C87="",FALSE,TRUE),OR(exact(Metadata!C87,"not applicable"),exact(Metadata!C87,"not collected"),exact(Metadata!C87,"not provided"),exact(Metadata!C87,"restricted access"))),IF(Metadata!C87="",FALSE,ISNUMBER(VALUE(Metadata!C87))))</f>
        <v>0</v>
      </c>
      <c r="W87">
        <f>AND(IF(Metadata!D87="",FALSE,TRUE),exact(Metadata!D87,"m"))</f>
        <v>0</v>
      </c>
      <c r="X87">
        <f>AND(IF(Metadata!E87="",FALSE,TRUE),OR(exact(Metadata!E87,"aerosol (non-saline)"),exact(Metadata!E87,"aerosol (saline)")))</f>
        <v>0</v>
      </c>
      <c r="Y87">
        <f>AND(IF(Metadata!F87="",FALSE,TRUE),exact(Metadata!F87,"air"))</f>
        <v>0</v>
      </c>
      <c r="Z87">
        <f>AND(IF(Metadata!G87="",FALSE,TRUE),exact(Metadata!G87,"air"))</f>
        <v>0</v>
      </c>
      <c r="AA87">
        <f>AND(IF(Metadata!H87="",FALSE,TRUE),exact(Metadata!H87,"air"))</f>
        <v>0</v>
      </c>
      <c r="AB87">
        <f>AND(IF(Metadata!I87="",FALSE,TRUE),exact(Metadata!I87,"air metagenome"))</f>
        <v>0</v>
      </c>
      <c r="AC87">
        <f>AND(IF(Metadata!J87="",FALSE,TRUE),exact(Metadata!J87,"655179"))</f>
        <v>0</v>
      </c>
    </row>
    <row r="88" spans="1:29">
      <c r="A88" s="5">
        <f>IF(B88=" "," ",HYPERLINK(CONCATENATE("#metadata!",ADDRESS(INDEX($P$2:$P$1001,MATCH(ROWS($N$2:N88),$N$2:$N$1001,0),0),1)),INDEX($S$2:$S$1001,MATCH(ROWS($N$2:N88),$N$2:$N$1001,0),0)))</f>
        <v>0</v>
      </c>
      <c r="B88" s="4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4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4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4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4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4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4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4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4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OR(AND(IF(Metadata!C88="",FALSE,TRUE),OR(exact(Metadata!C88,"not applicable"),exact(Metadata!C88,"not collected"),exact(Metadata!C88,"not provided"),exact(Metadata!C88,"restricted access"))),IF(Metadata!C88="",FALSE,ISNUMBER(VALUE(Metadata!C88))))</f>
        <v>0</v>
      </c>
      <c r="W88">
        <f>AND(IF(Metadata!D88="",FALSE,TRUE),exact(Metadata!D88,"m"))</f>
        <v>0</v>
      </c>
      <c r="X88">
        <f>AND(IF(Metadata!E88="",FALSE,TRUE),OR(exact(Metadata!E88,"aerosol (non-saline)"),exact(Metadata!E88,"aerosol (saline)")))</f>
        <v>0</v>
      </c>
      <c r="Y88">
        <f>AND(IF(Metadata!F88="",FALSE,TRUE),exact(Metadata!F88,"air"))</f>
        <v>0</v>
      </c>
      <c r="Z88">
        <f>AND(IF(Metadata!G88="",FALSE,TRUE),exact(Metadata!G88,"air"))</f>
        <v>0</v>
      </c>
      <c r="AA88">
        <f>AND(IF(Metadata!H88="",FALSE,TRUE),exact(Metadata!H88,"air"))</f>
        <v>0</v>
      </c>
      <c r="AB88">
        <f>AND(IF(Metadata!I88="",FALSE,TRUE),exact(Metadata!I88,"air metagenome"))</f>
        <v>0</v>
      </c>
      <c r="AC88">
        <f>AND(IF(Metadata!J88="",FALSE,TRUE),exact(Metadata!J88,"655179"))</f>
        <v>0</v>
      </c>
    </row>
    <row r="89" spans="1:29">
      <c r="A89" s="5">
        <f>IF(B89=" "," ",HYPERLINK(CONCATENATE("#metadata!",ADDRESS(INDEX($P$2:$P$1001,MATCH(ROWS($N$2:N89),$N$2:$N$1001,0),0),1)),INDEX($S$2:$S$1001,MATCH(ROWS($N$2:N89),$N$2:$N$1001,0),0)))</f>
        <v>0</v>
      </c>
      <c r="B89" s="4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4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4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4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4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4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4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4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4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OR(AND(IF(Metadata!C89="",FALSE,TRUE),OR(exact(Metadata!C89,"not applicable"),exact(Metadata!C89,"not collected"),exact(Metadata!C89,"not provided"),exact(Metadata!C89,"restricted access"))),IF(Metadata!C89="",FALSE,ISNUMBER(VALUE(Metadata!C89))))</f>
        <v>0</v>
      </c>
      <c r="W89">
        <f>AND(IF(Metadata!D89="",FALSE,TRUE),exact(Metadata!D89,"m"))</f>
        <v>0</v>
      </c>
      <c r="X89">
        <f>AND(IF(Metadata!E89="",FALSE,TRUE),OR(exact(Metadata!E89,"aerosol (non-saline)"),exact(Metadata!E89,"aerosol (saline)")))</f>
        <v>0</v>
      </c>
      <c r="Y89">
        <f>AND(IF(Metadata!F89="",FALSE,TRUE),exact(Metadata!F89,"air"))</f>
        <v>0</v>
      </c>
      <c r="Z89">
        <f>AND(IF(Metadata!G89="",FALSE,TRUE),exact(Metadata!G89,"air"))</f>
        <v>0</v>
      </c>
      <c r="AA89">
        <f>AND(IF(Metadata!H89="",FALSE,TRUE),exact(Metadata!H89,"air"))</f>
        <v>0</v>
      </c>
      <c r="AB89">
        <f>AND(IF(Metadata!I89="",FALSE,TRUE),exact(Metadata!I89,"air metagenome"))</f>
        <v>0</v>
      </c>
      <c r="AC89">
        <f>AND(IF(Metadata!J89="",FALSE,TRUE),exact(Metadata!J89,"655179"))</f>
        <v>0</v>
      </c>
    </row>
    <row r="90" spans="1:29">
      <c r="A90" s="5">
        <f>IF(B90=" "," ",HYPERLINK(CONCATENATE("#metadata!",ADDRESS(INDEX($P$2:$P$1001,MATCH(ROWS($N$2:N90),$N$2:$N$1001,0),0),1)),INDEX($S$2:$S$1001,MATCH(ROWS($N$2:N90),$N$2:$N$1001,0),0)))</f>
        <v>0</v>
      </c>
      <c r="B90" s="4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4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4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4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4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4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4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4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4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OR(AND(IF(Metadata!C90="",FALSE,TRUE),OR(exact(Metadata!C90,"not applicable"),exact(Metadata!C90,"not collected"),exact(Metadata!C90,"not provided"),exact(Metadata!C90,"restricted access"))),IF(Metadata!C90="",FALSE,ISNUMBER(VALUE(Metadata!C90))))</f>
        <v>0</v>
      </c>
      <c r="W90">
        <f>AND(IF(Metadata!D90="",FALSE,TRUE),exact(Metadata!D90,"m"))</f>
        <v>0</v>
      </c>
      <c r="X90">
        <f>AND(IF(Metadata!E90="",FALSE,TRUE),OR(exact(Metadata!E90,"aerosol (non-saline)"),exact(Metadata!E90,"aerosol (saline)")))</f>
        <v>0</v>
      </c>
      <c r="Y90">
        <f>AND(IF(Metadata!F90="",FALSE,TRUE),exact(Metadata!F90,"air"))</f>
        <v>0</v>
      </c>
      <c r="Z90">
        <f>AND(IF(Metadata!G90="",FALSE,TRUE),exact(Metadata!G90,"air"))</f>
        <v>0</v>
      </c>
      <c r="AA90">
        <f>AND(IF(Metadata!H90="",FALSE,TRUE),exact(Metadata!H90,"air"))</f>
        <v>0</v>
      </c>
      <c r="AB90">
        <f>AND(IF(Metadata!I90="",FALSE,TRUE),exact(Metadata!I90,"air metagenome"))</f>
        <v>0</v>
      </c>
      <c r="AC90">
        <f>AND(IF(Metadata!J90="",FALSE,TRUE),exact(Metadata!J90,"655179"))</f>
        <v>0</v>
      </c>
    </row>
    <row r="91" spans="1:29">
      <c r="A91" s="5">
        <f>IF(B91=" "," ",HYPERLINK(CONCATENATE("#metadata!",ADDRESS(INDEX($P$2:$P$1001,MATCH(ROWS($N$2:N91),$N$2:$N$1001,0),0),1)),INDEX($S$2:$S$1001,MATCH(ROWS($N$2:N91),$N$2:$N$1001,0),0)))</f>
        <v>0</v>
      </c>
      <c r="B91" s="4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4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4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4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4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4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4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4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4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OR(AND(IF(Metadata!C91="",FALSE,TRUE),OR(exact(Metadata!C91,"not applicable"),exact(Metadata!C91,"not collected"),exact(Metadata!C91,"not provided"),exact(Metadata!C91,"restricted access"))),IF(Metadata!C91="",FALSE,ISNUMBER(VALUE(Metadata!C91))))</f>
        <v>0</v>
      </c>
      <c r="W91">
        <f>AND(IF(Metadata!D91="",FALSE,TRUE),exact(Metadata!D91,"m"))</f>
        <v>0</v>
      </c>
      <c r="X91">
        <f>AND(IF(Metadata!E91="",FALSE,TRUE),OR(exact(Metadata!E91,"aerosol (non-saline)"),exact(Metadata!E91,"aerosol (saline)")))</f>
        <v>0</v>
      </c>
      <c r="Y91">
        <f>AND(IF(Metadata!F91="",FALSE,TRUE),exact(Metadata!F91,"air"))</f>
        <v>0</v>
      </c>
      <c r="Z91">
        <f>AND(IF(Metadata!G91="",FALSE,TRUE),exact(Metadata!G91,"air"))</f>
        <v>0</v>
      </c>
      <c r="AA91">
        <f>AND(IF(Metadata!H91="",FALSE,TRUE),exact(Metadata!H91,"air"))</f>
        <v>0</v>
      </c>
      <c r="AB91">
        <f>AND(IF(Metadata!I91="",FALSE,TRUE),exact(Metadata!I91,"air metagenome"))</f>
        <v>0</v>
      </c>
      <c r="AC91">
        <f>AND(IF(Metadata!J91="",FALSE,TRUE),exact(Metadata!J91,"655179"))</f>
        <v>0</v>
      </c>
    </row>
    <row r="92" spans="1:29">
      <c r="A92" s="5">
        <f>IF(B92=" "," ",HYPERLINK(CONCATENATE("#metadata!",ADDRESS(INDEX($P$2:$P$1001,MATCH(ROWS($N$2:N92),$N$2:$N$1001,0),0),1)),INDEX($S$2:$S$1001,MATCH(ROWS($N$2:N92),$N$2:$N$1001,0),0)))</f>
        <v>0</v>
      </c>
      <c r="B92" s="4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4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4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4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4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4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4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4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4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OR(AND(IF(Metadata!C92="",FALSE,TRUE),OR(exact(Metadata!C92,"not applicable"),exact(Metadata!C92,"not collected"),exact(Metadata!C92,"not provided"),exact(Metadata!C92,"restricted access"))),IF(Metadata!C92="",FALSE,ISNUMBER(VALUE(Metadata!C92))))</f>
        <v>0</v>
      </c>
      <c r="W92">
        <f>AND(IF(Metadata!D92="",FALSE,TRUE),exact(Metadata!D92,"m"))</f>
        <v>0</v>
      </c>
      <c r="X92">
        <f>AND(IF(Metadata!E92="",FALSE,TRUE),OR(exact(Metadata!E92,"aerosol (non-saline)"),exact(Metadata!E92,"aerosol (saline)")))</f>
        <v>0</v>
      </c>
      <c r="Y92">
        <f>AND(IF(Metadata!F92="",FALSE,TRUE),exact(Metadata!F92,"air"))</f>
        <v>0</v>
      </c>
      <c r="Z92">
        <f>AND(IF(Metadata!G92="",FALSE,TRUE),exact(Metadata!G92,"air"))</f>
        <v>0</v>
      </c>
      <c r="AA92">
        <f>AND(IF(Metadata!H92="",FALSE,TRUE),exact(Metadata!H92,"air"))</f>
        <v>0</v>
      </c>
      <c r="AB92">
        <f>AND(IF(Metadata!I92="",FALSE,TRUE),exact(Metadata!I92,"air metagenome"))</f>
        <v>0</v>
      </c>
      <c r="AC92">
        <f>AND(IF(Metadata!J92="",FALSE,TRUE),exact(Metadata!J92,"655179"))</f>
        <v>0</v>
      </c>
    </row>
    <row r="93" spans="1:29">
      <c r="A93" s="5">
        <f>IF(B93=" "," ",HYPERLINK(CONCATENATE("#metadata!",ADDRESS(INDEX($P$2:$P$1001,MATCH(ROWS($N$2:N93),$N$2:$N$1001,0),0),1)),INDEX($S$2:$S$1001,MATCH(ROWS($N$2:N93),$N$2:$N$1001,0),0)))</f>
        <v>0</v>
      </c>
      <c r="B93" s="4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4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4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4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4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4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4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4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4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OR(AND(IF(Metadata!C93="",FALSE,TRUE),OR(exact(Metadata!C93,"not applicable"),exact(Metadata!C93,"not collected"),exact(Metadata!C93,"not provided"),exact(Metadata!C93,"restricted access"))),IF(Metadata!C93="",FALSE,ISNUMBER(VALUE(Metadata!C93))))</f>
        <v>0</v>
      </c>
      <c r="W93">
        <f>AND(IF(Metadata!D93="",FALSE,TRUE),exact(Metadata!D93,"m"))</f>
        <v>0</v>
      </c>
      <c r="X93">
        <f>AND(IF(Metadata!E93="",FALSE,TRUE),OR(exact(Metadata!E93,"aerosol (non-saline)"),exact(Metadata!E93,"aerosol (saline)")))</f>
        <v>0</v>
      </c>
      <c r="Y93">
        <f>AND(IF(Metadata!F93="",FALSE,TRUE),exact(Metadata!F93,"air"))</f>
        <v>0</v>
      </c>
      <c r="Z93">
        <f>AND(IF(Metadata!G93="",FALSE,TRUE),exact(Metadata!G93,"air"))</f>
        <v>0</v>
      </c>
      <c r="AA93">
        <f>AND(IF(Metadata!H93="",FALSE,TRUE),exact(Metadata!H93,"air"))</f>
        <v>0</v>
      </c>
      <c r="AB93">
        <f>AND(IF(Metadata!I93="",FALSE,TRUE),exact(Metadata!I93,"air metagenome"))</f>
        <v>0</v>
      </c>
      <c r="AC93">
        <f>AND(IF(Metadata!J93="",FALSE,TRUE),exact(Metadata!J93,"655179"))</f>
        <v>0</v>
      </c>
    </row>
    <row r="94" spans="1:29">
      <c r="A94" s="5">
        <f>IF(B94=" "," ",HYPERLINK(CONCATENATE("#metadata!",ADDRESS(INDEX($P$2:$P$1001,MATCH(ROWS($N$2:N94),$N$2:$N$1001,0),0),1)),INDEX($S$2:$S$1001,MATCH(ROWS($N$2:N94),$N$2:$N$1001,0),0)))</f>
        <v>0</v>
      </c>
      <c r="B94" s="4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4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4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4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4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4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4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4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4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OR(AND(IF(Metadata!C94="",FALSE,TRUE),OR(exact(Metadata!C94,"not applicable"),exact(Metadata!C94,"not collected"),exact(Metadata!C94,"not provided"),exact(Metadata!C94,"restricted access"))),IF(Metadata!C94="",FALSE,ISNUMBER(VALUE(Metadata!C94))))</f>
        <v>0</v>
      </c>
      <c r="W94">
        <f>AND(IF(Metadata!D94="",FALSE,TRUE),exact(Metadata!D94,"m"))</f>
        <v>0</v>
      </c>
      <c r="X94">
        <f>AND(IF(Metadata!E94="",FALSE,TRUE),OR(exact(Metadata!E94,"aerosol (non-saline)"),exact(Metadata!E94,"aerosol (saline)")))</f>
        <v>0</v>
      </c>
      <c r="Y94">
        <f>AND(IF(Metadata!F94="",FALSE,TRUE),exact(Metadata!F94,"air"))</f>
        <v>0</v>
      </c>
      <c r="Z94">
        <f>AND(IF(Metadata!G94="",FALSE,TRUE),exact(Metadata!G94,"air"))</f>
        <v>0</v>
      </c>
      <c r="AA94">
        <f>AND(IF(Metadata!H94="",FALSE,TRUE),exact(Metadata!H94,"air"))</f>
        <v>0</v>
      </c>
      <c r="AB94">
        <f>AND(IF(Metadata!I94="",FALSE,TRUE),exact(Metadata!I94,"air metagenome"))</f>
        <v>0</v>
      </c>
      <c r="AC94">
        <f>AND(IF(Metadata!J94="",FALSE,TRUE),exact(Metadata!J94,"655179"))</f>
        <v>0</v>
      </c>
    </row>
    <row r="95" spans="1:29">
      <c r="A95" s="5">
        <f>IF(B95=" "," ",HYPERLINK(CONCATENATE("#metadata!",ADDRESS(INDEX($P$2:$P$1001,MATCH(ROWS($N$2:N95),$N$2:$N$1001,0),0),1)),INDEX($S$2:$S$1001,MATCH(ROWS($N$2:N95),$N$2:$N$1001,0),0)))</f>
        <v>0</v>
      </c>
      <c r="B95" s="4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4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4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4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4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4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4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4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4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OR(AND(IF(Metadata!C95="",FALSE,TRUE),OR(exact(Metadata!C95,"not applicable"),exact(Metadata!C95,"not collected"),exact(Metadata!C95,"not provided"),exact(Metadata!C95,"restricted access"))),IF(Metadata!C95="",FALSE,ISNUMBER(VALUE(Metadata!C95))))</f>
        <v>0</v>
      </c>
      <c r="W95">
        <f>AND(IF(Metadata!D95="",FALSE,TRUE),exact(Metadata!D95,"m"))</f>
        <v>0</v>
      </c>
      <c r="X95">
        <f>AND(IF(Metadata!E95="",FALSE,TRUE),OR(exact(Metadata!E95,"aerosol (non-saline)"),exact(Metadata!E95,"aerosol (saline)")))</f>
        <v>0</v>
      </c>
      <c r="Y95">
        <f>AND(IF(Metadata!F95="",FALSE,TRUE),exact(Metadata!F95,"air"))</f>
        <v>0</v>
      </c>
      <c r="Z95">
        <f>AND(IF(Metadata!G95="",FALSE,TRUE),exact(Metadata!G95,"air"))</f>
        <v>0</v>
      </c>
      <c r="AA95">
        <f>AND(IF(Metadata!H95="",FALSE,TRUE),exact(Metadata!H95,"air"))</f>
        <v>0</v>
      </c>
      <c r="AB95">
        <f>AND(IF(Metadata!I95="",FALSE,TRUE),exact(Metadata!I95,"air metagenome"))</f>
        <v>0</v>
      </c>
      <c r="AC95">
        <f>AND(IF(Metadata!J95="",FALSE,TRUE),exact(Metadata!J95,"655179"))</f>
        <v>0</v>
      </c>
    </row>
    <row r="96" spans="1:29">
      <c r="A96" s="5">
        <f>IF(B96=" "," ",HYPERLINK(CONCATENATE("#metadata!",ADDRESS(INDEX($P$2:$P$1001,MATCH(ROWS($N$2:N96),$N$2:$N$1001,0),0),1)),INDEX($S$2:$S$1001,MATCH(ROWS($N$2:N96),$N$2:$N$1001,0),0)))</f>
        <v>0</v>
      </c>
      <c r="B96" s="4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4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4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4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4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4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4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4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4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OR(AND(IF(Metadata!C96="",FALSE,TRUE),OR(exact(Metadata!C96,"not applicable"),exact(Metadata!C96,"not collected"),exact(Metadata!C96,"not provided"),exact(Metadata!C96,"restricted access"))),IF(Metadata!C96="",FALSE,ISNUMBER(VALUE(Metadata!C96))))</f>
        <v>0</v>
      </c>
      <c r="W96">
        <f>AND(IF(Metadata!D96="",FALSE,TRUE),exact(Metadata!D96,"m"))</f>
        <v>0</v>
      </c>
      <c r="X96">
        <f>AND(IF(Metadata!E96="",FALSE,TRUE),OR(exact(Metadata!E96,"aerosol (non-saline)"),exact(Metadata!E96,"aerosol (saline)")))</f>
        <v>0</v>
      </c>
      <c r="Y96">
        <f>AND(IF(Metadata!F96="",FALSE,TRUE),exact(Metadata!F96,"air"))</f>
        <v>0</v>
      </c>
      <c r="Z96">
        <f>AND(IF(Metadata!G96="",FALSE,TRUE),exact(Metadata!G96,"air"))</f>
        <v>0</v>
      </c>
      <c r="AA96">
        <f>AND(IF(Metadata!H96="",FALSE,TRUE),exact(Metadata!H96,"air"))</f>
        <v>0</v>
      </c>
      <c r="AB96">
        <f>AND(IF(Metadata!I96="",FALSE,TRUE),exact(Metadata!I96,"air metagenome"))</f>
        <v>0</v>
      </c>
      <c r="AC96">
        <f>AND(IF(Metadata!J96="",FALSE,TRUE),exact(Metadata!J96,"655179"))</f>
        <v>0</v>
      </c>
    </row>
    <row r="97" spans="1:29">
      <c r="A97" s="5">
        <f>IF(B97=" "," ",HYPERLINK(CONCATENATE("#metadata!",ADDRESS(INDEX($P$2:$P$1001,MATCH(ROWS($N$2:N97),$N$2:$N$1001,0),0),1)),INDEX($S$2:$S$1001,MATCH(ROWS($N$2:N97),$N$2:$N$1001,0),0)))</f>
        <v>0</v>
      </c>
      <c r="B97" s="4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4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4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4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4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4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4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4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4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OR(AND(IF(Metadata!C97="",FALSE,TRUE),OR(exact(Metadata!C97,"not applicable"),exact(Metadata!C97,"not collected"),exact(Metadata!C97,"not provided"),exact(Metadata!C97,"restricted access"))),IF(Metadata!C97="",FALSE,ISNUMBER(VALUE(Metadata!C97))))</f>
        <v>0</v>
      </c>
      <c r="W97">
        <f>AND(IF(Metadata!D97="",FALSE,TRUE),exact(Metadata!D97,"m"))</f>
        <v>0</v>
      </c>
      <c r="X97">
        <f>AND(IF(Metadata!E97="",FALSE,TRUE),OR(exact(Metadata!E97,"aerosol (non-saline)"),exact(Metadata!E97,"aerosol (saline)")))</f>
        <v>0</v>
      </c>
      <c r="Y97">
        <f>AND(IF(Metadata!F97="",FALSE,TRUE),exact(Metadata!F97,"air"))</f>
        <v>0</v>
      </c>
      <c r="Z97">
        <f>AND(IF(Metadata!G97="",FALSE,TRUE),exact(Metadata!G97,"air"))</f>
        <v>0</v>
      </c>
      <c r="AA97">
        <f>AND(IF(Metadata!H97="",FALSE,TRUE),exact(Metadata!H97,"air"))</f>
        <v>0</v>
      </c>
      <c r="AB97">
        <f>AND(IF(Metadata!I97="",FALSE,TRUE),exact(Metadata!I97,"air metagenome"))</f>
        <v>0</v>
      </c>
      <c r="AC97">
        <f>AND(IF(Metadata!J97="",FALSE,TRUE),exact(Metadata!J97,"655179"))</f>
        <v>0</v>
      </c>
    </row>
    <row r="98" spans="1:29">
      <c r="A98" s="5">
        <f>IF(B98=" "," ",HYPERLINK(CONCATENATE("#metadata!",ADDRESS(INDEX($P$2:$P$1001,MATCH(ROWS($N$2:N98),$N$2:$N$1001,0),0),1)),INDEX($S$2:$S$1001,MATCH(ROWS($N$2:N98),$N$2:$N$1001,0),0)))</f>
        <v>0</v>
      </c>
      <c r="B98" s="4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4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4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4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4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4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4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4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4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OR(AND(IF(Metadata!C98="",FALSE,TRUE),OR(exact(Metadata!C98,"not applicable"),exact(Metadata!C98,"not collected"),exact(Metadata!C98,"not provided"),exact(Metadata!C98,"restricted access"))),IF(Metadata!C98="",FALSE,ISNUMBER(VALUE(Metadata!C98))))</f>
        <v>0</v>
      </c>
      <c r="W98">
        <f>AND(IF(Metadata!D98="",FALSE,TRUE),exact(Metadata!D98,"m"))</f>
        <v>0</v>
      </c>
      <c r="X98">
        <f>AND(IF(Metadata!E98="",FALSE,TRUE),OR(exact(Metadata!E98,"aerosol (non-saline)"),exact(Metadata!E98,"aerosol (saline)")))</f>
        <v>0</v>
      </c>
      <c r="Y98">
        <f>AND(IF(Metadata!F98="",FALSE,TRUE),exact(Metadata!F98,"air"))</f>
        <v>0</v>
      </c>
      <c r="Z98">
        <f>AND(IF(Metadata!G98="",FALSE,TRUE),exact(Metadata!G98,"air"))</f>
        <v>0</v>
      </c>
      <c r="AA98">
        <f>AND(IF(Metadata!H98="",FALSE,TRUE),exact(Metadata!H98,"air"))</f>
        <v>0</v>
      </c>
      <c r="AB98">
        <f>AND(IF(Metadata!I98="",FALSE,TRUE),exact(Metadata!I98,"air metagenome"))</f>
        <v>0</v>
      </c>
      <c r="AC98">
        <f>AND(IF(Metadata!J98="",FALSE,TRUE),exact(Metadata!J98,"655179"))</f>
        <v>0</v>
      </c>
    </row>
    <row r="99" spans="1:29">
      <c r="A99" s="5">
        <f>IF(B99=" "," ",HYPERLINK(CONCATENATE("#metadata!",ADDRESS(INDEX($P$2:$P$1001,MATCH(ROWS($N$2:N99),$N$2:$N$1001,0),0),1)),INDEX($S$2:$S$1001,MATCH(ROWS($N$2:N99),$N$2:$N$1001,0),0)))</f>
        <v>0</v>
      </c>
      <c r="B99" s="4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4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4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4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4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4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4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4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4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OR(AND(IF(Metadata!C99="",FALSE,TRUE),OR(exact(Metadata!C99,"not applicable"),exact(Metadata!C99,"not collected"),exact(Metadata!C99,"not provided"),exact(Metadata!C99,"restricted access"))),IF(Metadata!C99="",FALSE,ISNUMBER(VALUE(Metadata!C99))))</f>
        <v>0</v>
      </c>
      <c r="W99">
        <f>AND(IF(Metadata!D99="",FALSE,TRUE),exact(Metadata!D99,"m"))</f>
        <v>0</v>
      </c>
      <c r="X99">
        <f>AND(IF(Metadata!E99="",FALSE,TRUE),OR(exact(Metadata!E99,"aerosol (non-saline)"),exact(Metadata!E99,"aerosol (saline)")))</f>
        <v>0</v>
      </c>
      <c r="Y99">
        <f>AND(IF(Metadata!F99="",FALSE,TRUE),exact(Metadata!F99,"air"))</f>
        <v>0</v>
      </c>
      <c r="Z99">
        <f>AND(IF(Metadata!G99="",FALSE,TRUE),exact(Metadata!G99,"air"))</f>
        <v>0</v>
      </c>
      <c r="AA99">
        <f>AND(IF(Metadata!H99="",FALSE,TRUE),exact(Metadata!H99,"air"))</f>
        <v>0</v>
      </c>
      <c r="AB99">
        <f>AND(IF(Metadata!I99="",FALSE,TRUE),exact(Metadata!I99,"air metagenome"))</f>
        <v>0</v>
      </c>
      <c r="AC99">
        <f>AND(IF(Metadata!J99="",FALSE,TRUE),exact(Metadata!J99,"655179"))</f>
        <v>0</v>
      </c>
    </row>
    <row r="100" spans="1:29">
      <c r="A100" s="5">
        <f>IF(B100=" "," ",HYPERLINK(CONCATENATE("#metadata!",ADDRESS(INDEX($P$2:$P$1001,MATCH(ROWS($N$2:N100),$N$2:$N$1001,0),0),1)),INDEX($S$2:$S$1001,MATCH(ROWS($N$2:N100),$N$2:$N$1001,0),0)))</f>
        <v>0</v>
      </c>
      <c r="B100" s="4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4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4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4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4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4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4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4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4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OR(AND(IF(Metadata!C100="",FALSE,TRUE),OR(exact(Metadata!C100,"not applicable"),exact(Metadata!C100,"not collected"),exact(Metadata!C100,"not provided"),exact(Metadata!C100,"restricted access"))),IF(Metadata!C100="",FALSE,ISNUMBER(VALUE(Metadata!C100))))</f>
        <v>0</v>
      </c>
      <c r="W100">
        <f>AND(IF(Metadata!D100="",FALSE,TRUE),exact(Metadata!D100,"m"))</f>
        <v>0</v>
      </c>
      <c r="X100">
        <f>AND(IF(Metadata!E100="",FALSE,TRUE),OR(exact(Metadata!E100,"aerosol (non-saline)"),exact(Metadata!E100,"aerosol (saline)")))</f>
        <v>0</v>
      </c>
      <c r="Y100">
        <f>AND(IF(Metadata!F100="",FALSE,TRUE),exact(Metadata!F100,"air"))</f>
        <v>0</v>
      </c>
      <c r="Z100">
        <f>AND(IF(Metadata!G100="",FALSE,TRUE),exact(Metadata!G100,"air"))</f>
        <v>0</v>
      </c>
      <c r="AA100">
        <f>AND(IF(Metadata!H100="",FALSE,TRUE),exact(Metadata!H100,"air"))</f>
        <v>0</v>
      </c>
      <c r="AB100">
        <f>AND(IF(Metadata!I100="",FALSE,TRUE),exact(Metadata!I100,"air metagenome"))</f>
        <v>0</v>
      </c>
      <c r="AC100">
        <f>AND(IF(Metadata!J100="",FALSE,TRUE),exact(Metadata!J100,"655179"))</f>
        <v>0</v>
      </c>
    </row>
    <row r="101" spans="1:29">
      <c r="A101" s="5">
        <f>IF(B101=" "," ",HYPERLINK(CONCATENATE("#metadata!",ADDRESS(INDEX($P$2:$P$1001,MATCH(ROWS($N$2:N101),$N$2:$N$1001,0),0),1)),INDEX($S$2:$S$1001,MATCH(ROWS($N$2:N101),$N$2:$N$1001,0),0)))</f>
        <v>0</v>
      </c>
      <c r="B101" s="4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4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4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4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4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4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4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4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4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OR(AND(IF(Metadata!C101="",FALSE,TRUE),OR(exact(Metadata!C101,"not applicable"),exact(Metadata!C101,"not collected"),exact(Metadata!C101,"not provided"),exact(Metadata!C101,"restricted access"))),IF(Metadata!C101="",FALSE,ISNUMBER(VALUE(Metadata!C101))))</f>
        <v>0</v>
      </c>
      <c r="W101">
        <f>AND(IF(Metadata!D101="",FALSE,TRUE),exact(Metadata!D101,"m"))</f>
        <v>0</v>
      </c>
      <c r="X101">
        <f>AND(IF(Metadata!E101="",FALSE,TRUE),OR(exact(Metadata!E101,"aerosol (non-saline)"),exact(Metadata!E101,"aerosol (saline)")))</f>
        <v>0</v>
      </c>
      <c r="Y101">
        <f>AND(IF(Metadata!F101="",FALSE,TRUE),exact(Metadata!F101,"air"))</f>
        <v>0</v>
      </c>
      <c r="Z101">
        <f>AND(IF(Metadata!G101="",FALSE,TRUE),exact(Metadata!G101,"air"))</f>
        <v>0</v>
      </c>
      <c r="AA101">
        <f>AND(IF(Metadata!H101="",FALSE,TRUE),exact(Metadata!H101,"air"))</f>
        <v>0</v>
      </c>
      <c r="AB101">
        <f>AND(IF(Metadata!I101="",FALSE,TRUE),exact(Metadata!I101,"air metagenome"))</f>
        <v>0</v>
      </c>
      <c r="AC101">
        <f>AND(IF(Metadata!J101="",FALSE,TRUE),exact(Metadata!J101,"655179"))</f>
        <v>0</v>
      </c>
    </row>
    <row r="102" spans="1:29">
      <c r="A102" s="5">
        <f>IF(B102=" "," ",HYPERLINK(CONCATENATE("#metadata!",ADDRESS(INDEX($P$2:$P$1001,MATCH(ROWS($N$2:N102),$N$2:$N$1001,0),0),1)),INDEX($S$2:$S$1001,MATCH(ROWS($N$2:N102),$N$2:$N$1001,0),0)))</f>
        <v>0</v>
      </c>
      <c r="B102" s="4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4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4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4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4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4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4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4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4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OR(AND(IF(Metadata!C102="",FALSE,TRUE),OR(exact(Metadata!C102,"not applicable"),exact(Metadata!C102,"not collected"),exact(Metadata!C102,"not provided"),exact(Metadata!C102,"restricted access"))),IF(Metadata!C102="",FALSE,ISNUMBER(VALUE(Metadata!C102))))</f>
        <v>0</v>
      </c>
      <c r="W102">
        <f>AND(IF(Metadata!D102="",FALSE,TRUE),exact(Metadata!D102,"m"))</f>
        <v>0</v>
      </c>
      <c r="X102">
        <f>AND(IF(Metadata!E102="",FALSE,TRUE),OR(exact(Metadata!E102,"aerosol (non-saline)"),exact(Metadata!E102,"aerosol (saline)")))</f>
        <v>0</v>
      </c>
      <c r="Y102">
        <f>AND(IF(Metadata!F102="",FALSE,TRUE),exact(Metadata!F102,"air"))</f>
        <v>0</v>
      </c>
      <c r="Z102">
        <f>AND(IF(Metadata!G102="",FALSE,TRUE),exact(Metadata!G102,"air"))</f>
        <v>0</v>
      </c>
      <c r="AA102">
        <f>AND(IF(Metadata!H102="",FALSE,TRUE),exact(Metadata!H102,"air"))</f>
        <v>0</v>
      </c>
      <c r="AB102">
        <f>AND(IF(Metadata!I102="",FALSE,TRUE),exact(Metadata!I102,"air metagenome"))</f>
        <v>0</v>
      </c>
      <c r="AC102">
        <f>AND(IF(Metadata!J102="",FALSE,TRUE),exact(Metadata!J102,"655179"))</f>
        <v>0</v>
      </c>
    </row>
    <row r="103" spans="1:29">
      <c r="A103" s="5">
        <f>IF(B103=" "," ",HYPERLINK(CONCATENATE("#metadata!",ADDRESS(INDEX($P$2:$P$1001,MATCH(ROWS($N$2:N103),$N$2:$N$1001,0),0),1)),INDEX($S$2:$S$1001,MATCH(ROWS($N$2:N103),$N$2:$N$1001,0),0)))</f>
        <v>0</v>
      </c>
      <c r="B103" s="4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4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4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4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4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4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4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4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4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OR(AND(IF(Metadata!C103="",FALSE,TRUE),OR(exact(Metadata!C103,"not applicable"),exact(Metadata!C103,"not collected"),exact(Metadata!C103,"not provided"),exact(Metadata!C103,"restricted access"))),IF(Metadata!C103="",FALSE,ISNUMBER(VALUE(Metadata!C103))))</f>
        <v>0</v>
      </c>
      <c r="W103">
        <f>AND(IF(Metadata!D103="",FALSE,TRUE),exact(Metadata!D103,"m"))</f>
        <v>0</v>
      </c>
      <c r="X103">
        <f>AND(IF(Metadata!E103="",FALSE,TRUE),OR(exact(Metadata!E103,"aerosol (non-saline)"),exact(Metadata!E103,"aerosol (saline)")))</f>
        <v>0</v>
      </c>
      <c r="Y103">
        <f>AND(IF(Metadata!F103="",FALSE,TRUE),exact(Metadata!F103,"air"))</f>
        <v>0</v>
      </c>
      <c r="Z103">
        <f>AND(IF(Metadata!G103="",FALSE,TRUE),exact(Metadata!G103,"air"))</f>
        <v>0</v>
      </c>
      <c r="AA103">
        <f>AND(IF(Metadata!H103="",FALSE,TRUE),exact(Metadata!H103,"air"))</f>
        <v>0</v>
      </c>
      <c r="AB103">
        <f>AND(IF(Metadata!I103="",FALSE,TRUE),exact(Metadata!I103,"air metagenome"))</f>
        <v>0</v>
      </c>
      <c r="AC103">
        <f>AND(IF(Metadata!J103="",FALSE,TRUE),exact(Metadata!J103,"655179"))</f>
        <v>0</v>
      </c>
    </row>
    <row r="104" spans="1:29">
      <c r="A104" s="5">
        <f>IF(B104=" "," ",HYPERLINK(CONCATENATE("#metadata!",ADDRESS(INDEX($P$2:$P$1001,MATCH(ROWS($N$2:N104),$N$2:$N$1001,0),0),1)),INDEX($S$2:$S$1001,MATCH(ROWS($N$2:N104),$N$2:$N$1001,0),0)))</f>
        <v>0</v>
      </c>
      <c r="B104" s="4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4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4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4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4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4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4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4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4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OR(AND(IF(Metadata!C104="",FALSE,TRUE),OR(exact(Metadata!C104,"not applicable"),exact(Metadata!C104,"not collected"),exact(Metadata!C104,"not provided"),exact(Metadata!C104,"restricted access"))),IF(Metadata!C104="",FALSE,ISNUMBER(VALUE(Metadata!C104))))</f>
        <v>0</v>
      </c>
      <c r="W104">
        <f>AND(IF(Metadata!D104="",FALSE,TRUE),exact(Metadata!D104,"m"))</f>
        <v>0</v>
      </c>
      <c r="X104">
        <f>AND(IF(Metadata!E104="",FALSE,TRUE),OR(exact(Metadata!E104,"aerosol (non-saline)"),exact(Metadata!E104,"aerosol (saline)")))</f>
        <v>0</v>
      </c>
      <c r="Y104">
        <f>AND(IF(Metadata!F104="",FALSE,TRUE),exact(Metadata!F104,"air"))</f>
        <v>0</v>
      </c>
      <c r="Z104">
        <f>AND(IF(Metadata!G104="",FALSE,TRUE),exact(Metadata!G104,"air"))</f>
        <v>0</v>
      </c>
      <c r="AA104">
        <f>AND(IF(Metadata!H104="",FALSE,TRUE),exact(Metadata!H104,"air"))</f>
        <v>0</v>
      </c>
      <c r="AB104">
        <f>AND(IF(Metadata!I104="",FALSE,TRUE),exact(Metadata!I104,"air metagenome"))</f>
        <v>0</v>
      </c>
      <c r="AC104">
        <f>AND(IF(Metadata!J104="",FALSE,TRUE),exact(Metadata!J104,"655179"))</f>
        <v>0</v>
      </c>
    </row>
    <row r="105" spans="1:29">
      <c r="A105" s="5">
        <f>IF(B105=" "," ",HYPERLINK(CONCATENATE("#metadata!",ADDRESS(INDEX($P$2:$P$1001,MATCH(ROWS($N$2:N105),$N$2:$N$1001,0),0),1)),INDEX($S$2:$S$1001,MATCH(ROWS($N$2:N105),$N$2:$N$1001,0),0)))</f>
        <v>0</v>
      </c>
      <c r="B105" s="4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4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4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4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4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4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4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4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4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OR(AND(IF(Metadata!C105="",FALSE,TRUE),OR(exact(Metadata!C105,"not applicable"),exact(Metadata!C105,"not collected"),exact(Metadata!C105,"not provided"),exact(Metadata!C105,"restricted access"))),IF(Metadata!C105="",FALSE,ISNUMBER(VALUE(Metadata!C105))))</f>
        <v>0</v>
      </c>
      <c r="W105">
        <f>AND(IF(Metadata!D105="",FALSE,TRUE),exact(Metadata!D105,"m"))</f>
        <v>0</v>
      </c>
      <c r="X105">
        <f>AND(IF(Metadata!E105="",FALSE,TRUE),OR(exact(Metadata!E105,"aerosol (non-saline)"),exact(Metadata!E105,"aerosol (saline)")))</f>
        <v>0</v>
      </c>
      <c r="Y105">
        <f>AND(IF(Metadata!F105="",FALSE,TRUE),exact(Metadata!F105,"air"))</f>
        <v>0</v>
      </c>
      <c r="Z105">
        <f>AND(IF(Metadata!G105="",FALSE,TRUE),exact(Metadata!G105,"air"))</f>
        <v>0</v>
      </c>
      <c r="AA105">
        <f>AND(IF(Metadata!H105="",FALSE,TRUE),exact(Metadata!H105,"air"))</f>
        <v>0</v>
      </c>
      <c r="AB105">
        <f>AND(IF(Metadata!I105="",FALSE,TRUE),exact(Metadata!I105,"air metagenome"))</f>
        <v>0</v>
      </c>
      <c r="AC105">
        <f>AND(IF(Metadata!J105="",FALSE,TRUE),exact(Metadata!J105,"655179"))</f>
        <v>0</v>
      </c>
    </row>
    <row r="106" spans="1:29">
      <c r="A106" s="5">
        <f>IF(B106=" "," ",HYPERLINK(CONCATENATE("#metadata!",ADDRESS(INDEX($P$2:$P$1001,MATCH(ROWS($N$2:N106),$N$2:$N$1001,0),0),1)),INDEX($S$2:$S$1001,MATCH(ROWS($N$2:N106),$N$2:$N$1001,0),0)))</f>
        <v>0</v>
      </c>
      <c r="B106" s="4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4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4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4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4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4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4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4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4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OR(AND(IF(Metadata!C106="",FALSE,TRUE),OR(exact(Metadata!C106,"not applicable"),exact(Metadata!C106,"not collected"),exact(Metadata!C106,"not provided"),exact(Metadata!C106,"restricted access"))),IF(Metadata!C106="",FALSE,ISNUMBER(VALUE(Metadata!C106))))</f>
        <v>0</v>
      </c>
      <c r="W106">
        <f>AND(IF(Metadata!D106="",FALSE,TRUE),exact(Metadata!D106,"m"))</f>
        <v>0</v>
      </c>
      <c r="X106">
        <f>AND(IF(Metadata!E106="",FALSE,TRUE),OR(exact(Metadata!E106,"aerosol (non-saline)"),exact(Metadata!E106,"aerosol (saline)")))</f>
        <v>0</v>
      </c>
      <c r="Y106">
        <f>AND(IF(Metadata!F106="",FALSE,TRUE),exact(Metadata!F106,"air"))</f>
        <v>0</v>
      </c>
      <c r="Z106">
        <f>AND(IF(Metadata!G106="",FALSE,TRUE),exact(Metadata!G106,"air"))</f>
        <v>0</v>
      </c>
      <c r="AA106">
        <f>AND(IF(Metadata!H106="",FALSE,TRUE),exact(Metadata!H106,"air"))</f>
        <v>0</v>
      </c>
      <c r="AB106">
        <f>AND(IF(Metadata!I106="",FALSE,TRUE),exact(Metadata!I106,"air metagenome"))</f>
        <v>0</v>
      </c>
      <c r="AC106">
        <f>AND(IF(Metadata!J106="",FALSE,TRUE),exact(Metadata!J106,"655179"))</f>
        <v>0</v>
      </c>
    </row>
    <row r="107" spans="1:29">
      <c r="A107" s="5">
        <f>IF(B107=" "," ",HYPERLINK(CONCATENATE("#metadata!",ADDRESS(INDEX($P$2:$P$1001,MATCH(ROWS($N$2:N107),$N$2:$N$1001,0),0),1)),INDEX($S$2:$S$1001,MATCH(ROWS($N$2:N107),$N$2:$N$1001,0),0)))</f>
        <v>0</v>
      </c>
      <c r="B107" s="4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4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4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4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4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4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4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4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4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OR(AND(IF(Metadata!C107="",FALSE,TRUE),OR(exact(Metadata!C107,"not applicable"),exact(Metadata!C107,"not collected"),exact(Metadata!C107,"not provided"),exact(Metadata!C107,"restricted access"))),IF(Metadata!C107="",FALSE,ISNUMBER(VALUE(Metadata!C107))))</f>
        <v>0</v>
      </c>
      <c r="W107">
        <f>AND(IF(Metadata!D107="",FALSE,TRUE),exact(Metadata!D107,"m"))</f>
        <v>0</v>
      </c>
      <c r="X107">
        <f>AND(IF(Metadata!E107="",FALSE,TRUE),OR(exact(Metadata!E107,"aerosol (non-saline)"),exact(Metadata!E107,"aerosol (saline)")))</f>
        <v>0</v>
      </c>
      <c r="Y107">
        <f>AND(IF(Metadata!F107="",FALSE,TRUE),exact(Metadata!F107,"air"))</f>
        <v>0</v>
      </c>
      <c r="Z107">
        <f>AND(IF(Metadata!G107="",FALSE,TRUE),exact(Metadata!G107,"air"))</f>
        <v>0</v>
      </c>
      <c r="AA107">
        <f>AND(IF(Metadata!H107="",FALSE,TRUE),exact(Metadata!H107,"air"))</f>
        <v>0</v>
      </c>
      <c r="AB107">
        <f>AND(IF(Metadata!I107="",FALSE,TRUE),exact(Metadata!I107,"air metagenome"))</f>
        <v>0</v>
      </c>
      <c r="AC107">
        <f>AND(IF(Metadata!J107="",FALSE,TRUE),exact(Metadata!J107,"655179"))</f>
        <v>0</v>
      </c>
    </row>
    <row r="108" spans="1:29">
      <c r="A108" s="5">
        <f>IF(B108=" "," ",HYPERLINK(CONCATENATE("#metadata!",ADDRESS(INDEX($P$2:$P$1001,MATCH(ROWS($N$2:N108),$N$2:$N$1001,0),0),1)),INDEX($S$2:$S$1001,MATCH(ROWS($N$2:N108),$N$2:$N$1001,0),0)))</f>
        <v>0</v>
      </c>
      <c r="B108" s="4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4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4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4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4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4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4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4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4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OR(AND(IF(Metadata!C108="",FALSE,TRUE),OR(exact(Metadata!C108,"not applicable"),exact(Metadata!C108,"not collected"),exact(Metadata!C108,"not provided"),exact(Metadata!C108,"restricted access"))),IF(Metadata!C108="",FALSE,ISNUMBER(VALUE(Metadata!C108))))</f>
        <v>0</v>
      </c>
      <c r="W108">
        <f>AND(IF(Metadata!D108="",FALSE,TRUE),exact(Metadata!D108,"m"))</f>
        <v>0</v>
      </c>
      <c r="X108">
        <f>AND(IF(Metadata!E108="",FALSE,TRUE),OR(exact(Metadata!E108,"aerosol (non-saline)"),exact(Metadata!E108,"aerosol (saline)")))</f>
        <v>0</v>
      </c>
      <c r="Y108">
        <f>AND(IF(Metadata!F108="",FALSE,TRUE),exact(Metadata!F108,"air"))</f>
        <v>0</v>
      </c>
      <c r="Z108">
        <f>AND(IF(Metadata!G108="",FALSE,TRUE),exact(Metadata!G108,"air"))</f>
        <v>0</v>
      </c>
      <c r="AA108">
        <f>AND(IF(Metadata!H108="",FALSE,TRUE),exact(Metadata!H108,"air"))</f>
        <v>0</v>
      </c>
      <c r="AB108">
        <f>AND(IF(Metadata!I108="",FALSE,TRUE),exact(Metadata!I108,"air metagenome"))</f>
        <v>0</v>
      </c>
      <c r="AC108">
        <f>AND(IF(Metadata!J108="",FALSE,TRUE),exact(Metadata!J108,"655179"))</f>
        <v>0</v>
      </c>
    </row>
    <row r="109" spans="1:29">
      <c r="A109" s="5">
        <f>IF(B109=" "," ",HYPERLINK(CONCATENATE("#metadata!",ADDRESS(INDEX($P$2:$P$1001,MATCH(ROWS($N$2:N109),$N$2:$N$1001,0),0),1)),INDEX($S$2:$S$1001,MATCH(ROWS($N$2:N109),$N$2:$N$1001,0),0)))</f>
        <v>0</v>
      </c>
      <c r="B109" s="4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4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4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4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4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4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4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4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4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OR(AND(IF(Metadata!C109="",FALSE,TRUE),OR(exact(Metadata!C109,"not applicable"),exact(Metadata!C109,"not collected"),exact(Metadata!C109,"not provided"),exact(Metadata!C109,"restricted access"))),IF(Metadata!C109="",FALSE,ISNUMBER(VALUE(Metadata!C109))))</f>
        <v>0</v>
      </c>
      <c r="W109">
        <f>AND(IF(Metadata!D109="",FALSE,TRUE),exact(Metadata!D109,"m"))</f>
        <v>0</v>
      </c>
      <c r="X109">
        <f>AND(IF(Metadata!E109="",FALSE,TRUE),OR(exact(Metadata!E109,"aerosol (non-saline)"),exact(Metadata!E109,"aerosol (saline)")))</f>
        <v>0</v>
      </c>
      <c r="Y109">
        <f>AND(IF(Metadata!F109="",FALSE,TRUE),exact(Metadata!F109,"air"))</f>
        <v>0</v>
      </c>
      <c r="Z109">
        <f>AND(IF(Metadata!G109="",FALSE,TRUE),exact(Metadata!G109,"air"))</f>
        <v>0</v>
      </c>
      <c r="AA109">
        <f>AND(IF(Metadata!H109="",FALSE,TRUE),exact(Metadata!H109,"air"))</f>
        <v>0</v>
      </c>
      <c r="AB109">
        <f>AND(IF(Metadata!I109="",FALSE,TRUE),exact(Metadata!I109,"air metagenome"))</f>
        <v>0</v>
      </c>
      <c r="AC109">
        <f>AND(IF(Metadata!J109="",FALSE,TRUE),exact(Metadata!J109,"655179"))</f>
        <v>0</v>
      </c>
    </row>
    <row r="110" spans="1:29">
      <c r="A110" s="5">
        <f>IF(B110=" "," ",HYPERLINK(CONCATENATE("#metadata!",ADDRESS(INDEX($P$2:$P$1001,MATCH(ROWS($N$2:N110),$N$2:$N$1001,0),0),1)),INDEX($S$2:$S$1001,MATCH(ROWS($N$2:N110),$N$2:$N$1001,0),0)))</f>
        <v>0</v>
      </c>
      <c r="B110" s="4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4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4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4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4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4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4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4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4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OR(AND(IF(Metadata!C110="",FALSE,TRUE),OR(exact(Metadata!C110,"not applicable"),exact(Metadata!C110,"not collected"),exact(Metadata!C110,"not provided"),exact(Metadata!C110,"restricted access"))),IF(Metadata!C110="",FALSE,ISNUMBER(VALUE(Metadata!C110))))</f>
        <v>0</v>
      </c>
      <c r="W110">
        <f>AND(IF(Metadata!D110="",FALSE,TRUE),exact(Metadata!D110,"m"))</f>
        <v>0</v>
      </c>
      <c r="X110">
        <f>AND(IF(Metadata!E110="",FALSE,TRUE),OR(exact(Metadata!E110,"aerosol (non-saline)"),exact(Metadata!E110,"aerosol (saline)")))</f>
        <v>0</v>
      </c>
      <c r="Y110">
        <f>AND(IF(Metadata!F110="",FALSE,TRUE),exact(Metadata!F110,"air"))</f>
        <v>0</v>
      </c>
      <c r="Z110">
        <f>AND(IF(Metadata!G110="",FALSE,TRUE),exact(Metadata!G110,"air"))</f>
        <v>0</v>
      </c>
      <c r="AA110">
        <f>AND(IF(Metadata!H110="",FALSE,TRUE),exact(Metadata!H110,"air"))</f>
        <v>0</v>
      </c>
      <c r="AB110">
        <f>AND(IF(Metadata!I110="",FALSE,TRUE),exact(Metadata!I110,"air metagenome"))</f>
        <v>0</v>
      </c>
      <c r="AC110">
        <f>AND(IF(Metadata!J110="",FALSE,TRUE),exact(Metadata!J110,"655179"))</f>
        <v>0</v>
      </c>
    </row>
    <row r="111" spans="1:29">
      <c r="A111" s="5">
        <f>IF(B111=" "," ",HYPERLINK(CONCATENATE("#metadata!",ADDRESS(INDEX($P$2:$P$1001,MATCH(ROWS($N$2:N111),$N$2:$N$1001,0),0),1)),INDEX($S$2:$S$1001,MATCH(ROWS($N$2:N111),$N$2:$N$1001,0),0)))</f>
        <v>0</v>
      </c>
      <c r="B111" s="4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4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4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4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4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4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4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4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4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OR(AND(IF(Metadata!C111="",FALSE,TRUE),OR(exact(Metadata!C111,"not applicable"),exact(Metadata!C111,"not collected"),exact(Metadata!C111,"not provided"),exact(Metadata!C111,"restricted access"))),IF(Metadata!C111="",FALSE,ISNUMBER(VALUE(Metadata!C111))))</f>
        <v>0</v>
      </c>
      <c r="W111">
        <f>AND(IF(Metadata!D111="",FALSE,TRUE),exact(Metadata!D111,"m"))</f>
        <v>0</v>
      </c>
      <c r="X111">
        <f>AND(IF(Metadata!E111="",FALSE,TRUE),OR(exact(Metadata!E111,"aerosol (non-saline)"),exact(Metadata!E111,"aerosol (saline)")))</f>
        <v>0</v>
      </c>
      <c r="Y111">
        <f>AND(IF(Metadata!F111="",FALSE,TRUE),exact(Metadata!F111,"air"))</f>
        <v>0</v>
      </c>
      <c r="Z111">
        <f>AND(IF(Metadata!G111="",FALSE,TRUE),exact(Metadata!G111,"air"))</f>
        <v>0</v>
      </c>
      <c r="AA111">
        <f>AND(IF(Metadata!H111="",FALSE,TRUE),exact(Metadata!H111,"air"))</f>
        <v>0</v>
      </c>
      <c r="AB111">
        <f>AND(IF(Metadata!I111="",FALSE,TRUE),exact(Metadata!I111,"air metagenome"))</f>
        <v>0</v>
      </c>
      <c r="AC111">
        <f>AND(IF(Metadata!J111="",FALSE,TRUE),exact(Metadata!J111,"655179"))</f>
        <v>0</v>
      </c>
    </row>
    <row r="112" spans="1:29">
      <c r="A112" s="5">
        <f>IF(B112=" "," ",HYPERLINK(CONCATENATE("#metadata!",ADDRESS(INDEX($P$2:$P$1001,MATCH(ROWS($N$2:N112),$N$2:$N$1001,0),0),1)),INDEX($S$2:$S$1001,MATCH(ROWS($N$2:N112),$N$2:$N$1001,0),0)))</f>
        <v>0</v>
      </c>
      <c r="B112" s="4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4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4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4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4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4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4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4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4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OR(AND(IF(Metadata!C112="",FALSE,TRUE),OR(exact(Metadata!C112,"not applicable"),exact(Metadata!C112,"not collected"),exact(Metadata!C112,"not provided"),exact(Metadata!C112,"restricted access"))),IF(Metadata!C112="",FALSE,ISNUMBER(VALUE(Metadata!C112))))</f>
        <v>0</v>
      </c>
      <c r="W112">
        <f>AND(IF(Metadata!D112="",FALSE,TRUE),exact(Metadata!D112,"m"))</f>
        <v>0</v>
      </c>
      <c r="X112">
        <f>AND(IF(Metadata!E112="",FALSE,TRUE),OR(exact(Metadata!E112,"aerosol (non-saline)"),exact(Metadata!E112,"aerosol (saline)")))</f>
        <v>0</v>
      </c>
      <c r="Y112">
        <f>AND(IF(Metadata!F112="",FALSE,TRUE),exact(Metadata!F112,"air"))</f>
        <v>0</v>
      </c>
      <c r="Z112">
        <f>AND(IF(Metadata!G112="",FALSE,TRUE),exact(Metadata!G112,"air"))</f>
        <v>0</v>
      </c>
      <c r="AA112">
        <f>AND(IF(Metadata!H112="",FALSE,TRUE),exact(Metadata!H112,"air"))</f>
        <v>0</v>
      </c>
      <c r="AB112">
        <f>AND(IF(Metadata!I112="",FALSE,TRUE),exact(Metadata!I112,"air metagenome"))</f>
        <v>0</v>
      </c>
      <c r="AC112">
        <f>AND(IF(Metadata!J112="",FALSE,TRUE),exact(Metadata!J112,"655179"))</f>
        <v>0</v>
      </c>
    </row>
    <row r="113" spans="1:29">
      <c r="A113" s="5">
        <f>IF(B113=" "," ",HYPERLINK(CONCATENATE("#metadata!",ADDRESS(INDEX($P$2:$P$1001,MATCH(ROWS($N$2:N113),$N$2:$N$1001,0),0),1)),INDEX($S$2:$S$1001,MATCH(ROWS($N$2:N113),$N$2:$N$1001,0),0)))</f>
        <v>0</v>
      </c>
      <c r="B113" s="4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4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4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4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4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4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4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4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4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OR(AND(IF(Metadata!C113="",FALSE,TRUE),OR(exact(Metadata!C113,"not applicable"),exact(Metadata!C113,"not collected"),exact(Metadata!C113,"not provided"),exact(Metadata!C113,"restricted access"))),IF(Metadata!C113="",FALSE,ISNUMBER(VALUE(Metadata!C113))))</f>
        <v>0</v>
      </c>
      <c r="W113">
        <f>AND(IF(Metadata!D113="",FALSE,TRUE),exact(Metadata!D113,"m"))</f>
        <v>0</v>
      </c>
      <c r="X113">
        <f>AND(IF(Metadata!E113="",FALSE,TRUE),OR(exact(Metadata!E113,"aerosol (non-saline)"),exact(Metadata!E113,"aerosol (saline)")))</f>
        <v>0</v>
      </c>
      <c r="Y113">
        <f>AND(IF(Metadata!F113="",FALSE,TRUE),exact(Metadata!F113,"air"))</f>
        <v>0</v>
      </c>
      <c r="Z113">
        <f>AND(IF(Metadata!G113="",FALSE,TRUE),exact(Metadata!G113,"air"))</f>
        <v>0</v>
      </c>
      <c r="AA113">
        <f>AND(IF(Metadata!H113="",FALSE,TRUE),exact(Metadata!H113,"air"))</f>
        <v>0</v>
      </c>
      <c r="AB113">
        <f>AND(IF(Metadata!I113="",FALSE,TRUE),exact(Metadata!I113,"air metagenome"))</f>
        <v>0</v>
      </c>
      <c r="AC113">
        <f>AND(IF(Metadata!J113="",FALSE,TRUE),exact(Metadata!J113,"655179"))</f>
        <v>0</v>
      </c>
    </row>
    <row r="114" spans="1:29">
      <c r="A114" s="5">
        <f>IF(B114=" "," ",HYPERLINK(CONCATENATE("#metadata!",ADDRESS(INDEX($P$2:$P$1001,MATCH(ROWS($N$2:N114),$N$2:$N$1001,0),0),1)),INDEX($S$2:$S$1001,MATCH(ROWS($N$2:N114),$N$2:$N$1001,0),0)))</f>
        <v>0</v>
      </c>
      <c r="B114" s="4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4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4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4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4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4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4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4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4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OR(AND(IF(Metadata!C114="",FALSE,TRUE),OR(exact(Metadata!C114,"not applicable"),exact(Metadata!C114,"not collected"),exact(Metadata!C114,"not provided"),exact(Metadata!C114,"restricted access"))),IF(Metadata!C114="",FALSE,ISNUMBER(VALUE(Metadata!C114))))</f>
        <v>0</v>
      </c>
      <c r="W114">
        <f>AND(IF(Metadata!D114="",FALSE,TRUE),exact(Metadata!D114,"m"))</f>
        <v>0</v>
      </c>
      <c r="X114">
        <f>AND(IF(Metadata!E114="",FALSE,TRUE),OR(exact(Metadata!E114,"aerosol (non-saline)"),exact(Metadata!E114,"aerosol (saline)")))</f>
        <v>0</v>
      </c>
      <c r="Y114">
        <f>AND(IF(Metadata!F114="",FALSE,TRUE),exact(Metadata!F114,"air"))</f>
        <v>0</v>
      </c>
      <c r="Z114">
        <f>AND(IF(Metadata!G114="",FALSE,TRUE),exact(Metadata!G114,"air"))</f>
        <v>0</v>
      </c>
      <c r="AA114">
        <f>AND(IF(Metadata!H114="",FALSE,TRUE),exact(Metadata!H114,"air"))</f>
        <v>0</v>
      </c>
      <c r="AB114">
        <f>AND(IF(Metadata!I114="",FALSE,TRUE),exact(Metadata!I114,"air metagenome"))</f>
        <v>0</v>
      </c>
      <c r="AC114">
        <f>AND(IF(Metadata!J114="",FALSE,TRUE),exact(Metadata!J114,"655179"))</f>
        <v>0</v>
      </c>
    </row>
    <row r="115" spans="1:29">
      <c r="A115" s="5">
        <f>IF(B115=" "," ",HYPERLINK(CONCATENATE("#metadata!",ADDRESS(INDEX($P$2:$P$1001,MATCH(ROWS($N$2:N115),$N$2:$N$1001,0),0),1)),INDEX($S$2:$S$1001,MATCH(ROWS($N$2:N115),$N$2:$N$1001,0),0)))</f>
        <v>0</v>
      </c>
      <c r="B115" s="4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4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4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4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4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4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4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4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4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OR(AND(IF(Metadata!C115="",FALSE,TRUE),OR(exact(Metadata!C115,"not applicable"),exact(Metadata!C115,"not collected"),exact(Metadata!C115,"not provided"),exact(Metadata!C115,"restricted access"))),IF(Metadata!C115="",FALSE,ISNUMBER(VALUE(Metadata!C115))))</f>
        <v>0</v>
      </c>
      <c r="W115">
        <f>AND(IF(Metadata!D115="",FALSE,TRUE),exact(Metadata!D115,"m"))</f>
        <v>0</v>
      </c>
      <c r="X115">
        <f>AND(IF(Metadata!E115="",FALSE,TRUE),OR(exact(Metadata!E115,"aerosol (non-saline)"),exact(Metadata!E115,"aerosol (saline)")))</f>
        <v>0</v>
      </c>
      <c r="Y115">
        <f>AND(IF(Metadata!F115="",FALSE,TRUE),exact(Metadata!F115,"air"))</f>
        <v>0</v>
      </c>
      <c r="Z115">
        <f>AND(IF(Metadata!G115="",FALSE,TRUE),exact(Metadata!G115,"air"))</f>
        <v>0</v>
      </c>
      <c r="AA115">
        <f>AND(IF(Metadata!H115="",FALSE,TRUE),exact(Metadata!H115,"air"))</f>
        <v>0</v>
      </c>
      <c r="AB115">
        <f>AND(IF(Metadata!I115="",FALSE,TRUE),exact(Metadata!I115,"air metagenome"))</f>
        <v>0</v>
      </c>
      <c r="AC115">
        <f>AND(IF(Metadata!J115="",FALSE,TRUE),exact(Metadata!J115,"655179"))</f>
        <v>0</v>
      </c>
    </row>
    <row r="116" spans="1:29">
      <c r="A116" s="5">
        <f>IF(B116=" "," ",HYPERLINK(CONCATENATE("#metadata!",ADDRESS(INDEX($P$2:$P$1001,MATCH(ROWS($N$2:N116),$N$2:$N$1001,0),0),1)),INDEX($S$2:$S$1001,MATCH(ROWS($N$2:N116),$N$2:$N$1001,0),0)))</f>
        <v>0</v>
      </c>
      <c r="B116" s="4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4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4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4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4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4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4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4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4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OR(AND(IF(Metadata!C116="",FALSE,TRUE),OR(exact(Metadata!C116,"not applicable"),exact(Metadata!C116,"not collected"),exact(Metadata!C116,"not provided"),exact(Metadata!C116,"restricted access"))),IF(Metadata!C116="",FALSE,ISNUMBER(VALUE(Metadata!C116))))</f>
        <v>0</v>
      </c>
      <c r="W116">
        <f>AND(IF(Metadata!D116="",FALSE,TRUE),exact(Metadata!D116,"m"))</f>
        <v>0</v>
      </c>
      <c r="X116">
        <f>AND(IF(Metadata!E116="",FALSE,TRUE),OR(exact(Metadata!E116,"aerosol (non-saline)"),exact(Metadata!E116,"aerosol (saline)")))</f>
        <v>0</v>
      </c>
      <c r="Y116">
        <f>AND(IF(Metadata!F116="",FALSE,TRUE),exact(Metadata!F116,"air"))</f>
        <v>0</v>
      </c>
      <c r="Z116">
        <f>AND(IF(Metadata!G116="",FALSE,TRUE),exact(Metadata!G116,"air"))</f>
        <v>0</v>
      </c>
      <c r="AA116">
        <f>AND(IF(Metadata!H116="",FALSE,TRUE),exact(Metadata!H116,"air"))</f>
        <v>0</v>
      </c>
      <c r="AB116">
        <f>AND(IF(Metadata!I116="",FALSE,TRUE),exact(Metadata!I116,"air metagenome"))</f>
        <v>0</v>
      </c>
      <c r="AC116">
        <f>AND(IF(Metadata!J116="",FALSE,TRUE),exact(Metadata!J116,"655179"))</f>
        <v>0</v>
      </c>
    </row>
    <row r="117" spans="1:29">
      <c r="A117" s="5">
        <f>IF(B117=" "," ",HYPERLINK(CONCATENATE("#metadata!",ADDRESS(INDEX($P$2:$P$1001,MATCH(ROWS($N$2:N117),$N$2:$N$1001,0),0),1)),INDEX($S$2:$S$1001,MATCH(ROWS($N$2:N117),$N$2:$N$1001,0),0)))</f>
        <v>0</v>
      </c>
      <c r="B117" s="4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4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4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4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4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4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4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4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4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OR(AND(IF(Metadata!C117="",FALSE,TRUE),OR(exact(Metadata!C117,"not applicable"),exact(Metadata!C117,"not collected"),exact(Metadata!C117,"not provided"),exact(Metadata!C117,"restricted access"))),IF(Metadata!C117="",FALSE,ISNUMBER(VALUE(Metadata!C117))))</f>
        <v>0</v>
      </c>
      <c r="W117">
        <f>AND(IF(Metadata!D117="",FALSE,TRUE),exact(Metadata!D117,"m"))</f>
        <v>0</v>
      </c>
      <c r="X117">
        <f>AND(IF(Metadata!E117="",FALSE,TRUE),OR(exact(Metadata!E117,"aerosol (non-saline)"),exact(Metadata!E117,"aerosol (saline)")))</f>
        <v>0</v>
      </c>
      <c r="Y117">
        <f>AND(IF(Metadata!F117="",FALSE,TRUE),exact(Metadata!F117,"air"))</f>
        <v>0</v>
      </c>
      <c r="Z117">
        <f>AND(IF(Metadata!G117="",FALSE,TRUE),exact(Metadata!G117,"air"))</f>
        <v>0</v>
      </c>
      <c r="AA117">
        <f>AND(IF(Metadata!H117="",FALSE,TRUE),exact(Metadata!H117,"air"))</f>
        <v>0</v>
      </c>
      <c r="AB117">
        <f>AND(IF(Metadata!I117="",FALSE,TRUE),exact(Metadata!I117,"air metagenome"))</f>
        <v>0</v>
      </c>
      <c r="AC117">
        <f>AND(IF(Metadata!J117="",FALSE,TRUE),exact(Metadata!J117,"655179"))</f>
        <v>0</v>
      </c>
    </row>
    <row r="118" spans="1:29">
      <c r="A118" s="5">
        <f>IF(B118=" "," ",HYPERLINK(CONCATENATE("#metadata!",ADDRESS(INDEX($P$2:$P$1001,MATCH(ROWS($N$2:N118),$N$2:$N$1001,0),0),1)),INDEX($S$2:$S$1001,MATCH(ROWS($N$2:N118),$N$2:$N$1001,0),0)))</f>
        <v>0</v>
      </c>
      <c r="B118" s="4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4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4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4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4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4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4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4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4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OR(AND(IF(Metadata!C118="",FALSE,TRUE),OR(exact(Metadata!C118,"not applicable"),exact(Metadata!C118,"not collected"),exact(Metadata!C118,"not provided"),exact(Metadata!C118,"restricted access"))),IF(Metadata!C118="",FALSE,ISNUMBER(VALUE(Metadata!C118))))</f>
        <v>0</v>
      </c>
      <c r="W118">
        <f>AND(IF(Metadata!D118="",FALSE,TRUE),exact(Metadata!D118,"m"))</f>
        <v>0</v>
      </c>
      <c r="X118">
        <f>AND(IF(Metadata!E118="",FALSE,TRUE),OR(exact(Metadata!E118,"aerosol (non-saline)"),exact(Metadata!E118,"aerosol (saline)")))</f>
        <v>0</v>
      </c>
      <c r="Y118">
        <f>AND(IF(Metadata!F118="",FALSE,TRUE),exact(Metadata!F118,"air"))</f>
        <v>0</v>
      </c>
      <c r="Z118">
        <f>AND(IF(Metadata!G118="",FALSE,TRUE),exact(Metadata!G118,"air"))</f>
        <v>0</v>
      </c>
      <c r="AA118">
        <f>AND(IF(Metadata!H118="",FALSE,TRUE),exact(Metadata!H118,"air"))</f>
        <v>0</v>
      </c>
      <c r="AB118">
        <f>AND(IF(Metadata!I118="",FALSE,TRUE),exact(Metadata!I118,"air metagenome"))</f>
        <v>0</v>
      </c>
      <c r="AC118">
        <f>AND(IF(Metadata!J118="",FALSE,TRUE),exact(Metadata!J118,"655179"))</f>
        <v>0</v>
      </c>
    </row>
    <row r="119" spans="1:29">
      <c r="A119" s="5">
        <f>IF(B119=" "," ",HYPERLINK(CONCATENATE("#metadata!",ADDRESS(INDEX($P$2:$P$1001,MATCH(ROWS($N$2:N119),$N$2:$N$1001,0),0),1)),INDEX($S$2:$S$1001,MATCH(ROWS($N$2:N119),$N$2:$N$1001,0),0)))</f>
        <v>0</v>
      </c>
      <c r="B119" s="4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4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4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4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4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4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4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4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4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OR(AND(IF(Metadata!C119="",FALSE,TRUE),OR(exact(Metadata!C119,"not applicable"),exact(Metadata!C119,"not collected"),exact(Metadata!C119,"not provided"),exact(Metadata!C119,"restricted access"))),IF(Metadata!C119="",FALSE,ISNUMBER(VALUE(Metadata!C119))))</f>
        <v>0</v>
      </c>
      <c r="W119">
        <f>AND(IF(Metadata!D119="",FALSE,TRUE),exact(Metadata!D119,"m"))</f>
        <v>0</v>
      </c>
      <c r="X119">
        <f>AND(IF(Metadata!E119="",FALSE,TRUE),OR(exact(Metadata!E119,"aerosol (non-saline)"),exact(Metadata!E119,"aerosol (saline)")))</f>
        <v>0</v>
      </c>
      <c r="Y119">
        <f>AND(IF(Metadata!F119="",FALSE,TRUE),exact(Metadata!F119,"air"))</f>
        <v>0</v>
      </c>
      <c r="Z119">
        <f>AND(IF(Metadata!G119="",FALSE,TRUE),exact(Metadata!G119,"air"))</f>
        <v>0</v>
      </c>
      <c r="AA119">
        <f>AND(IF(Metadata!H119="",FALSE,TRUE),exact(Metadata!H119,"air"))</f>
        <v>0</v>
      </c>
      <c r="AB119">
        <f>AND(IF(Metadata!I119="",FALSE,TRUE),exact(Metadata!I119,"air metagenome"))</f>
        <v>0</v>
      </c>
      <c r="AC119">
        <f>AND(IF(Metadata!J119="",FALSE,TRUE),exact(Metadata!J119,"655179"))</f>
        <v>0</v>
      </c>
    </row>
    <row r="120" spans="1:29">
      <c r="A120" s="5">
        <f>IF(B120=" "," ",HYPERLINK(CONCATENATE("#metadata!",ADDRESS(INDEX($P$2:$P$1001,MATCH(ROWS($N$2:N120),$N$2:$N$1001,0),0),1)),INDEX($S$2:$S$1001,MATCH(ROWS($N$2:N120),$N$2:$N$1001,0),0)))</f>
        <v>0</v>
      </c>
      <c r="B120" s="4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4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4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4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4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4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4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4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4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OR(AND(IF(Metadata!C120="",FALSE,TRUE),OR(exact(Metadata!C120,"not applicable"),exact(Metadata!C120,"not collected"),exact(Metadata!C120,"not provided"),exact(Metadata!C120,"restricted access"))),IF(Metadata!C120="",FALSE,ISNUMBER(VALUE(Metadata!C120))))</f>
        <v>0</v>
      </c>
      <c r="W120">
        <f>AND(IF(Metadata!D120="",FALSE,TRUE),exact(Metadata!D120,"m"))</f>
        <v>0</v>
      </c>
      <c r="X120">
        <f>AND(IF(Metadata!E120="",FALSE,TRUE),OR(exact(Metadata!E120,"aerosol (non-saline)"),exact(Metadata!E120,"aerosol (saline)")))</f>
        <v>0</v>
      </c>
      <c r="Y120">
        <f>AND(IF(Metadata!F120="",FALSE,TRUE),exact(Metadata!F120,"air"))</f>
        <v>0</v>
      </c>
      <c r="Z120">
        <f>AND(IF(Metadata!G120="",FALSE,TRUE),exact(Metadata!G120,"air"))</f>
        <v>0</v>
      </c>
      <c r="AA120">
        <f>AND(IF(Metadata!H120="",FALSE,TRUE),exact(Metadata!H120,"air"))</f>
        <v>0</v>
      </c>
      <c r="AB120">
        <f>AND(IF(Metadata!I120="",FALSE,TRUE),exact(Metadata!I120,"air metagenome"))</f>
        <v>0</v>
      </c>
      <c r="AC120">
        <f>AND(IF(Metadata!J120="",FALSE,TRUE),exact(Metadata!J120,"655179"))</f>
        <v>0</v>
      </c>
    </row>
    <row r="121" spans="1:29">
      <c r="A121" s="5">
        <f>IF(B121=" "," ",HYPERLINK(CONCATENATE("#metadata!",ADDRESS(INDEX($P$2:$P$1001,MATCH(ROWS($N$2:N121),$N$2:$N$1001,0),0),1)),INDEX($S$2:$S$1001,MATCH(ROWS($N$2:N121),$N$2:$N$1001,0),0)))</f>
        <v>0</v>
      </c>
      <c r="B121" s="4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4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4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4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4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4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4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4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4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OR(AND(IF(Metadata!C121="",FALSE,TRUE),OR(exact(Metadata!C121,"not applicable"),exact(Metadata!C121,"not collected"),exact(Metadata!C121,"not provided"),exact(Metadata!C121,"restricted access"))),IF(Metadata!C121="",FALSE,ISNUMBER(VALUE(Metadata!C121))))</f>
        <v>0</v>
      </c>
      <c r="W121">
        <f>AND(IF(Metadata!D121="",FALSE,TRUE),exact(Metadata!D121,"m"))</f>
        <v>0</v>
      </c>
      <c r="X121">
        <f>AND(IF(Metadata!E121="",FALSE,TRUE),OR(exact(Metadata!E121,"aerosol (non-saline)"),exact(Metadata!E121,"aerosol (saline)")))</f>
        <v>0</v>
      </c>
      <c r="Y121">
        <f>AND(IF(Metadata!F121="",FALSE,TRUE),exact(Metadata!F121,"air"))</f>
        <v>0</v>
      </c>
      <c r="Z121">
        <f>AND(IF(Metadata!G121="",FALSE,TRUE),exact(Metadata!G121,"air"))</f>
        <v>0</v>
      </c>
      <c r="AA121">
        <f>AND(IF(Metadata!H121="",FALSE,TRUE),exact(Metadata!H121,"air"))</f>
        <v>0</v>
      </c>
      <c r="AB121">
        <f>AND(IF(Metadata!I121="",FALSE,TRUE),exact(Metadata!I121,"air metagenome"))</f>
        <v>0</v>
      </c>
      <c r="AC121">
        <f>AND(IF(Metadata!J121="",FALSE,TRUE),exact(Metadata!J121,"655179"))</f>
        <v>0</v>
      </c>
    </row>
    <row r="122" spans="1:29">
      <c r="A122" s="5">
        <f>IF(B122=" "," ",HYPERLINK(CONCATENATE("#metadata!",ADDRESS(INDEX($P$2:$P$1001,MATCH(ROWS($N$2:N122),$N$2:$N$1001,0),0),1)),INDEX($S$2:$S$1001,MATCH(ROWS($N$2:N122),$N$2:$N$1001,0),0)))</f>
        <v>0</v>
      </c>
      <c r="B122" s="4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4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4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4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4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4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4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4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4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OR(AND(IF(Metadata!C122="",FALSE,TRUE),OR(exact(Metadata!C122,"not applicable"),exact(Metadata!C122,"not collected"),exact(Metadata!C122,"not provided"),exact(Metadata!C122,"restricted access"))),IF(Metadata!C122="",FALSE,ISNUMBER(VALUE(Metadata!C122))))</f>
        <v>0</v>
      </c>
      <c r="W122">
        <f>AND(IF(Metadata!D122="",FALSE,TRUE),exact(Metadata!D122,"m"))</f>
        <v>0</v>
      </c>
      <c r="X122">
        <f>AND(IF(Metadata!E122="",FALSE,TRUE),OR(exact(Metadata!E122,"aerosol (non-saline)"),exact(Metadata!E122,"aerosol (saline)")))</f>
        <v>0</v>
      </c>
      <c r="Y122">
        <f>AND(IF(Metadata!F122="",FALSE,TRUE),exact(Metadata!F122,"air"))</f>
        <v>0</v>
      </c>
      <c r="Z122">
        <f>AND(IF(Metadata!G122="",FALSE,TRUE),exact(Metadata!G122,"air"))</f>
        <v>0</v>
      </c>
      <c r="AA122">
        <f>AND(IF(Metadata!H122="",FALSE,TRUE),exact(Metadata!H122,"air"))</f>
        <v>0</v>
      </c>
      <c r="AB122">
        <f>AND(IF(Metadata!I122="",FALSE,TRUE),exact(Metadata!I122,"air metagenome"))</f>
        <v>0</v>
      </c>
      <c r="AC122">
        <f>AND(IF(Metadata!J122="",FALSE,TRUE),exact(Metadata!J122,"655179"))</f>
        <v>0</v>
      </c>
    </row>
    <row r="123" spans="1:29">
      <c r="A123" s="5">
        <f>IF(B123=" "," ",HYPERLINK(CONCATENATE("#metadata!",ADDRESS(INDEX($P$2:$P$1001,MATCH(ROWS($N$2:N123),$N$2:$N$1001,0),0),1)),INDEX($S$2:$S$1001,MATCH(ROWS($N$2:N123),$N$2:$N$1001,0),0)))</f>
        <v>0</v>
      </c>
      <c r="B123" s="4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4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4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4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4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4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4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4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4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OR(AND(IF(Metadata!C123="",FALSE,TRUE),OR(exact(Metadata!C123,"not applicable"),exact(Metadata!C123,"not collected"),exact(Metadata!C123,"not provided"),exact(Metadata!C123,"restricted access"))),IF(Metadata!C123="",FALSE,ISNUMBER(VALUE(Metadata!C123))))</f>
        <v>0</v>
      </c>
      <c r="W123">
        <f>AND(IF(Metadata!D123="",FALSE,TRUE),exact(Metadata!D123,"m"))</f>
        <v>0</v>
      </c>
      <c r="X123">
        <f>AND(IF(Metadata!E123="",FALSE,TRUE),OR(exact(Metadata!E123,"aerosol (non-saline)"),exact(Metadata!E123,"aerosol (saline)")))</f>
        <v>0</v>
      </c>
      <c r="Y123">
        <f>AND(IF(Metadata!F123="",FALSE,TRUE),exact(Metadata!F123,"air"))</f>
        <v>0</v>
      </c>
      <c r="Z123">
        <f>AND(IF(Metadata!G123="",FALSE,TRUE),exact(Metadata!G123,"air"))</f>
        <v>0</v>
      </c>
      <c r="AA123">
        <f>AND(IF(Metadata!H123="",FALSE,TRUE),exact(Metadata!H123,"air"))</f>
        <v>0</v>
      </c>
      <c r="AB123">
        <f>AND(IF(Metadata!I123="",FALSE,TRUE),exact(Metadata!I123,"air metagenome"))</f>
        <v>0</v>
      </c>
      <c r="AC123">
        <f>AND(IF(Metadata!J123="",FALSE,TRUE),exact(Metadata!J123,"655179"))</f>
        <v>0</v>
      </c>
    </row>
    <row r="124" spans="1:29">
      <c r="A124" s="5">
        <f>IF(B124=" "," ",HYPERLINK(CONCATENATE("#metadata!",ADDRESS(INDEX($P$2:$P$1001,MATCH(ROWS($N$2:N124),$N$2:$N$1001,0),0),1)),INDEX($S$2:$S$1001,MATCH(ROWS($N$2:N124),$N$2:$N$1001,0),0)))</f>
        <v>0</v>
      </c>
      <c r="B124" s="4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4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4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4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4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4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4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4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4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OR(AND(IF(Metadata!C124="",FALSE,TRUE),OR(exact(Metadata!C124,"not applicable"),exact(Metadata!C124,"not collected"),exact(Metadata!C124,"not provided"),exact(Metadata!C124,"restricted access"))),IF(Metadata!C124="",FALSE,ISNUMBER(VALUE(Metadata!C124))))</f>
        <v>0</v>
      </c>
      <c r="W124">
        <f>AND(IF(Metadata!D124="",FALSE,TRUE),exact(Metadata!D124,"m"))</f>
        <v>0</v>
      </c>
      <c r="X124">
        <f>AND(IF(Metadata!E124="",FALSE,TRUE),OR(exact(Metadata!E124,"aerosol (non-saline)"),exact(Metadata!E124,"aerosol (saline)")))</f>
        <v>0</v>
      </c>
      <c r="Y124">
        <f>AND(IF(Metadata!F124="",FALSE,TRUE),exact(Metadata!F124,"air"))</f>
        <v>0</v>
      </c>
      <c r="Z124">
        <f>AND(IF(Metadata!G124="",FALSE,TRUE),exact(Metadata!G124,"air"))</f>
        <v>0</v>
      </c>
      <c r="AA124">
        <f>AND(IF(Metadata!H124="",FALSE,TRUE),exact(Metadata!H124,"air"))</f>
        <v>0</v>
      </c>
      <c r="AB124">
        <f>AND(IF(Metadata!I124="",FALSE,TRUE),exact(Metadata!I124,"air metagenome"))</f>
        <v>0</v>
      </c>
      <c r="AC124">
        <f>AND(IF(Metadata!J124="",FALSE,TRUE),exact(Metadata!J124,"655179"))</f>
        <v>0</v>
      </c>
    </row>
    <row r="125" spans="1:29">
      <c r="A125" s="5">
        <f>IF(B125=" "," ",HYPERLINK(CONCATENATE("#metadata!",ADDRESS(INDEX($P$2:$P$1001,MATCH(ROWS($N$2:N125),$N$2:$N$1001,0),0),1)),INDEX($S$2:$S$1001,MATCH(ROWS($N$2:N125),$N$2:$N$1001,0),0)))</f>
        <v>0</v>
      </c>
      <c r="B125" s="4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4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4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4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4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4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4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4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4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OR(AND(IF(Metadata!C125="",FALSE,TRUE),OR(exact(Metadata!C125,"not applicable"),exact(Metadata!C125,"not collected"),exact(Metadata!C125,"not provided"),exact(Metadata!C125,"restricted access"))),IF(Metadata!C125="",FALSE,ISNUMBER(VALUE(Metadata!C125))))</f>
        <v>0</v>
      </c>
      <c r="W125">
        <f>AND(IF(Metadata!D125="",FALSE,TRUE),exact(Metadata!D125,"m"))</f>
        <v>0</v>
      </c>
      <c r="X125">
        <f>AND(IF(Metadata!E125="",FALSE,TRUE),OR(exact(Metadata!E125,"aerosol (non-saline)"),exact(Metadata!E125,"aerosol (saline)")))</f>
        <v>0</v>
      </c>
      <c r="Y125">
        <f>AND(IF(Metadata!F125="",FALSE,TRUE),exact(Metadata!F125,"air"))</f>
        <v>0</v>
      </c>
      <c r="Z125">
        <f>AND(IF(Metadata!G125="",FALSE,TRUE),exact(Metadata!G125,"air"))</f>
        <v>0</v>
      </c>
      <c r="AA125">
        <f>AND(IF(Metadata!H125="",FALSE,TRUE),exact(Metadata!H125,"air"))</f>
        <v>0</v>
      </c>
      <c r="AB125">
        <f>AND(IF(Metadata!I125="",FALSE,TRUE),exact(Metadata!I125,"air metagenome"))</f>
        <v>0</v>
      </c>
      <c r="AC125">
        <f>AND(IF(Metadata!J125="",FALSE,TRUE),exact(Metadata!J125,"655179"))</f>
        <v>0</v>
      </c>
    </row>
    <row r="126" spans="1:29">
      <c r="A126" s="5">
        <f>IF(B126=" "," ",HYPERLINK(CONCATENATE("#metadata!",ADDRESS(INDEX($P$2:$P$1001,MATCH(ROWS($N$2:N126),$N$2:$N$1001,0),0),1)),INDEX($S$2:$S$1001,MATCH(ROWS($N$2:N126),$N$2:$N$1001,0),0)))</f>
        <v>0</v>
      </c>
      <c r="B126" s="4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4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4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4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4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4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4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4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4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OR(AND(IF(Metadata!C126="",FALSE,TRUE),OR(exact(Metadata!C126,"not applicable"),exact(Metadata!C126,"not collected"),exact(Metadata!C126,"not provided"),exact(Metadata!C126,"restricted access"))),IF(Metadata!C126="",FALSE,ISNUMBER(VALUE(Metadata!C126))))</f>
        <v>0</v>
      </c>
      <c r="W126">
        <f>AND(IF(Metadata!D126="",FALSE,TRUE),exact(Metadata!D126,"m"))</f>
        <v>0</v>
      </c>
      <c r="X126">
        <f>AND(IF(Metadata!E126="",FALSE,TRUE),OR(exact(Metadata!E126,"aerosol (non-saline)"),exact(Metadata!E126,"aerosol (saline)")))</f>
        <v>0</v>
      </c>
      <c r="Y126">
        <f>AND(IF(Metadata!F126="",FALSE,TRUE),exact(Metadata!F126,"air"))</f>
        <v>0</v>
      </c>
      <c r="Z126">
        <f>AND(IF(Metadata!G126="",FALSE,TRUE),exact(Metadata!G126,"air"))</f>
        <v>0</v>
      </c>
      <c r="AA126">
        <f>AND(IF(Metadata!H126="",FALSE,TRUE),exact(Metadata!H126,"air"))</f>
        <v>0</v>
      </c>
      <c r="AB126">
        <f>AND(IF(Metadata!I126="",FALSE,TRUE),exact(Metadata!I126,"air metagenome"))</f>
        <v>0</v>
      </c>
      <c r="AC126">
        <f>AND(IF(Metadata!J126="",FALSE,TRUE),exact(Metadata!J126,"655179"))</f>
        <v>0</v>
      </c>
    </row>
    <row r="127" spans="1:29">
      <c r="A127" s="5">
        <f>IF(B127=" "," ",HYPERLINK(CONCATENATE("#metadata!",ADDRESS(INDEX($P$2:$P$1001,MATCH(ROWS($N$2:N127),$N$2:$N$1001,0),0),1)),INDEX($S$2:$S$1001,MATCH(ROWS($N$2:N127),$N$2:$N$1001,0),0)))</f>
        <v>0</v>
      </c>
      <c r="B127" s="4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4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4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4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4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4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4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4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4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OR(AND(IF(Metadata!C127="",FALSE,TRUE),OR(exact(Metadata!C127,"not applicable"),exact(Metadata!C127,"not collected"),exact(Metadata!C127,"not provided"),exact(Metadata!C127,"restricted access"))),IF(Metadata!C127="",FALSE,ISNUMBER(VALUE(Metadata!C127))))</f>
        <v>0</v>
      </c>
      <c r="W127">
        <f>AND(IF(Metadata!D127="",FALSE,TRUE),exact(Metadata!D127,"m"))</f>
        <v>0</v>
      </c>
      <c r="X127">
        <f>AND(IF(Metadata!E127="",FALSE,TRUE),OR(exact(Metadata!E127,"aerosol (non-saline)"),exact(Metadata!E127,"aerosol (saline)")))</f>
        <v>0</v>
      </c>
      <c r="Y127">
        <f>AND(IF(Metadata!F127="",FALSE,TRUE),exact(Metadata!F127,"air"))</f>
        <v>0</v>
      </c>
      <c r="Z127">
        <f>AND(IF(Metadata!G127="",FALSE,TRUE),exact(Metadata!G127,"air"))</f>
        <v>0</v>
      </c>
      <c r="AA127">
        <f>AND(IF(Metadata!H127="",FALSE,TRUE),exact(Metadata!H127,"air"))</f>
        <v>0</v>
      </c>
      <c r="AB127">
        <f>AND(IF(Metadata!I127="",FALSE,TRUE),exact(Metadata!I127,"air metagenome"))</f>
        <v>0</v>
      </c>
      <c r="AC127">
        <f>AND(IF(Metadata!J127="",FALSE,TRUE),exact(Metadata!J127,"655179"))</f>
        <v>0</v>
      </c>
    </row>
    <row r="128" spans="1:29">
      <c r="A128" s="5">
        <f>IF(B128=" "," ",HYPERLINK(CONCATENATE("#metadata!",ADDRESS(INDEX($P$2:$P$1001,MATCH(ROWS($N$2:N128),$N$2:$N$1001,0),0),1)),INDEX($S$2:$S$1001,MATCH(ROWS($N$2:N128),$N$2:$N$1001,0),0)))</f>
        <v>0</v>
      </c>
      <c r="B128" s="4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4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4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4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4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4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4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4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4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OR(AND(IF(Metadata!C128="",FALSE,TRUE),OR(exact(Metadata!C128,"not applicable"),exact(Metadata!C128,"not collected"),exact(Metadata!C128,"not provided"),exact(Metadata!C128,"restricted access"))),IF(Metadata!C128="",FALSE,ISNUMBER(VALUE(Metadata!C128))))</f>
        <v>0</v>
      </c>
      <c r="W128">
        <f>AND(IF(Metadata!D128="",FALSE,TRUE),exact(Metadata!D128,"m"))</f>
        <v>0</v>
      </c>
      <c r="X128">
        <f>AND(IF(Metadata!E128="",FALSE,TRUE),OR(exact(Metadata!E128,"aerosol (non-saline)"),exact(Metadata!E128,"aerosol (saline)")))</f>
        <v>0</v>
      </c>
      <c r="Y128">
        <f>AND(IF(Metadata!F128="",FALSE,TRUE),exact(Metadata!F128,"air"))</f>
        <v>0</v>
      </c>
      <c r="Z128">
        <f>AND(IF(Metadata!G128="",FALSE,TRUE),exact(Metadata!G128,"air"))</f>
        <v>0</v>
      </c>
      <c r="AA128">
        <f>AND(IF(Metadata!H128="",FALSE,TRUE),exact(Metadata!H128,"air"))</f>
        <v>0</v>
      </c>
      <c r="AB128">
        <f>AND(IF(Metadata!I128="",FALSE,TRUE),exact(Metadata!I128,"air metagenome"))</f>
        <v>0</v>
      </c>
      <c r="AC128">
        <f>AND(IF(Metadata!J128="",FALSE,TRUE),exact(Metadata!J128,"655179"))</f>
        <v>0</v>
      </c>
    </row>
    <row r="129" spans="1:29">
      <c r="A129" s="5">
        <f>IF(B129=" "," ",HYPERLINK(CONCATENATE("#metadata!",ADDRESS(INDEX($P$2:$P$1001,MATCH(ROWS($N$2:N129),$N$2:$N$1001,0),0),1)),INDEX($S$2:$S$1001,MATCH(ROWS($N$2:N129),$N$2:$N$1001,0),0)))</f>
        <v>0</v>
      </c>
      <c r="B129" s="4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4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4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4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4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4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4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4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4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OR(AND(IF(Metadata!C129="",FALSE,TRUE),OR(exact(Metadata!C129,"not applicable"),exact(Metadata!C129,"not collected"),exact(Metadata!C129,"not provided"),exact(Metadata!C129,"restricted access"))),IF(Metadata!C129="",FALSE,ISNUMBER(VALUE(Metadata!C129))))</f>
        <v>0</v>
      </c>
      <c r="W129">
        <f>AND(IF(Metadata!D129="",FALSE,TRUE),exact(Metadata!D129,"m"))</f>
        <v>0</v>
      </c>
      <c r="X129">
        <f>AND(IF(Metadata!E129="",FALSE,TRUE),OR(exact(Metadata!E129,"aerosol (non-saline)"),exact(Metadata!E129,"aerosol (saline)")))</f>
        <v>0</v>
      </c>
      <c r="Y129">
        <f>AND(IF(Metadata!F129="",FALSE,TRUE),exact(Metadata!F129,"air"))</f>
        <v>0</v>
      </c>
      <c r="Z129">
        <f>AND(IF(Metadata!G129="",FALSE,TRUE),exact(Metadata!G129,"air"))</f>
        <v>0</v>
      </c>
      <c r="AA129">
        <f>AND(IF(Metadata!H129="",FALSE,TRUE),exact(Metadata!H129,"air"))</f>
        <v>0</v>
      </c>
      <c r="AB129">
        <f>AND(IF(Metadata!I129="",FALSE,TRUE),exact(Metadata!I129,"air metagenome"))</f>
        <v>0</v>
      </c>
      <c r="AC129">
        <f>AND(IF(Metadata!J129="",FALSE,TRUE),exact(Metadata!J129,"655179"))</f>
        <v>0</v>
      </c>
    </row>
    <row r="130" spans="1:29">
      <c r="A130" s="5">
        <f>IF(B130=" "," ",HYPERLINK(CONCATENATE("#metadata!",ADDRESS(INDEX($P$2:$P$1001,MATCH(ROWS($N$2:N130),$N$2:$N$1001,0),0),1)),INDEX($S$2:$S$1001,MATCH(ROWS($N$2:N130),$N$2:$N$1001,0),0)))</f>
        <v>0</v>
      </c>
      <c r="B130" s="4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4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4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4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4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4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4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4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4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OR(AND(IF(Metadata!C130="",FALSE,TRUE),OR(exact(Metadata!C130,"not applicable"),exact(Metadata!C130,"not collected"),exact(Metadata!C130,"not provided"),exact(Metadata!C130,"restricted access"))),IF(Metadata!C130="",FALSE,ISNUMBER(VALUE(Metadata!C130))))</f>
        <v>0</v>
      </c>
      <c r="W130">
        <f>AND(IF(Metadata!D130="",FALSE,TRUE),exact(Metadata!D130,"m"))</f>
        <v>0</v>
      </c>
      <c r="X130">
        <f>AND(IF(Metadata!E130="",FALSE,TRUE),OR(exact(Metadata!E130,"aerosol (non-saline)"),exact(Metadata!E130,"aerosol (saline)")))</f>
        <v>0</v>
      </c>
      <c r="Y130">
        <f>AND(IF(Metadata!F130="",FALSE,TRUE),exact(Metadata!F130,"air"))</f>
        <v>0</v>
      </c>
      <c r="Z130">
        <f>AND(IF(Metadata!G130="",FALSE,TRUE),exact(Metadata!G130,"air"))</f>
        <v>0</v>
      </c>
      <c r="AA130">
        <f>AND(IF(Metadata!H130="",FALSE,TRUE),exact(Metadata!H130,"air"))</f>
        <v>0</v>
      </c>
      <c r="AB130">
        <f>AND(IF(Metadata!I130="",FALSE,TRUE),exact(Metadata!I130,"air metagenome"))</f>
        <v>0</v>
      </c>
      <c r="AC130">
        <f>AND(IF(Metadata!J130="",FALSE,TRUE),exact(Metadata!J130,"655179"))</f>
        <v>0</v>
      </c>
    </row>
    <row r="131" spans="1:29">
      <c r="A131" s="5">
        <f>IF(B131=" "," ",HYPERLINK(CONCATENATE("#metadata!",ADDRESS(INDEX($P$2:$P$1001,MATCH(ROWS($N$2:N131),$N$2:$N$1001,0),0),1)),INDEX($S$2:$S$1001,MATCH(ROWS($N$2:N131),$N$2:$N$1001,0),0)))</f>
        <v>0</v>
      </c>
      <c r="B131" s="4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4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4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4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4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4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4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4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4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OR(AND(IF(Metadata!C131="",FALSE,TRUE),OR(exact(Metadata!C131,"not applicable"),exact(Metadata!C131,"not collected"),exact(Metadata!C131,"not provided"),exact(Metadata!C131,"restricted access"))),IF(Metadata!C131="",FALSE,ISNUMBER(VALUE(Metadata!C131))))</f>
        <v>0</v>
      </c>
      <c r="W131">
        <f>AND(IF(Metadata!D131="",FALSE,TRUE),exact(Metadata!D131,"m"))</f>
        <v>0</v>
      </c>
      <c r="X131">
        <f>AND(IF(Metadata!E131="",FALSE,TRUE),OR(exact(Metadata!E131,"aerosol (non-saline)"),exact(Metadata!E131,"aerosol (saline)")))</f>
        <v>0</v>
      </c>
      <c r="Y131">
        <f>AND(IF(Metadata!F131="",FALSE,TRUE),exact(Metadata!F131,"air"))</f>
        <v>0</v>
      </c>
      <c r="Z131">
        <f>AND(IF(Metadata!G131="",FALSE,TRUE),exact(Metadata!G131,"air"))</f>
        <v>0</v>
      </c>
      <c r="AA131">
        <f>AND(IF(Metadata!H131="",FALSE,TRUE),exact(Metadata!H131,"air"))</f>
        <v>0</v>
      </c>
      <c r="AB131">
        <f>AND(IF(Metadata!I131="",FALSE,TRUE),exact(Metadata!I131,"air metagenome"))</f>
        <v>0</v>
      </c>
      <c r="AC131">
        <f>AND(IF(Metadata!J131="",FALSE,TRUE),exact(Metadata!J131,"655179"))</f>
        <v>0</v>
      </c>
    </row>
    <row r="132" spans="1:29">
      <c r="A132" s="5">
        <f>IF(B132=" "," ",HYPERLINK(CONCATENATE("#metadata!",ADDRESS(INDEX($P$2:$P$1001,MATCH(ROWS($N$2:N132),$N$2:$N$1001,0),0),1)),INDEX($S$2:$S$1001,MATCH(ROWS($N$2:N132),$N$2:$N$1001,0),0)))</f>
        <v>0</v>
      </c>
      <c r="B132" s="4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4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4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4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4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4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4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4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4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OR(AND(IF(Metadata!C132="",FALSE,TRUE),OR(exact(Metadata!C132,"not applicable"),exact(Metadata!C132,"not collected"),exact(Metadata!C132,"not provided"),exact(Metadata!C132,"restricted access"))),IF(Metadata!C132="",FALSE,ISNUMBER(VALUE(Metadata!C132))))</f>
        <v>0</v>
      </c>
      <c r="W132">
        <f>AND(IF(Metadata!D132="",FALSE,TRUE),exact(Metadata!D132,"m"))</f>
        <v>0</v>
      </c>
      <c r="X132">
        <f>AND(IF(Metadata!E132="",FALSE,TRUE),OR(exact(Metadata!E132,"aerosol (non-saline)"),exact(Metadata!E132,"aerosol (saline)")))</f>
        <v>0</v>
      </c>
      <c r="Y132">
        <f>AND(IF(Metadata!F132="",FALSE,TRUE),exact(Metadata!F132,"air"))</f>
        <v>0</v>
      </c>
      <c r="Z132">
        <f>AND(IF(Metadata!G132="",FALSE,TRUE),exact(Metadata!G132,"air"))</f>
        <v>0</v>
      </c>
      <c r="AA132">
        <f>AND(IF(Metadata!H132="",FALSE,TRUE),exact(Metadata!H132,"air"))</f>
        <v>0</v>
      </c>
      <c r="AB132">
        <f>AND(IF(Metadata!I132="",FALSE,TRUE),exact(Metadata!I132,"air metagenome"))</f>
        <v>0</v>
      </c>
      <c r="AC132">
        <f>AND(IF(Metadata!J132="",FALSE,TRUE),exact(Metadata!J132,"655179"))</f>
        <v>0</v>
      </c>
    </row>
    <row r="133" spans="1:29">
      <c r="A133" s="5">
        <f>IF(B133=" "," ",HYPERLINK(CONCATENATE("#metadata!",ADDRESS(INDEX($P$2:$P$1001,MATCH(ROWS($N$2:N133),$N$2:$N$1001,0),0),1)),INDEX($S$2:$S$1001,MATCH(ROWS($N$2:N133),$N$2:$N$1001,0),0)))</f>
        <v>0</v>
      </c>
      <c r="B133" s="4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4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4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4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4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4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4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4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4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OR(AND(IF(Metadata!C133="",FALSE,TRUE),OR(exact(Metadata!C133,"not applicable"),exact(Metadata!C133,"not collected"),exact(Metadata!C133,"not provided"),exact(Metadata!C133,"restricted access"))),IF(Metadata!C133="",FALSE,ISNUMBER(VALUE(Metadata!C133))))</f>
        <v>0</v>
      </c>
      <c r="W133">
        <f>AND(IF(Metadata!D133="",FALSE,TRUE),exact(Metadata!D133,"m"))</f>
        <v>0</v>
      </c>
      <c r="X133">
        <f>AND(IF(Metadata!E133="",FALSE,TRUE),OR(exact(Metadata!E133,"aerosol (non-saline)"),exact(Metadata!E133,"aerosol (saline)")))</f>
        <v>0</v>
      </c>
      <c r="Y133">
        <f>AND(IF(Metadata!F133="",FALSE,TRUE),exact(Metadata!F133,"air"))</f>
        <v>0</v>
      </c>
      <c r="Z133">
        <f>AND(IF(Metadata!G133="",FALSE,TRUE),exact(Metadata!G133,"air"))</f>
        <v>0</v>
      </c>
      <c r="AA133">
        <f>AND(IF(Metadata!H133="",FALSE,TRUE),exact(Metadata!H133,"air"))</f>
        <v>0</v>
      </c>
      <c r="AB133">
        <f>AND(IF(Metadata!I133="",FALSE,TRUE),exact(Metadata!I133,"air metagenome"))</f>
        <v>0</v>
      </c>
      <c r="AC133">
        <f>AND(IF(Metadata!J133="",FALSE,TRUE),exact(Metadata!J133,"655179"))</f>
        <v>0</v>
      </c>
    </row>
    <row r="134" spans="1:29">
      <c r="A134" s="5">
        <f>IF(B134=" "," ",HYPERLINK(CONCATENATE("#metadata!",ADDRESS(INDEX($P$2:$P$1001,MATCH(ROWS($N$2:N134),$N$2:$N$1001,0),0),1)),INDEX($S$2:$S$1001,MATCH(ROWS($N$2:N134),$N$2:$N$1001,0),0)))</f>
        <v>0</v>
      </c>
      <c r="B134" s="4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4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4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4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4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4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4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4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4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OR(AND(IF(Metadata!C134="",FALSE,TRUE),OR(exact(Metadata!C134,"not applicable"),exact(Metadata!C134,"not collected"),exact(Metadata!C134,"not provided"),exact(Metadata!C134,"restricted access"))),IF(Metadata!C134="",FALSE,ISNUMBER(VALUE(Metadata!C134))))</f>
        <v>0</v>
      </c>
      <c r="W134">
        <f>AND(IF(Metadata!D134="",FALSE,TRUE),exact(Metadata!D134,"m"))</f>
        <v>0</v>
      </c>
      <c r="X134">
        <f>AND(IF(Metadata!E134="",FALSE,TRUE),OR(exact(Metadata!E134,"aerosol (non-saline)"),exact(Metadata!E134,"aerosol (saline)")))</f>
        <v>0</v>
      </c>
      <c r="Y134">
        <f>AND(IF(Metadata!F134="",FALSE,TRUE),exact(Metadata!F134,"air"))</f>
        <v>0</v>
      </c>
      <c r="Z134">
        <f>AND(IF(Metadata!G134="",FALSE,TRUE),exact(Metadata!G134,"air"))</f>
        <v>0</v>
      </c>
      <c r="AA134">
        <f>AND(IF(Metadata!H134="",FALSE,TRUE),exact(Metadata!H134,"air"))</f>
        <v>0</v>
      </c>
      <c r="AB134">
        <f>AND(IF(Metadata!I134="",FALSE,TRUE),exact(Metadata!I134,"air metagenome"))</f>
        <v>0</v>
      </c>
      <c r="AC134">
        <f>AND(IF(Metadata!J134="",FALSE,TRUE),exact(Metadata!J134,"655179"))</f>
        <v>0</v>
      </c>
    </row>
    <row r="135" spans="1:29">
      <c r="A135" s="5">
        <f>IF(B135=" "," ",HYPERLINK(CONCATENATE("#metadata!",ADDRESS(INDEX($P$2:$P$1001,MATCH(ROWS($N$2:N135),$N$2:$N$1001,0),0),1)),INDEX($S$2:$S$1001,MATCH(ROWS($N$2:N135),$N$2:$N$1001,0),0)))</f>
        <v>0</v>
      </c>
      <c r="B135" s="4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4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4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4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4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4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4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4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4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OR(AND(IF(Metadata!C135="",FALSE,TRUE),OR(exact(Metadata!C135,"not applicable"),exact(Metadata!C135,"not collected"),exact(Metadata!C135,"not provided"),exact(Metadata!C135,"restricted access"))),IF(Metadata!C135="",FALSE,ISNUMBER(VALUE(Metadata!C135))))</f>
        <v>0</v>
      </c>
      <c r="W135">
        <f>AND(IF(Metadata!D135="",FALSE,TRUE),exact(Metadata!D135,"m"))</f>
        <v>0</v>
      </c>
      <c r="X135">
        <f>AND(IF(Metadata!E135="",FALSE,TRUE),OR(exact(Metadata!E135,"aerosol (non-saline)"),exact(Metadata!E135,"aerosol (saline)")))</f>
        <v>0</v>
      </c>
      <c r="Y135">
        <f>AND(IF(Metadata!F135="",FALSE,TRUE),exact(Metadata!F135,"air"))</f>
        <v>0</v>
      </c>
      <c r="Z135">
        <f>AND(IF(Metadata!G135="",FALSE,TRUE),exact(Metadata!G135,"air"))</f>
        <v>0</v>
      </c>
      <c r="AA135">
        <f>AND(IF(Metadata!H135="",FALSE,TRUE),exact(Metadata!H135,"air"))</f>
        <v>0</v>
      </c>
      <c r="AB135">
        <f>AND(IF(Metadata!I135="",FALSE,TRUE),exact(Metadata!I135,"air metagenome"))</f>
        <v>0</v>
      </c>
      <c r="AC135">
        <f>AND(IF(Metadata!J135="",FALSE,TRUE),exact(Metadata!J135,"655179"))</f>
        <v>0</v>
      </c>
    </row>
    <row r="136" spans="1:29">
      <c r="A136" s="5">
        <f>IF(B136=" "," ",HYPERLINK(CONCATENATE("#metadata!",ADDRESS(INDEX($P$2:$P$1001,MATCH(ROWS($N$2:N136),$N$2:$N$1001,0),0),1)),INDEX($S$2:$S$1001,MATCH(ROWS($N$2:N136),$N$2:$N$1001,0),0)))</f>
        <v>0</v>
      </c>
      <c r="B136" s="4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4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4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4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4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4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4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4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4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OR(AND(IF(Metadata!C136="",FALSE,TRUE),OR(exact(Metadata!C136,"not applicable"),exact(Metadata!C136,"not collected"),exact(Metadata!C136,"not provided"),exact(Metadata!C136,"restricted access"))),IF(Metadata!C136="",FALSE,ISNUMBER(VALUE(Metadata!C136))))</f>
        <v>0</v>
      </c>
      <c r="W136">
        <f>AND(IF(Metadata!D136="",FALSE,TRUE),exact(Metadata!D136,"m"))</f>
        <v>0</v>
      </c>
      <c r="X136">
        <f>AND(IF(Metadata!E136="",FALSE,TRUE),OR(exact(Metadata!E136,"aerosol (non-saline)"),exact(Metadata!E136,"aerosol (saline)")))</f>
        <v>0</v>
      </c>
      <c r="Y136">
        <f>AND(IF(Metadata!F136="",FALSE,TRUE),exact(Metadata!F136,"air"))</f>
        <v>0</v>
      </c>
      <c r="Z136">
        <f>AND(IF(Metadata!G136="",FALSE,TRUE),exact(Metadata!G136,"air"))</f>
        <v>0</v>
      </c>
      <c r="AA136">
        <f>AND(IF(Metadata!H136="",FALSE,TRUE),exact(Metadata!H136,"air"))</f>
        <v>0</v>
      </c>
      <c r="AB136">
        <f>AND(IF(Metadata!I136="",FALSE,TRUE),exact(Metadata!I136,"air metagenome"))</f>
        <v>0</v>
      </c>
      <c r="AC136">
        <f>AND(IF(Metadata!J136="",FALSE,TRUE),exact(Metadata!J136,"655179"))</f>
        <v>0</v>
      </c>
    </row>
    <row r="137" spans="1:29">
      <c r="A137" s="5">
        <f>IF(B137=" "," ",HYPERLINK(CONCATENATE("#metadata!",ADDRESS(INDEX($P$2:$P$1001,MATCH(ROWS($N$2:N137),$N$2:$N$1001,0),0),1)),INDEX($S$2:$S$1001,MATCH(ROWS($N$2:N137),$N$2:$N$1001,0),0)))</f>
        <v>0</v>
      </c>
      <c r="B137" s="4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4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4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4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4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4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4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4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4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OR(AND(IF(Metadata!C137="",FALSE,TRUE),OR(exact(Metadata!C137,"not applicable"),exact(Metadata!C137,"not collected"),exact(Metadata!C137,"not provided"),exact(Metadata!C137,"restricted access"))),IF(Metadata!C137="",FALSE,ISNUMBER(VALUE(Metadata!C137))))</f>
        <v>0</v>
      </c>
      <c r="W137">
        <f>AND(IF(Metadata!D137="",FALSE,TRUE),exact(Metadata!D137,"m"))</f>
        <v>0</v>
      </c>
      <c r="X137">
        <f>AND(IF(Metadata!E137="",FALSE,TRUE),OR(exact(Metadata!E137,"aerosol (non-saline)"),exact(Metadata!E137,"aerosol (saline)")))</f>
        <v>0</v>
      </c>
      <c r="Y137">
        <f>AND(IF(Metadata!F137="",FALSE,TRUE),exact(Metadata!F137,"air"))</f>
        <v>0</v>
      </c>
      <c r="Z137">
        <f>AND(IF(Metadata!G137="",FALSE,TRUE),exact(Metadata!G137,"air"))</f>
        <v>0</v>
      </c>
      <c r="AA137">
        <f>AND(IF(Metadata!H137="",FALSE,TRUE),exact(Metadata!H137,"air"))</f>
        <v>0</v>
      </c>
      <c r="AB137">
        <f>AND(IF(Metadata!I137="",FALSE,TRUE),exact(Metadata!I137,"air metagenome"))</f>
        <v>0</v>
      </c>
      <c r="AC137">
        <f>AND(IF(Metadata!J137="",FALSE,TRUE),exact(Metadata!J137,"655179"))</f>
        <v>0</v>
      </c>
    </row>
    <row r="138" spans="1:29">
      <c r="A138" s="5">
        <f>IF(B138=" "," ",HYPERLINK(CONCATENATE("#metadata!",ADDRESS(INDEX($P$2:$P$1001,MATCH(ROWS($N$2:N138),$N$2:$N$1001,0),0),1)),INDEX($S$2:$S$1001,MATCH(ROWS($N$2:N138),$N$2:$N$1001,0),0)))</f>
        <v>0</v>
      </c>
      <c r="B138" s="4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4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4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4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4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4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4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4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4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OR(AND(IF(Metadata!C138="",FALSE,TRUE),OR(exact(Metadata!C138,"not applicable"),exact(Metadata!C138,"not collected"),exact(Metadata!C138,"not provided"),exact(Metadata!C138,"restricted access"))),IF(Metadata!C138="",FALSE,ISNUMBER(VALUE(Metadata!C138))))</f>
        <v>0</v>
      </c>
      <c r="W138">
        <f>AND(IF(Metadata!D138="",FALSE,TRUE),exact(Metadata!D138,"m"))</f>
        <v>0</v>
      </c>
      <c r="X138">
        <f>AND(IF(Metadata!E138="",FALSE,TRUE),OR(exact(Metadata!E138,"aerosol (non-saline)"),exact(Metadata!E138,"aerosol (saline)")))</f>
        <v>0</v>
      </c>
      <c r="Y138">
        <f>AND(IF(Metadata!F138="",FALSE,TRUE),exact(Metadata!F138,"air"))</f>
        <v>0</v>
      </c>
      <c r="Z138">
        <f>AND(IF(Metadata!G138="",FALSE,TRUE),exact(Metadata!G138,"air"))</f>
        <v>0</v>
      </c>
      <c r="AA138">
        <f>AND(IF(Metadata!H138="",FALSE,TRUE),exact(Metadata!H138,"air"))</f>
        <v>0</v>
      </c>
      <c r="AB138">
        <f>AND(IF(Metadata!I138="",FALSE,TRUE),exact(Metadata!I138,"air metagenome"))</f>
        <v>0</v>
      </c>
      <c r="AC138">
        <f>AND(IF(Metadata!J138="",FALSE,TRUE),exact(Metadata!J138,"655179"))</f>
        <v>0</v>
      </c>
    </row>
    <row r="139" spans="1:29">
      <c r="A139" s="5">
        <f>IF(B139=" "," ",HYPERLINK(CONCATENATE("#metadata!",ADDRESS(INDEX($P$2:$P$1001,MATCH(ROWS($N$2:N139),$N$2:$N$1001,0),0),1)),INDEX($S$2:$S$1001,MATCH(ROWS($N$2:N139),$N$2:$N$1001,0),0)))</f>
        <v>0</v>
      </c>
      <c r="B139" s="4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4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4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4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4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4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4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4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4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OR(AND(IF(Metadata!C139="",FALSE,TRUE),OR(exact(Metadata!C139,"not applicable"),exact(Metadata!C139,"not collected"),exact(Metadata!C139,"not provided"),exact(Metadata!C139,"restricted access"))),IF(Metadata!C139="",FALSE,ISNUMBER(VALUE(Metadata!C139))))</f>
        <v>0</v>
      </c>
      <c r="W139">
        <f>AND(IF(Metadata!D139="",FALSE,TRUE),exact(Metadata!D139,"m"))</f>
        <v>0</v>
      </c>
      <c r="X139">
        <f>AND(IF(Metadata!E139="",FALSE,TRUE),OR(exact(Metadata!E139,"aerosol (non-saline)"),exact(Metadata!E139,"aerosol (saline)")))</f>
        <v>0</v>
      </c>
      <c r="Y139">
        <f>AND(IF(Metadata!F139="",FALSE,TRUE),exact(Metadata!F139,"air"))</f>
        <v>0</v>
      </c>
      <c r="Z139">
        <f>AND(IF(Metadata!G139="",FALSE,TRUE),exact(Metadata!G139,"air"))</f>
        <v>0</v>
      </c>
      <c r="AA139">
        <f>AND(IF(Metadata!H139="",FALSE,TRUE),exact(Metadata!H139,"air"))</f>
        <v>0</v>
      </c>
      <c r="AB139">
        <f>AND(IF(Metadata!I139="",FALSE,TRUE),exact(Metadata!I139,"air metagenome"))</f>
        <v>0</v>
      </c>
      <c r="AC139">
        <f>AND(IF(Metadata!J139="",FALSE,TRUE),exact(Metadata!J139,"655179"))</f>
        <v>0</v>
      </c>
    </row>
    <row r="140" spans="1:29">
      <c r="A140" s="5">
        <f>IF(B140=" "," ",HYPERLINK(CONCATENATE("#metadata!",ADDRESS(INDEX($P$2:$P$1001,MATCH(ROWS($N$2:N140),$N$2:$N$1001,0),0),1)),INDEX($S$2:$S$1001,MATCH(ROWS($N$2:N140),$N$2:$N$1001,0),0)))</f>
        <v>0</v>
      </c>
      <c r="B140" s="4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4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4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4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4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4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4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4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4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OR(AND(IF(Metadata!C140="",FALSE,TRUE),OR(exact(Metadata!C140,"not applicable"),exact(Metadata!C140,"not collected"),exact(Metadata!C140,"not provided"),exact(Metadata!C140,"restricted access"))),IF(Metadata!C140="",FALSE,ISNUMBER(VALUE(Metadata!C140))))</f>
        <v>0</v>
      </c>
      <c r="W140">
        <f>AND(IF(Metadata!D140="",FALSE,TRUE),exact(Metadata!D140,"m"))</f>
        <v>0</v>
      </c>
      <c r="X140">
        <f>AND(IF(Metadata!E140="",FALSE,TRUE),OR(exact(Metadata!E140,"aerosol (non-saline)"),exact(Metadata!E140,"aerosol (saline)")))</f>
        <v>0</v>
      </c>
      <c r="Y140">
        <f>AND(IF(Metadata!F140="",FALSE,TRUE),exact(Metadata!F140,"air"))</f>
        <v>0</v>
      </c>
      <c r="Z140">
        <f>AND(IF(Metadata!G140="",FALSE,TRUE),exact(Metadata!G140,"air"))</f>
        <v>0</v>
      </c>
      <c r="AA140">
        <f>AND(IF(Metadata!H140="",FALSE,TRUE),exact(Metadata!H140,"air"))</f>
        <v>0</v>
      </c>
      <c r="AB140">
        <f>AND(IF(Metadata!I140="",FALSE,TRUE),exact(Metadata!I140,"air metagenome"))</f>
        <v>0</v>
      </c>
      <c r="AC140">
        <f>AND(IF(Metadata!J140="",FALSE,TRUE),exact(Metadata!J140,"655179"))</f>
        <v>0</v>
      </c>
    </row>
    <row r="141" spans="1:29">
      <c r="A141" s="5">
        <f>IF(B141=" "," ",HYPERLINK(CONCATENATE("#metadata!",ADDRESS(INDEX($P$2:$P$1001,MATCH(ROWS($N$2:N141),$N$2:$N$1001,0),0),1)),INDEX($S$2:$S$1001,MATCH(ROWS($N$2:N141),$N$2:$N$1001,0),0)))</f>
        <v>0</v>
      </c>
      <c r="B141" s="4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4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4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4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4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4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4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4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4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OR(AND(IF(Metadata!C141="",FALSE,TRUE),OR(exact(Metadata!C141,"not applicable"),exact(Metadata!C141,"not collected"),exact(Metadata!C141,"not provided"),exact(Metadata!C141,"restricted access"))),IF(Metadata!C141="",FALSE,ISNUMBER(VALUE(Metadata!C141))))</f>
        <v>0</v>
      </c>
      <c r="W141">
        <f>AND(IF(Metadata!D141="",FALSE,TRUE),exact(Metadata!D141,"m"))</f>
        <v>0</v>
      </c>
      <c r="X141">
        <f>AND(IF(Metadata!E141="",FALSE,TRUE),OR(exact(Metadata!E141,"aerosol (non-saline)"),exact(Metadata!E141,"aerosol (saline)")))</f>
        <v>0</v>
      </c>
      <c r="Y141">
        <f>AND(IF(Metadata!F141="",FALSE,TRUE),exact(Metadata!F141,"air"))</f>
        <v>0</v>
      </c>
      <c r="Z141">
        <f>AND(IF(Metadata!G141="",FALSE,TRUE),exact(Metadata!G141,"air"))</f>
        <v>0</v>
      </c>
      <c r="AA141">
        <f>AND(IF(Metadata!H141="",FALSE,TRUE),exact(Metadata!H141,"air"))</f>
        <v>0</v>
      </c>
      <c r="AB141">
        <f>AND(IF(Metadata!I141="",FALSE,TRUE),exact(Metadata!I141,"air metagenome"))</f>
        <v>0</v>
      </c>
      <c r="AC141">
        <f>AND(IF(Metadata!J141="",FALSE,TRUE),exact(Metadata!J141,"655179"))</f>
        <v>0</v>
      </c>
    </row>
    <row r="142" spans="1:29">
      <c r="A142" s="5">
        <f>IF(B142=" "," ",HYPERLINK(CONCATENATE("#metadata!",ADDRESS(INDEX($P$2:$P$1001,MATCH(ROWS($N$2:N142),$N$2:$N$1001,0),0),1)),INDEX($S$2:$S$1001,MATCH(ROWS($N$2:N142),$N$2:$N$1001,0),0)))</f>
        <v>0</v>
      </c>
      <c r="B142" s="4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4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4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4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4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4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4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4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4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OR(AND(IF(Metadata!C142="",FALSE,TRUE),OR(exact(Metadata!C142,"not applicable"),exact(Metadata!C142,"not collected"),exact(Metadata!C142,"not provided"),exact(Metadata!C142,"restricted access"))),IF(Metadata!C142="",FALSE,ISNUMBER(VALUE(Metadata!C142))))</f>
        <v>0</v>
      </c>
      <c r="W142">
        <f>AND(IF(Metadata!D142="",FALSE,TRUE),exact(Metadata!D142,"m"))</f>
        <v>0</v>
      </c>
      <c r="X142">
        <f>AND(IF(Metadata!E142="",FALSE,TRUE),OR(exact(Metadata!E142,"aerosol (non-saline)"),exact(Metadata!E142,"aerosol (saline)")))</f>
        <v>0</v>
      </c>
      <c r="Y142">
        <f>AND(IF(Metadata!F142="",FALSE,TRUE),exact(Metadata!F142,"air"))</f>
        <v>0</v>
      </c>
      <c r="Z142">
        <f>AND(IF(Metadata!G142="",FALSE,TRUE),exact(Metadata!G142,"air"))</f>
        <v>0</v>
      </c>
      <c r="AA142">
        <f>AND(IF(Metadata!H142="",FALSE,TRUE),exact(Metadata!H142,"air"))</f>
        <v>0</v>
      </c>
      <c r="AB142">
        <f>AND(IF(Metadata!I142="",FALSE,TRUE),exact(Metadata!I142,"air metagenome"))</f>
        <v>0</v>
      </c>
      <c r="AC142">
        <f>AND(IF(Metadata!J142="",FALSE,TRUE),exact(Metadata!J142,"655179"))</f>
        <v>0</v>
      </c>
    </row>
    <row r="143" spans="1:29">
      <c r="A143" s="5">
        <f>IF(B143=" "," ",HYPERLINK(CONCATENATE("#metadata!",ADDRESS(INDEX($P$2:$P$1001,MATCH(ROWS($N$2:N143),$N$2:$N$1001,0),0),1)),INDEX($S$2:$S$1001,MATCH(ROWS($N$2:N143),$N$2:$N$1001,0),0)))</f>
        <v>0</v>
      </c>
      <c r="B143" s="4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4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4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4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4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4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4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4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4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OR(AND(IF(Metadata!C143="",FALSE,TRUE),OR(exact(Metadata!C143,"not applicable"),exact(Metadata!C143,"not collected"),exact(Metadata!C143,"not provided"),exact(Metadata!C143,"restricted access"))),IF(Metadata!C143="",FALSE,ISNUMBER(VALUE(Metadata!C143))))</f>
        <v>0</v>
      </c>
      <c r="W143">
        <f>AND(IF(Metadata!D143="",FALSE,TRUE),exact(Metadata!D143,"m"))</f>
        <v>0</v>
      </c>
      <c r="X143">
        <f>AND(IF(Metadata!E143="",FALSE,TRUE),OR(exact(Metadata!E143,"aerosol (non-saline)"),exact(Metadata!E143,"aerosol (saline)")))</f>
        <v>0</v>
      </c>
      <c r="Y143">
        <f>AND(IF(Metadata!F143="",FALSE,TRUE),exact(Metadata!F143,"air"))</f>
        <v>0</v>
      </c>
      <c r="Z143">
        <f>AND(IF(Metadata!G143="",FALSE,TRUE),exact(Metadata!G143,"air"))</f>
        <v>0</v>
      </c>
      <c r="AA143">
        <f>AND(IF(Metadata!H143="",FALSE,TRUE),exact(Metadata!H143,"air"))</f>
        <v>0</v>
      </c>
      <c r="AB143">
        <f>AND(IF(Metadata!I143="",FALSE,TRUE),exact(Metadata!I143,"air metagenome"))</f>
        <v>0</v>
      </c>
      <c r="AC143">
        <f>AND(IF(Metadata!J143="",FALSE,TRUE),exact(Metadata!J143,"655179"))</f>
        <v>0</v>
      </c>
    </row>
    <row r="144" spans="1:29">
      <c r="A144" s="5">
        <f>IF(B144=" "," ",HYPERLINK(CONCATENATE("#metadata!",ADDRESS(INDEX($P$2:$P$1001,MATCH(ROWS($N$2:N144),$N$2:$N$1001,0),0),1)),INDEX($S$2:$S$1001,MATCH(ROWS($N$2:N144),$N$2:$N$1001,0),0)))</f>
        <v>0</v>
      </c>
      <c r="B144" s="4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4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4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4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4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4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4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4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4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OR(AND(IF(Metadata!C144="",FALSE,TRUE),OR(exact(Metadata!C144,"not applicable"),exact(Metadata!C144,"not collected"),exact(Metadata!C144,"not provided"),exact(Metadata!C144,"restricted access"))),IF(Metadata!C144="",FALSE,ISNUMBER(VALUE(Metadata!C144))))</f>
        <v>0</v>
      </c>
      <c r="W144">
        <f>AND(IF(Metadata!D144="",FALSE,TRUE),exact(Metadata!D144,"m"))</f>
        <v>0</v>
      </c>
      <c r="X144">
        <f>AND(IF(Metadata!E144="",FALSE,TRUE),OR(exact(Metadata!E144,"aerosol (non-saline)"),exact(Metadata!E144,"aerosol (saline)")))</f>
        <v>0</v>
      </c>
      <c r="Y144">
        <f>AND(IF(Metadata!F144="",FALSE,TRUE),exact(Metadata!F144,"air"))</f>
        <v>0</v>
      </c>
      <c r="Z144">
        <f>AND(IF(Metadata!G144="",FALSE,TRUE),exact(Metadata!G144,"air"))</f>
        <v>0</v>
      </c>
      <c r="AA144">
        <f>AND(IF(Metadata!H144="",FALSE,TRUE),exact(Metadata!H144,"air"))</f>
        <v>0</v>
      </c>
      <c r="AB144">
        <f>AND(IF(Metadata!I144="",FALSE,TRUE),exact(Metadata!I144,"air metagenome"))</f>
        <v>0</v>
      </c>
      <c r="AC144">
        <f>AND(IF(Metadata!J144="",FALSE,TRUE),exact(Metadata!J144,"655179"))</f>
        <v>0</v>
      </c>
    </row>
    <row r="145" spans="1:29">
      <c r="A145" s="5">
        <f>IF(B145=" "," ",HYPERLINK(CONCATENATE("#metadata!",ADDRESS(INDEX($P$2:$P$1001,MATCH(ROWS($N$2:N145),$N$2:$N$1001,0),0),1)),INDEX($S$2:$S$1001,MATCH(ROWS($N$2:N145),$N$2:$N$1001,0),0)))</f>
        <v>0</v>
      </c>
      <c r="B145" s="4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4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4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4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4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4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4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4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4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OR(AND(IF(Metadata!C145="",FALSE,TRUE),OR(exact(Metadata!C145,"not applicable"),exact(Metadata!C145,"not collected"),exact(Metadata!C145,"not provided"),exact(Metadata!C145,"restricted access"))),IF(Metadata!C145="",FALSE,ISNUMBER(VALUE(Metadata!C145))))</f>
        <v>0</v>
      </c>
      <c r="W145">
        <f>AND(IF(Metadata!D145="",FALSE,TRUE),exact(Metadata!D145,"m"))</f>
        <v>0</v>
      </c>
      <c r="X145">
        <f>AND(IF(Metadata!E145="",FALSE,TRUE),OR(exact(Metadata!E145,"aerosol (non-saline)"),exact(Metadata!E145,"aerosol (saline)")))</f>
        <v>0</v>
      </c>
      <c r="Y145">
        <f>AND(IF(Metadata!F145="",FALSE,TRUE),exact(Metadata!F145,"air"))</f>
        <v>0</v>
      </c>
      <c r="Z145">
        <f>AND(IF(Metadata!G145="",FALSE,TRUE),exact(Metadata!G145,"air"))</f>
        <v>0</v>
      </c>
      <c r="AA145">
        <f>AND(IF(Metadata!H145="",FALSE,TRUE),exact(Metadata!H145,"air"))</f>
        <v>0</v>
      </c>
      <c r="AB145">
        <f>AND(IF(Metadata!I145="",FALSE,TRUE),exact(Metadata!I145,"air metagenome"))</f>
        <v>0</v>
      </c>
      <c r="AC145">
        <f>AND(IF(Metadata!J145="",FALSE,TRUE),exact(Metadata!J145,"655179"))</f>
        <v>0</v>
      </c>
    </row>
    <row r="146" spans="1:29">
      <c r="A146" s="5">
        <f>IF(B146=" "," ",HYPERLINK(CONCATENATE("#metadata!",ADDRESS(INDEX($P$2:$P$1001,MATCH(ROWS($N$2:N146),$N$2:$N$1001,0),0),1)),INDEX($S$2:$S$1001,MATCH(ROWS($N$2:N146),$N$2:$N$1001,0),0)))</f>
        <v>0</v>
      </c>
      <c r="B146" s="4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4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4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4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4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4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4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4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4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OR(AND(IF(Metadata!C146="",FALSE,TRUE),OR(exact(Metadata!C146,"not applicable"),exact(Metadata!C146,"not collected"),exact(Metadata!C146,"not provided"),exact(Metadata!C146,"restricted access"))),IF(Metadata!C146="",FALSE,ISNUMBER(VALUE(Metadata!C146))))</f>
        <v>0</v>
      </c>
      <c r="W146">
        <f>AND(IF(Metadata!D146="",FALSE,TRUE),exact(Metadata!D146,"m"))</f>
        <v>0</v>
      </c>
      <c r="X146">
        <f>AND(IF(Metadata!E146="",FALSE,TRUE),OR(exact(Metadata!E146,"aerosol (non-saline)"),exact(Metadata!E146,"aerosol (saline)")))</f>
        <v>0</v>
      </c>
      <c r="Y146">
        <f>AND(IF(Metadata!F146="",FALSE,TRUE),exact(Metadata!F146,"air"))</f>
        <v>0</v>
      </c>
      <c r="Z146">
        <f>AND(IF(Metadata!G146="",FALSE,TRUE),exact(Metadata!G146,"air"))</f>
        <v>0</v>
      </c>
      <c r="AA146">
        <f>AND(IF(Metadata!H146="",FALSE,TRUE),exact(Metadata!H146,"air"))</f>
        <v>0</v>
      </c>
      <c r="AB146">
        <f>AND(IF(Metadata!I146="",FALSE,TRUE),exact(Metadata!I146,"air metagenome"))</f>
        <v>0</v>
      </c>
      <c r="AC146">
        <f>AND(IF(Metadata!J146="",FALSE,TRUE),exact(Metadata!J146,"655179"))</f>
        <v>0</v>
      </c>
    </row>
    <row r="147" spans="1:29">
      <c r="A147" s="5">
        <f>IF(B147=" "," ",HYPERLINK(CONCATENATE("#metadata!",ADDRESS(INDEX($P$2:$P$1001,MATCH(ROWS($N$2:N147),$N$2:$N$1001,0),0),1)),INDEX($S$2:$S$1001,MATCH(ROWS($N$2:N147),$N$2:$N$1001,0),0)))</f>
        <v>0</v>
      </c>
      <c r="B147" s="4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4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4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4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4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4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4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4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4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OR(AND(IF(Metadata!C147="",FALSE,TRUE),OR(exact(Metadata!C147,"not applicable"),exact(Metadata!C147,"not collected"),exact(Metadata!C147,"not provided"),exact(Metadata!C147,"restricted access"))),IF(Metadata!C147="",FALSE,ISNUMBER(VALUE(Metadata!C147))))</f>
        <v>0</v>
      </c>
      <c r="W147">
        <f>AND(IF(Metadata!D147="",FALSE,TRUE),exact(Metadata!D147,"m"))</f>
        <v>0</v>
      </c>
      <c r="X147">
        <f>AND(IF(Metadata!E147="",FALSE,TRUE),OR(exact(Metadata!E147,"aerosol (non-saline)"),exact(Metadata!E147,"aerosol (saline)")))</f>
        <v>0</v>
      </c>
      <c r="Y147">
        <f>AND(IF(Metadata!F147="",FALSE,TRUE),exact(Metadata!F147,"air"))</f>
        <v>0</v>
      </c>
      <c r="Z147">
        <f>AND(IF(Metadata!G147="",FALSE,TRUE),exact(Metadata!G147,"air"))</f>
        <v>0</v>
      </c>
      <c r="AA147">
        <f>AND(IF(Metadata!H147="",FALSE,TRUE),exact(Metadata!H147,"air"))</f>
        <v>0</v>
      </c>
      <c r="AB147">
        <f>AND(IF(Metadata!I147="",FALSE,TRUE),exact(Metadata!I147,"air metagenome"))</f>
        <v>0</v>
      </c>
      <c r="AC147">
        <f>AND(IF(Metadata!J147="",FALSE,TRUE),exact(Metadata!J147,"655179"))</f>
        <v>0</v>
      </c>
    </row>
    <row r="148" spans="1:29">
      <c r="A148" s="5">
        <f>IF(B148=" "," ",HYPERLINK(CONCATENATE("#metadata!",ADDRESS(INDEX($P$2:$P$1001,MATCH(ROWS($N$2:N148),$N$2:$N$1001,0),0),1)),INDEX($S$2:$S$1001,MATCH(ROWS($N$2:N148),$N$2:$N$1001,0),0)))</f>
        <v>0</v>
      </c>
      <c r="B148" s="4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4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4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4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4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4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4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4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4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OR(AND(IF(Metadata!C148="",FALSE,TRUE),OR(exact(Metadata!C148,"not applicable"),exact(Metadata!C148,"not collected"),exact(Metadata!C148,"not provided"),exact(Metadata!C148,"restricted access"))),IF(Metadata!C148="",FALSE,ISNUMBER(VALUE(Metadata!C148))))</f>
        <v>0</v>
      </c>
      <c r="W148">
        <f>AND(IF(Metadata!D148="",FALSE,TRUE),exact(Metadata!D148,"m"))</f>
        <v>0</v>
      </c>
      <c r="X148">
        <f>AND(IF(Metadata!E148="",FALSE,TRUE),OR(exact(Metadata!E148,"aerosol (non-saline)"),exact(Metadata!E148,"aerosol (saline)")))</f>
        <v>0</v>
      </c>
      <c r="Y148">
        <f>AND(IF(Metadata!F148="",FALSE,TRUE),exact(Metadata!F148,"air"))</f>
        <v>0</v>
      </c>
      <c r="Z148">
        <f>AND(IF(Metadata!G148="",FALSE,TRUE),exact(Metadata!G148,"air"))</f>
        <v>0</v>
      </c>
      <c r="AA148">
        <f>AND(IF(Metadata!H148="",FALSE,TRUE),exact(Metadata!H148,"air"))</f>
        <v>0</v>
      </c>
      <c r="AB148">
        <f>AND(IF(Metadata!I148="",FALSE,TRUE),exact(Metadata!I148,"air metagenome"))</f>
        <v>0</v>
      </c>
      <c r="AC148">
        <f>AND(IF(Metadata!J148="",FALSE,TRUE),exact(Metadata!J148,"655179"))</f>
        <v>0</v>
      </c>
    </row>
    <row r="149" spans="1:29">
      <c r="A149" s="5">
        <f>IF(B149=" "," ",HYPERLINK(CONCATENATE("#metadata!",ADDRESS(INDEX($P$2:$P$1001,MATCH(ROWS($N$2:N149),$N$2:$N$1001,0),0),1)),INDEX($S$2:$S$1001,MATCH(ROWS($N$2:N149),$N$2:$N$1001,0),0)))</f>
        <v>0</v>
      </c>
      <c r="B149" s="4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4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4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4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4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4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4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4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4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OR(AND(IF(Metadata!C149="",FALSE,TRUE),OR(exact(Metadata!C149,"not applicable"),exact(Metadata!C149,"not collected"),exact(Metadata!C149,"not provided"),exact(Metadata!C149,"restricted access"))),IF(Metadata!C149="",FALSE,ISNUMBER(VALUE(Metadata!C149))))</f>
        <v>0</v>
      </c>
      <c r="W149">
        <f>AND(IF(Metadata!D149="",FALSE,TRUE),exact(Metadata!D149,"m"))</f>
        <v>0</v>
      </c>
      <c r="X149">
        <f>AND(IF(Metadata!E149="",FALSE,TRUE),OR(exact(Metadata!E149,"aerosol (non-saline)"),exact(Metadata!E149,"aerosol (saline)")))</f>
        <v>0</v>
      </c>
      <c r="Y149">
        <f>AND(IF(Metadata!F149="",FALSE,TRUE),exact(Metadata!F149,"air"))</f>
        <v>0</v>
      </c>
      <c r="Z149">
        <f>AND(IF(Metadata!G149="",FALSE,TRUE),exact(Metadata!G149,"air"))</f>
        <v>0</v>
      </c>
      <c r="AA149">
        <f>AND(IF(Metadata!H149="",FALSE,TRUE),exact(Metadata!H149,"air"))</f>
        <v>0</v>
      </c>
      <c r="AB149">
        <f>AND(IF(Metadata!I149="",FALSE,TRUE),exact(Metadata!I149,"air metagenome"))</f>
        <v>0</v>
      </c>
      <c r="AC149">
        <f>AND(IF(Metadata!J149="",FALSE,TRUE),exact(Metadata!J149,"655179"))</f>
        <v>0</v>
      </c>
    </row>
    <row r="150" spans="1:29">
      <c r="A150" s="5">
        <f>IF(B150=" "," ",HYPERLINK(CONCATENATE("#metadata!",ADDRESS(INDEX($P$2:$P$1001,MATCH(ROWS($N$2:N150),$N$2:$N$1001,0),0),1)),INDEX($S$2:$S$1001,MATCH(ROWS($N$2:N150),$N$2:$N$1001,0),0)))</f>
        <v>0</v>
      </c>
      <c r="B150" s="4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4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4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4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4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4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4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4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4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OR(AND(IF(Metadata!C150="",FALSE,TRUE),OR(exact(Metadata!C150,"not applicable"),exact(Metadata!C150,"not collected"),exact(Metadata!C150,"not provided"),exact(Metadata!C150,"restricted access"))),IF(Metadata!C150="",FALSE,ISNUMBER(VALUE(Metadata!C150))))</f>
        <v>0</v>
      </c>
      <c r="W150">
        <f>AND(IF(Metadata!D150="",FALSE,TRUE),exact(Metadata!D150,"m"))</f>
        <v>0</v>
      </c>
      <c r="X150">
        <f>AND(IF(Metadata!E150="",FALSE,TRUE),OR(exact(Metadata!E150,"aerosol (non-saline)"),exact(Metadata!E150,"aerosol (saline)")))</f>
        <v>0</v>
      </c>
      <c r="Y150">
        <f>AND(IF(Metadata!F150="",FALSE,TRUE),exact(Metadata!F150,"air"))</f>
        <v>0</v>
      </c>
      <c r="Z150">
        <f>AND(IF(Metadata!G150="",FALSE,TRUE),exact(Metadata!G150,"air"))</f>
        <v>0</v>
      </c>
      <c r="AA150">
        <f>AND(IF(Metadata!H150="",FALSE,TRUE),exact(Metadata!H150,"air"))</f>
        <v>0</v>
      </c>
      <c r="AB150">
        <f>AND(IF(Metadata!I150="",FALSE,TRUE),exact(Metadata!I150,"air metagenome"))</f>
        <v>0</v>
      </c>
      <c r="AC150">
        <f>AND(IF(Metadata!J150="",FALSE,TRUE),exact(Metadata!J150,"655179"))</f>
        <v>0</v>
      </c>
    </row>
    <row r="151" spans="1:29">
      <c r="A151" s="5">
        <f>IF(B151=" "," ",HYPERLINK(CONCATENATE("#metadata!",ADDRESS(INDEX($P$2:$P$1001,MATCH(ROWS($N$2:N151),$N$2:$N$1001,0),0),1)),INDEX($S$2:$S$1001,MATCH(ROWS($N$2:N151),$N$2:$N$1001,0),0)))</f>
        <v>0</v>
      </c>
      <c r="B151" s="4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4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4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4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4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4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4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4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4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OR(AND(IF(Metadata!C151="",FALSE,TRUE),OR(exact(Metadata!C151,"not applicable"),exact(Metadata!C151,"not collected"),exact(Metadata!C151,"not provided"),exact(Metadata!C151,"restricted access"))),IF(Metadata!C151="",FALSE,ISNUMBER(VALUE(Metadata!C151))))</f>
        <v>0</v>
      </c>
      <c r="W151">
        <f>AND(IF(Metadata!D151="",FALSE,TRUE),exact(Metadata!D151,"m"))</f>
        <v>0</v>
      </c>
      <c r="X151">
        <f>AND(IF(Metadata!E151="",FALSE,TRUE),OR(exact(Metadata!E151,"aerosol (non-saline)"),exact(Metadata!E151,"aerosol (saline)")))</f>
        <v>0</v>
      </c>
      <c r="Y151">
        <f>AND(IF(Metadata!F151="",FALSE,TRUE),exact(Metadata!F151,"air"))</f>
        <v>0</v>
      </c>
      <c r="Z151">
        <f>AND(IF(Metadata!G151="",FALSE,TRUE),exact(Metadata!G151,"air"))</f>
        <v>0</v>
      </c>
      <c r="AA151">
        <f>AND(IF(Metadata!H151="",FALSE,TRUE),exact(Metadata!H151,"air"))</f>
        <v>0</v>
      </c>
      <c r="AB151">
        <f>AND(IF(Metadata!I151="",FALSE,TRUE),exact(Metadata!I151,"air metagenome"))</f>
        <v>0</v>
      </c>
      <c r="AC151">
        <f>AND(IF(Metadata!J151="",FALSE,TRUE),exact(Metadata!J151,"655179"))</f>
        <v>0</v>
      </c>
    </row>
    <row r="152" spans="1:29">
      <c r="A152" s="5">
        <f>IF(B152=" "," ",HYPERLINK(CONCATENATE("#metadata!",ADDRESS(INDEX($P$2:$P$1001,MATCH(ROWS($N$2:N152),$N$2:$N$1001,0),0),1)),INDEX($S$2:$S$1001,MATCH(ROWS($N$2:N152),$N$2:$N$1001,0),0)))</f>
        <v>0</v>
      </c>
      <c r="B152" s="4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4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4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4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4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4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4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4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4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OR(AND(IF(Metadata!C152="",FALSE,TRUE),OR(exact(Metadata!C152,"not applicable"),exact(Metadata!C152,"not collected"),exact(Metadata!C152,"not provided"),exact(Metadata!C152,"restricted access"))),IF(Metadata!C152="",FALSE,ISNUMBER(VALUE(Metadata!C152))))</f>
        <v>0</v>
      </c>
      <c r="W152">
        <f>AND(IF(Metadata!D152="",FALSE,TRUE),exact(Metadata!D152,"m"))</f>
        <v>0</v>
      </c>
      <c r="X152">
        <f>AND(IF(Metadata!E152="",FALSE,TRUE),OR(exact(Metadata!E152,"aerosol (non-saline)"),exact(Metadata!E152,"aerosol (saline)")))</f>
        <v>0</v>
      </c>
      <c r="Y152">
        <f>AND(IF(Metadata!F152="",FALSE,TRUE),exact(Metadata!F152,"air"))</f>
        <v>0</v>
      </c>
      <c r="Z152">
        <f>AND(IF(Metadata!G152="",FALSE,TRUE),exact(Metadata!G152,"air"))</f>
        <v>0</v>
      </c>
      <c r="AA152">
        <f>AND(IF(Metadata!H152="",FALSE,TRUE),exact(Metadata!H152,"air"))</f>
        <v>0</v>
      </c>
      <c r="AB152">
        <f>AND(IF(Metadata!I152="",FALSE,TRUE),exact(Metadata!I152,"air metagenome"))</f>
        <v>0</v>
      </c>
      <c r="AC152">
        <f>AND(IF(Metadata!J152="",FALSE,TRUE),exact(Metadata!J152,"655179"))</f>
        <v>0</v>
      </c>
    </row>
    <row r="153" spans="1:29">
      <c r="A153" s="5">
        <f>IF(B153=" "," ",HYPERLINK(CONCATENATE("#metadata!",ADDRESS(INDEX($P$2:$P$1001,MATCH(ROWS($N$2:N153),$N$2:$N$1001,0),0),1)),INDEX($S$2:$S$1001,MATCH(ROWS($N$2:N153),$N$2:$N$1001,0),0)))</f>
        <v>0</v>
      </c>
      <c r="B153" s="4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4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4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4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4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4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4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4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4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OR(AND(IF(Metadata!C153="",FALSE,TRUE),OR(exact(Metadata!C153,"not applicable"),exact(Metadata!C153,"not collected"),exact(Metadata!C153,"not provided"),exact(Metadata!C153,"restricted access"))),IF(Metadata!C153="",FALSE,ISNUMBER(VALUE(Metadata!C153))))</f>
        <v>0</v>
      </c>
      <c r="W153">
        <f>AND(IF(Metadata!D153="",FALSE,TRUE),exact(Metadata!D153,"m"))</f>
        <v>0</v>
      </c>
      <c r="X153">
        <f>AND(IF(Metadata!E153="",FALSE,TRUE),OR(exact(Metadata!E153,"aerosol (non-saline)"),exact(Metadata!E153,"aerosol (saline)")))</f>
        <v>0</v>
      </c>
      <c r="Y153">
        <f>AND(IF(Metadata!F153="",FALSE,TRUE),exact(Metadata!F153,"air"))</f>
        <v>0</v>
      </c>
      <c r="Z153">
        <f>AND(IF(Metadata!G153="",FALSE,TRUE),exact(Metadata!G153,"air"))</f>
        <v>0</v>
      </c>
      <c r="AA153">
        <f>AND(IF(Metadata!H153="",FALSE,TRUE),exact(Metadata!H153,"air"))</f>
        <v>0</v>
      </c>
      <c r="AB153">
        <f>AND(IF(Metadata!I153="",FALSE,TRUE),exact(Metadata!I153,"air metagenome"))</f>
        <v>0</v>
      </c>
      <c r="AC153">
        <f>AND(IF(Metadata!J153="",FALSE,TRUE),exact(Metadata!J153,"655179"))</f>
        <v>0</v>
      </c>
    </row>
    <row r="154" spans="1:29">
      <c r="A154" s="5">
        <f>IF(B154=" "," ",HYPERLINK(CONCATENATE("#metadata!",ADDRESS(INDEX($P$2:$P$1001,MATCH(ROWS($N$2:N154),$N$2:$N$1001,0),0),1)),INDEX($S$2:$S$1001,MATCH(ROWS($N$2:N154),$N$2:$N$1001,0),0)))</f>
        <v>0</v>
      </c>
      <c r="B154" s="4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4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4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4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4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4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4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4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4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OR(AND(IF(Metadata!C154="",FALSE,TRUE),OR(exact(Metadata!C154,"not applicable"),exact(Metadata!C154,"not collected"),exact(Metadata!C154,"not provided"),exact(Metadata!C154,"restricted access"))),IF(Metadata!C154="",FALSE,ISNUMBER(VALUE(Metadata!C154))))</f>
        <v>0</v>
      </c>
      <c r="W154">
        <f>AND(IF(Metadata!D154="",FALSE,TRUE),exact(Metadata!D154,"m"))</f>
        <v>0</v>
      </c>
      <c r="X154">
        <f>AND(IF(Metadata!E154="",FALSE,TRUE),OR(exact(Metadata!E154,"aerosol (non-saline)"),exact(Metadata!E154,"aerosol (saline)")))</f>
        <v>0</v>
      </c>
      <c r="Y154">
        <f>AND(IF(Metadata!F154="",FALSE,TRUE),exact(Metadata!F154,"air"))</f>
        <v>0</v>
      </c>
      <c r="Z154">
        <f>AND(IF(Metadata!G154="",FALSE,TRUE),exact(Metadata!G154,"air"))</f>
        <v>0</v>
      </c>
      <c r="AA154">
        <f>AND(IF(Metadata!H154="",FALSE,TRUE),exact(Metadata!H154,"air"))</f>
        <v>0</v>
      </c>
      <c r="AB154">
        <f>AND(IF(Metadata!I154="",FALSE,TRUE),exact(Metadata!I154,"air metagenome"))</f>
        <v>0</v>
      </c>
      <c r="AC154">
        <f>AND(IF(Metadata!J154="",FALSE,TRUE),exact(Metadata!J154,"655179"))</f>
        <v>0</v>
      </c>
    </row>
    <row r="155" spans="1:29">
      <c r="A155" s="5">
        <f>IF(B155=" "," ",HYPERLINK(CONCATENATE("#metadata!",ADDRESS(INDEX($P$2:$P$1001,MATCH(ROWS($N$2:N155),$N$2:$N$1001,0),0),1)),INDEX($S$2:$S$1001,MATCH(ROWS($N$2:N155),$N$2:$N$1001,0),0)))</f>
        <v>0</v>
      </c>
      <c r="B155" s="4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4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4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4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4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4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4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4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4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OR(AND(IF(Metadata!C155="",FALSE,TRUE),OR(exact(Metadata!C155,"not applicable"),exact(Metadata!C155,"not collected"),exact(Metadata!C155,"not provided"),exact(Metadata!C155,"restricted access"))),IF(Metadata!C155="",FALSE,ISNUMBER(VALUE(Metadata!C155))))</f>
        <v>0</v>
      </c>
      <c r="W155">
        <f>AND(IF(Metadata!D155="",FALSE,TRUE),exact(Metadata!D155,"m"))</f>
        <v>0</v>
      </c>
      <c r="X155">
        <f>AND(IF(Metadata!E155="",FALSE,TRUE),OR(exact(Metadata!E155,"aerosol (non-saline)"),exact(Metadata!E155,"aerosol (saline)")))</f>
        <v>0</v>
      </c>
      <c r="Y155">
        <f>AND(IF(Metadata!F155="",FALSE,TRUE),exact(Metadata!F155,"air"))</f>
        <v>0</v>
      </c>
      <c r="Z155">
        <f>AND(IF(Metadata!G155="",FALSE,TRUE),exact(Metadata!G155,"air"))</f>
        <v>0</v>
      </c>
      <c r="AA155">
        <f>AND(IF(Metadata!H155="",FALSE,TRUE),exact(Metadata!H155,"air"))</f>
        <v>0</v>
      </c>
      <c r="AB155">
        <f>AND(IF(Metadata!I155="",FALSE,TRUE),exact(Metadata!I155,"air metagenome"))</f>
        <v>0</v>
      </c>
      <c r="AC155">
        <f>AND(IF(Metadata!J155="",FALSE,TRUE),exact(Metadata!J155,"655179"))</f>
        <v>0</v>
      </c>
    </row>
    <row r="156" spans="1:29">
      <c r="A156" s="5">
        <f>IF(B156=" "," ",HYPERLINK(CONCATENATE("#metadata!",ADDRESS(INDEX($P$2:$P$1001,MATCH(ROWS($N$2:N156),$N$2:$N$1001,0),0),1)),INDEX($S$2:$S$1001,MATCH(ROWS($N$2:N156),$N$2:$N$1001,0),0)))</f>
        <v>0</v>
      </c>
      <c r="B156" s="4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4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4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4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4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4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4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4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4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OR(AND(IF(Metadata!C156="",FALSE,TRUE),OR(exact(Metadata!C156,"not applicable"),exact(Metadata!C156,"not collected"),exact(Metadata!C156,"not provided"),exact(Metadata!C156,"restricted access"))),IF(Metadata!C156="",FALSE,ISNUMBER(VALUE(Metadata!C156))))</f>
        <v>0</v>
      </c>
      <c r="W156">
        <f>AND(IF(Metadata!D156="",FALSE,TRUE),exact(Metadata!D156,"m"))</f>
        <v>0</v>
      </c>
      <c r="X156">
        <f>AND(IF(Metadata!E156="",FALSE,TRUE),OR(exact(Metadata!E156,"aerosol (non-saline)"),exact(Metadata!E156,"aerosol (saline)")))</f>
        <v>0</v>
      </c>
      <c r="Y156">
        <f>AND(IF(Metadata!F156="",FALSE,TRUE),exact(Metadata!F156,"air"))</f>
        <v>0</v>
      </c>
      <c r="Z156">
        <f>AND(IF(Metadata!G156="",FALSE,TRUE),exact(Metadata!G156,"air"))</f>
        <v>0</v>
      </c>
      <c r="AA156">
        <f>AND(IF(Metadata!H156="",FALSE,TRUE),exact(Metadata!H156,"air"))</f>
        <v>0</v>
      </c>
      <c r="AB156">
        <f>AND(IF(Metadata!I156="",FALSE,TRUE),exact(Metadata!I156,"air metagenome"))</f>
        <v>0</v>
      </c>
      <c r="AC156">
        <f>AND(IF(Metadata!J156="",FALSE,TRUE),exact(Metadata!J156,"655179"))</f>
        <v>0</v>
      </c>
    </row>
    <row r="157" spans="1:29">
      <c r="A157" s="5">
        <f>IF(B157=" "," ",HYPERLINK(CONCATENATE("#metadata!",ADDRESS(INDEX($P$2:$P$1001,MATCH(ROWS($N$2:N157),$N$2:$N$1001,0),0),1)),INDEX($S$2:$S$1001,MATCH(ROWS($N$2:N157),$N$2:$N$1001,0),0)))</f>
        <v>0</v>
      </c>
      <c r="B157" s="4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4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4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4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4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4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4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4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4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OR(AND(IF(Metadata!C157="",FALSE,TRUE),OR(exact(Metadata!C157,"not applicable"),exact(Metadata!C157,"not collected"),exact(Metadata!C157,"not provided"),exact(Metadata!C157,"restricted access"))),IF(Metadata!C157="",FALSE,ISNUMBER(VALUE(Metadata!C157))))</f>
        <v>0</v>
      </c>
      <c r="W157">
        <f>AND(IF(Metadata!D157="",FALSE,TRUE),exact(Metadata!D157,"m"))</f>
        <v>0</v>
      </c>
      <c r="X157">
        <f>AND(IF(Metadata!E157="",FALSE,TRUE),OR(exact(Metadata!E157,"aerosol (non-saline)"),exact(Metadata!E157,"aerosol (saline)")))</f>
        <v>0</v>
      </c>
      <c r="Y157">
        <f>AND(IF(Metadata!F157="",FALSE,TRUE),exact(Metadata!F157,"air"))</f>
        <v>0</v>
      </c>
      <c r="Z157">
        <f>AND(IF(Metadata!G157="",FALSE,TRUE),exact(Metadata!G157,"air"))</f>
        <v>0</v>
      </c>
      <c r="AA157">
        <f>AND(IF(Metadata!H157="",FALSE,TRUE),exact(Metadata!H157,"air"))</f>
        <v>0</v>
      </c>
      <c r="AB157">
        <f>AND(IF(Metadata!I157="",FALSE,TRUE),exact(Metadata!I157,"air metagenome"))</f>
        <v>0</v>
      </c>
      <c r="AC157">
        <f>AND(IF(Metadata!J157="",FALSE,TRUE),exact(Metadata!J157,"655179"))</f>
        <v>0</v>
      </c>
    </row>
    <row r="158" spans="1:29">
      <c r="A158" s="5">
        <f>IF(B158=" "," ",HYPERLINK(CONCATENATE("#metadata!",ADDRESS(INDEX($P$2:$P$1001,MATCH(ROWS($N$2:N158),$N$2:$N$1001,0),0),1)),INDEX($S$2:$S$1001,MATCH(ROWS($N$2:N158),$N$2:$N$1001,0),0)))</f>
        <v>0</v>
      </c>
      <c r="B158" s="4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4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4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4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4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4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4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4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4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OR(AND(IF(Metadata!C158="",FALSE,TRUE),OR(exact(Metadata!C158,"not applicable"),exact(Metadata!C158,"not collected"),exact(Metadata!C158,"not provided"),exact(Metadata!C158,"restricted access"))),IF(Metadata!C158="",FALSE,ISNUMBER(VALUE(Metadata!C158))))</f>
        <v>0</v>
      </c>
      <c r="W158">
        <f>AND(IF(Metadata!D158="",FALSE,TRUE),exact(Metadata!D158,"m"))</f>
        <v>0</v>
      </c>
      <c r="X158">
        <f>AND(IF(Metadata!E158="",FALSE,TRUE),OR(exact(Metadata!E158,"aerosol (non-saline)"),exact(Metadata!E158,"aerosol (saline)")))</f>
        <v>0</v>
      </c>
      <c r="Y158">
        <f>AND(IF(Metadata!F158="",FALSE,TRUE),exact(Metadata!F158,"air"))</f>
        <v>0</v>
      </c>
      <c r="Z158">
        <f>AND(IF(Metadata!G158="",FALSE,TRUE),exact(Metadata!G158,"air"))</f>
        <v>0</v>
      </c>
      <c r="AA158">
        <f>AND(IF(Metadata!H158="",FALSE,TRUE),exact(Metadata!H158,"air"))</f>
        <v>0</v>
      </c>
      <c r="AB158">
        <f>AND(IF(Metadata!I158="",FALSE,TRUE),exact(Metadata!I158,"air metagenome"))</f>
        <v>0</v>
      </c>
      <c r="AC158">
        <f>AND(IF(Metadata!J158="",FALSE,TRUE),exact(Metadata!J158,"655179"))</f>
        <v>0</v>
      </c>
    </row>
    <row r="159" spans="1:29">
      <c r="A159" s="5">
        <f>IF(B159=" "," ",HYPERLINK(CONCATENATE("#metadata!",ADDRESS(INDEX($P$2:$P$1001,MATCH(ROWS($N$2:N159),$N$2:$N$1001,0),0),1)),INDEX($S$2:$S$1001,MATCH(ROWS($N$2:N159),$N$2:$N$1001,0),0)))</f>
        <v>0</v>
      </c>
      <c r="B159" s="4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4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4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4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4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4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4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4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4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OR(AND(IF(Metadata!C159="",FALSE,TRUE),OR(exact(Metadata!C159,"not applicable"),exact(Metadata!C159,"not collected"),exact(Metadata!C159,"not provided"),exact(Metadata!C159,"restricted access"))),IF(Metadata!C159="",FALSE,ISNUMBER(VALUE(Metadata!C159))))</f>
        <v>0</v>
      </c>
      <c r="W159">
        <f>AND(IF(Metadata!D159="",FALSE,TRUE),exact(Metadata!D159,"m"))</f>
        <v>0</v>
      </c>
      <c r="X159">
        <f>AND(IF(Metadata!E159="",FALSE,TRUE),OR(exact(Metadata!E159,"aerosol (non-saline)"),exact(Metadata!E159,"aerosol (saline)")))</f>
        <v>0</v>
      </c>
      <c r="Y159">
        <f>AND(IF(Metadata!F159="",FALSE,TRUE),exact(Metadata!F159,"air"))</f>
        <v>0</v>
      </c>
      <c r="Z159">
        <f>AND(IF(Metadata!G159="",FALSE,TRUE),exact(Metadata!G159,"air"))</f>
        <v>0</v>
      </c>
      <c r="AA159">
        <f>AND(IF(Metadata!H159="",FALSE,TRUE),exact(Metadata!H159,"air"))</f>
        <v>0</v>
      </c>
      <c r="AB159">
        <f>AND(IF(Metadata!I159="",FALSE,TRUE),exact(Metadata!I159,"air metagenome"))</f>
        <v>0</v>
      </c>
      <c r="AC159">
        <f>AND(IF(Metadata!J159="",FALSE,TRUE),exact(Metadata!J159,"655179"))</f>
        <v>0</v>
      </c>
    </row>
    <row r="160" spans="1:29">
      <c r="A160" s="5">
        <f>IF(B160=" "," ",HYPERLINK(CONCATENATE("#metadata!",ADDRESS(INDEX($P$2:$P$1001,MATCH(ROWS($N$2:N160),$N$2:$N$1001,0),0),1)),INDEX($S$2:$S$1001,MATCH(ROWS($N$2:N160),$N$2:$N$1001,0),0)))</f>
        <v>0</v>
      </c>
      <c r="B160" s="4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4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4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4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4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4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4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4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4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OR(AND(IF(Metadata!C160="",FALSE,TRUE),OR(exact(Metadata!C160,"not applicable"),exact(Metadata!C160,"not collected"),exact(Metadata!C160,"not provided"),exact(Metadata!C160,"restricted access"))),IF(Metadata!C160="",FALSE,ISNUMBER(VALUE(Metadata!C160))))</f>
        <v>0</v>
      </c>
      <c r="W160">
        <f>AND(IF(Metadata!D160="",FALSE,TRUE),exact(Metadata!D160,"m"))</f>
        <v>0</v>
      </c>
      <c r="X160">
        <f>AND(IF(Metadata!E160="",FALSE,TRUE),OR(exact(Metadata!E160,"aerosol (non-saline)"),exact(Metadata!E160,"aerosol (saline)")))</f>
        <v>0</v>
      </c>
      <c r="Y160">
        <f>AND(IF(Metadata!F160="",FALSE,TRUE),exact(Metadata!F160,"air"))</f>
        <v>0</v>
      </c>
      <c r="Z160">
        <f>AND(IF(Metadata!G160="",FALSE,TRUE),exact(Metadata!G160,"air"))</f>
        <v>0</v>
      </c>
      <c r="AA160">
        <f>AND(IF(Metadata!H160="",FALSE,TRUE),exact(Metadata!H160,"air"))</f>
        <v>0</v>
      </c>
      <c r="AB160">
        <f>AND(IF(Metadata!I160="",FALSE,TRUE),exact(Metadata!I160,"air metagenome"))</f>
        <v>0</v>
      </c>
      <c r="AC160">
        <f>AND(IF(Metadata!J160="",FALSE,TRUE),exact(Metadata!J160,"655179"))</f>
        <v>0</v>
      </c>
    </row>
    <row r="161" spans="1:29">
      <c r="A161" s="5">
        <f>IF(B161=" "," ",HYPERLINK(CONCATENATE("#metadata!",ADDRESS(INDEX($P$2:$P$1001,MATCH(ROWS($N$2:N161),$N$2:$N$1001,0),0),1)),INDEX($S$2:$S$1001,MATCH(ROWS($N$2:N161),$N$2:$N$1001,0),0)))</f>
        <v>0</v>
      </c>
      <c r="B161" s="4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4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4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4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4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4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4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4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4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OR(AND(IF(Metadata!C161="",FALSE,TRUE),OR(exact(Metadata!C161,"not applicable"),exact(Metadata!C161,"not collected"),exact(Metadata!C161,"not provided"),exact(Metadata!C161,"restricted access"))),IF(Metadata!C161="",FALSE,ISNUMBER(VALUE(Metadata!C161))))</f>
        <v>0</v>
      </c>
      <c r="W161">
        <f>AND(IF(Metadata!D161="",FALSE,TRUE),exact(Metadata!D161,"m"))</f>
        <v>0</v>
      </c>
      <c r="X161">
        <f>AND(IF(Metadata!E161="",FALSE,TRUE),OR(exact(Metadata!E161,"aerosol (non-saline)"),exact(Metadata!E161,"aerosol (saline)")))</f>
        <v>0</v>
      </c>
      <c r="Y161">
        <f>AND(IF(Metadata!F161="",FALSE,TRUE),exact(Metadata!F161,"air"))</f>
        <v>0</v>
      </c>
      <c r="Z161">
        <f>AND(IF(Metadata!G161="",FALSE,TRUE),exact(Metadata!G161,"air"))</f>
        <v>0</v>
      </c>
      <c r="AA161">
        <f>AND(IF(Metadata!H161="",FALSE,TRUE),exact(Metadata!H161,"air"))</f>
        <v>0</v>
      </c>
      <c r="AB161">
        <f>AND(IF(Metadata!I161="",FALSE,TRUE),exact(Metadata!I161,"air metagenome"))</f>
        <v>0</v>
      </c>
      <c r="AC161">
        <f>AND(IF(Metadata!J161="",FALSE,TRUE),exact(Metadata!J161,"655179"))</f>
        <v>0</v>
      </c>
    </row>
    <row r="162" spans="1:29">
      <c r="A162" s="5">
        <f>IF(B162=" "," ",HYPERLINK(CONCATENATE("#metadata!",ADDRESS(INDEX($P$2:$P$1001,MATCH(ROWS($N$2:N162),$N$2:$N$1001,0),0),1)),INDEX($S$2:$S$1001,MATCH(ROWS($N$2:N162),$N$2:$N$1001,0),0)))</f>
        <v>0</v>
      </c>
      <c r="B162" s="4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4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4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4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4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4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4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4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4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OR(AND(IF(Metadata!C162="",FALSE,TRUE),OR(exact(Metadata!C162,"not applicable"),exact(Metadata!C162,"not collected"),exact(Metadata!C162,"not provided"),exact(Metadata!C162,"restricted access"))),IF(Metadata!C162="",FALSE,ISNUMBER(VALUE(Metadata!C162))))</f>
        <v>0</v>
      </c>
      <c r="W162">
        <f>AND(IF(Metadata!D162="",FALSE,TRUE),exact(Metadata!D162,"m"))</f>
        <v>0</v>
      </c>
      <c r="X162">
        <f>AND(IF(Metadata!E162="",FALSE,TRUE),OR(exact(Metadata!E162,"aerosol (non-saline)"),exact(Metadata!E162,"aerosol (saline)")))</f>
        <v>0</v>
      </c>
      <c r="Y162">
        <f>AND(IF(Metadata!F162="",FALSE,TRUE),exact(Metadata!F162,"air"))</f>
        <v>0</v>
      </c>
      <c r="Z162">
        <f>AND(IF(Metadata!G162="",FALSE,TRUE),exact(Metadata!G162,"air"))</f>
        <v>0</v>
      </c>
      <c r="AA162">
        <f>AND(IF(Metadata!H162="",FALSE,TRUE),exact(Metadata!H162,"air"))</f>
        <v>0</v>
      </c>
      <c r="AB162">
        <f>AND(IF(Metadata!I162="",FALSE,TRUE),exact(Metadata!I162,"air metagenome"))</f>
        <v>0</v>
      </c>
      <c r="AC162">
        <f>AND(IF(Metadata!J162="",FALSE,TRUE),exact(Metadata!J162,"655179"))</f>
        <v>0</v>
      </c>
    </row>
    <row r="163" spans="1:29">
      <c r="A163" s="5">
        <f>IF(B163=" "," ",HYPERLINK(CONCATENATE("#metadata!",ADDRESS(INDEX($P$2:$P$1001,MATCH(ROWS($N$2:N163),$N$2:$N$1001,0),0),1)),INDEX($S$2:$S$1001,MATCH(ROWS($N$2:N163),$N$2:$N$1001,0),0)))</f>
        <v>0</v>
      </c>
      <c r="B163" s="4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4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4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4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4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4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4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4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4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OR(AND(IF(Metadata!C163="",FALSE,TRUE),OR(exact(Metadata!C163,"not applicable"),exact(Metadata!C163,"not collected"),exact(Metadata!C163,"not provided"),exact(Metadata!C163,"restricted access"))),IF(Metadata!C163="",FALSE,ISNUMBER(VALUE(Metadata!C163))))</f>
        <v>0</v>
      </c>
      <c r="W163">
        <f>AND(IF(Metadata!D163="",FALSE,TRUE),exact(Metadata!D163,"m"))</f>
        <v>0</v>
      </c>
      <c r="X163">
        <f>AND(IF(Metadata!E163="",FALSE,TRUE),OR(exact(Metadata!E163,"aerosol (non-saline)"),exact(Metadata!E163,"aerosol (saline)")))</f>
        <v>0</v>
      </c>
      <c r="Y163">
        <f>AND(IF(Metadata!F163="",FALSE,TRUE),exact(Metadata!F163,"air"))</f>
        <v>0</v>
      </c>
      <c r="Z163">
        <f>AND(IF(Metadata!G163="",FALSE,TRUE),exact(Metadata!G163,"air"))</f>
        <v>0</v>
      </c>
      <c r="AA163">
        <f>AND(IF(Metadata!H163="",FALSE,TRUE),exact(Metadata!H163,"air"))</f>
        <v>0</v>
      </c>
      <c r="AB163">
        <f>AND(IF(Metadata!I163="",FALSE,TRUE),exact(Metadata!I163,"air metagenome"))</f>
        <v>0</v>
      </c>
      <c r="AC163">
        <f>AND(IF(Metadata!J163="",FALSE,TRUE),exact(Metadata!J163,"655179"))</f>
        <v>0</v>
      </c>
    </row>
    <row r="164" spans="1:29">
      <c r="A164" s="5">
        <f>IF(B164=" "," ",HYPERLINK(CONCATENATE("#metadata!",ADDRESS(INDEX($P$2:$P$1001,MATCH(ROWS($N$2:N164),$N$2:$N$1001,0),0),1)),INDEX($S$2:$S$1001,MATCH(ROWS($N$2:N164),$N$2:$N$1001,0),0)))</f>
        <v>0</v>
      </c>
      <c r="B164" s="4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4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4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4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4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4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4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4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4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OR(AND(IF(Metadata!C164="",FALSE,TRUE),OR(exact(Metadata!C164,"not applicable"),exact(Metadata!C164,"not collected"),exact(Metadata!C164,"not provided"),exact(Metadata!C164,"restricted access"))),IF(Metadata!C164="",FALSE,ISNUMBER(VALUE(Metadata!C164))))</f>
        <v>0</v>
      </c>
      <c r="W164">
        <f>AND(IF(Metadata!D164="",FALSE,TRUE),exact(Metadata!D164,"m"))</f>
        <v>0</v>
      </c>
      <c r="X164">
        <f>AND(IF(Metadata!E164="",FALSE,TRUE),OR(exact(Metadata!E164,"aerosol (non-saline)"),exact(Metadata!E164,"aerosol (saline)")))</f>
        <v>0</v>
      </c>
      <c r="Y164">
        <f>AND(IF(Metadata!F164="",FALSE,TRUE),exact(Metadata!F164,"air"))</f>
        <v>0</v>
      </c>
      <c r="Z164">
        <f>AND(IF(Metadata!G164="",FALSE,TRUE),exact(Metadata!G164,"air"))</f>
        <v>0</v>
      </c>
      <c r="AA164">
        <f>AND(IF(Metadata!H164="",FALSE,TRUE),exact(Metadata!H164,"air"))</f>
        <v>0</v>
      </c>
      <c r="AB164">
        <f>AND(IF(Metadata!I164="",FALSE,TRUE),exact(Metadata!I164,"air metagenome"))</f>
        <v>0</v>
      </c>
      <c r="AC164">
        <f>AND(IF(Metadata!J164="",FALSE,TRUE),exact(Metadata!J164,"655179"))</f>
        <v>0</v>
      </c>
    </row>
    <row r="165" spans="1:29">
      <c r="A165" s="5">
        <f>IF(B165=" "," ",HYPERLINK(CONCATENATE("#metadata!",ADDRESS(INDEX($P$2:$P$1001,MATCH(ROWS($N$2:N165),$N$2:$N$1001,0),0),1)),INDEX($S$2:$S$1001,MATCH(ROWS($N$2:N165),$N$2:$N$1001,0),0)))</f>
        <v>0</v>
      </c>
      <c r="B165" s="4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4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4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4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4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4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4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4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4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OR(AND(IF(Metadata!C165="",FALSE,TRUE),OR(exact(Metadata!C165,"not applicable"),exact(Metadata!C165,"not collected"),exact(Metadata!C165,"not provided"),exact(Metadata!C165,"restricted access"))),IF(Metadata!C165="",FALSE,ISNUMBER(VALUE(Metadata!C165))))</f>
        <v>0</v>
      </c>
      <c r="W165">
        <f>AND(IF(Metadata!D165="",FALSE,TRUE),exact(Metadata!D165,"m"))</f>
        <v>0</v>
      </c>
      <c r="X165">
        <f>AND(IF(Metadata!E165="",FALSE,TRUE),OR(exact(Metadata!E165,"aerosol (non-saline)"),exact(Metadata!E165,"aerosol (saline)")))</f>
        <v>0</v>
      </c>
      <c r="Y165">
        <f>AND(IF(Metadata!F165="",FALSE,TRUE),exact(Metadata!F165,"air"))</f>
        <v>0</v>
      </c>
      <c r="Z165">
        <f>AND(IF(Metadata!G165="",FALSE,TRUE),exact(Metadata!G165,"air"))</f>
        <v>0</v>
      </c>
      <c r="AA165">
        <f>AND(IF(Metadata!H165="",FALSE,TRUE),exact(Metadata!H165,"air"))</f>
        <v>0</v>
      </c>
      <c r="AB165">
        <f>AND(IF(Metadata!I165="",FALSE,TRUE),exact(Metadata!I165,"air metagenome"))</f>
        <v>0</v>
      </c>
      <c r="AC165">
        <f>AND(IF(Metadata!J165="",FALSE,TRUE),exact(Metadata!J165,"655179"))</f>
        <v>0</v>
      </c>
    </row>
    <row r="166" spans="1:29">
      <c r="A166" s="5">
        <f>IF(B166=" "," ",HYPERLINK(CONCATENATE("#metadata!",ADDRESS(INDEX($P$2:$P$1001,MATCH(ROWS($N$2:N166),$N$2:$N$1001,0),0),1)),INDEX($S$2:$S$1001,MATCH(ROWS($N$2:N166),$N$2:$N$1001,0),0)))</f>
        <v>0</v>
      </c>
      <c r="B166" s="4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4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4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4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4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4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4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4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4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OR(AND(IF(Metadata!C166="",FALSE,TRUE),OR(exact(Metadata!C166,"not applicable"),exact(Metadata!C166,"not collected"),exact(Metadata!C166,"not provided"),exact(Metadata!C166,"restricted access"))),IF(Metadata!C166="",FALSE,ISNUMBER(VALUE(Metadata!C166))))</f>
        <v>0</v>
      </c>
      <c r="W166">
        <f>AND(IF(Metadata!D166="",FALSE,TRUE),exact(Metadata!D166,"m"))</f>
        <v>0</v>
      </c>
      <c r="X166">
        <f>AND(IF(Metadata!E166="",FALSE,TRUE),OR(exact(Metadata!E166,"aerosol (non-saline)"),exact(Metadata!E166,"aerosol (saline)")))</f>
        <v>0</v>
      </c>
      <c r="Y166">
        <f>AND(IF(Metadata!F166="",FALSE,TRUE),exact(Metadata!F166,"air"))</f>
        <v>0</v>
      </c>
      <c r="Z166">
        <f>AND(IF(Metadata!G166="",FALSE,TRUE),exact(Metadata!G166,"air"))</f>
        <v>0</v>
      </c>
      <c r="AA166">
        <f>AND(IF(Metadata!H166="",FALSE,TRUE),exact(Metadata!H166,"air"))</f>
        <v>0</v>
      </c>
      <c r="AB166">
        <f>AND(IF(Metadata!I166="",FALSE,TRUE),exact(Metadata!I166,"air metagenome"))</f>
        <v>0</v>
      </c>
      <c r="AC166">
        <f>AND(IF(Metadata!J166="",FALSE,TRUE),exact(Metadata!J166,"655179"))</f>
        <v>0</v>
      </c>
    </row>
    <row r="167" spans="1:29">
      <c r="A167" s="5">
        <f>IF(B167=" "," ",HYPERLINK(CONCATENATE("#metadata!",ADDRESS(INDEX($P$2:$P$1001,MATCH(ROWS($N$2:N167),$N$2:$N$1001,0),0),1)),INDEX($S$2:$S$1001,MATCH(ROWS($N$2:N167),$N$2:$N$1001,0),0)))</f>
        <v>0</v>
      </c>
      <c r="B167" s="4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4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4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4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4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4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4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4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4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OR(AND(IF(Metadata!C167="",FALSE,TRUE),OR(exact(Metadata!C167,"not applicable"),exact(Metadata!C167,"not collected"),exact(Metadata!C167,"not provided"),exact(Metadata!C167,"restricted access"))),IF(Metadata!C167="",FALSE,ISNUMBER(VALUE(Metadata!C167))))</f>
        <v>0</v>
      </c>
      <c r="W167">
        <f>AND(IF(Metadata!D167="",FALSE,TRUE),exact(Metadata!D167,"m"))</f>
        <v>0</v>
      </c>
      <c r="X167">
        <f>AND(IF(Metadata!E167="",FALSE,TRUE),OR(exact(Metadata!E167,"aerosol (non-saline)"),exact(Metadata!E167,"aerosol (saline)")))</f>
        <v>0</v>
      </c>
      <c r="Y167">
        <f>AND(IF(Metadata!F167="",FALSE,TRUE),exact(Metadata!F167,"air"))</f>
        <v>0</v>
      </c>
      <c r="Z167">
        <f>AND(IF(Metadata!G167="",FALSE,TRUE),exact(Metadata!G167,"air"))</f>
        <v>0</v>
      </c>
      <c r="AA167">
        <f>AND(IF(Metadata!H167="",FALSE,TRUE),exact(Metadata!H167,"air"))</f>
        <v>0</v>
      </c>
      <c r="AB167">
        <f>AND(IF(Metadata!I167="",FALSE,TRUE),exact(Metadata!I167,"air metagenome"))</f>
        <v>0</v>
      </c>
      <c r="AC167">
        <f>AND(IF(Metadata!J167="",FALSE,TRUE),exact(Metadata!J167,"655179"))</f>
        <v>0</v>
      </c>
    </row>
    <row r="168" spans="1:29">
      <c r="A168" s="5">
        <f>IF(B168=" "," ",HYPERLINK(CONCATENATE("#metadata!",ADDRESS(INDEX($P$2:$P$1001,MATCH(ROWS($N$2:N168),$N$2:$N$1001,0),0),1)),INDEX($S$2:$S$1001,MATCH(ROWS($N$2:N168),$N$2:$N$1001,0),0)))</f>
        <v>0</v>
      </c>
      <c r="B168" s="4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4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4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4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4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4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4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4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4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OR(AND(IF(Metadata!C168="",FALSE,TRUE),OR(exact(Metadata!C168,"not applicable"),exact(Metadata!C168,"not collected"),exact(Metadata!C168,"not provided"),exact(Metadata!C168,"restricted access"))),IF(Metadata!C168="",FALSE,ISNUMBER(VALUE(Metadata!C168))))</f>
        <v>0</v>
      </c>
      <c r="W168">
        <f>AND(IF(Metadata!D168="",FALSE,TRUE),exact(Metadata!D168,"m"))</f>
        <v>0</v>
      </c>
      <c r="X168">
        <f>AND(IF(Metadata!E168="",FALSE,TRUE),OR(exact(Metadata!E168,"aerosol (non-saline)"),exact(Metadata!E168,"aerosol (saline)")))</f>
        <v>0</v>
      </c>
      <c r="Y168">
        <f>AND(IF(Metadata!F168="",FALSE,TRUE),exact(Metadata!F168,"air"))</f>
        <v>0</v>
      </c>
      <c r="Z168">
        <f>AND(IF(Metadata!G168="",FALSE,TRUE),exact(Metadata!G168,"air"))</f>
        <v>0</v>
      </c>
      <c r="AA168">
        <f>AND(IF(Metadata!H168="",FALSE,TRUE),exact(Metadata!H168,"air"))</f>
        <v>0</v>
      </c>
      <c r="AB168">
        <f>AND(IF(Metadata!I168="",FALSE,TRUE),exact(Metadata!I168,"air metagenome"))</f>
        <v>0</v>
      </c>
      <c r="AC168">
        <f>AND(IF(Metadata!J168="",FALSE,TRUE),exact(Metadata!J168,"655179"))</f>
        <v>0</v>
      </c>
    </row>
    <row r="169" spans="1:29">
      <c r="A169" s="5">
        <f>IF(B169=" "," ",HYPERLINK(CONCATENATE("#metadata!",ADDRESS(INDEX($P$2:$P$1001,MATCH(ROWS($N$2:N169),$N$2:$N$1001,0),0),1)),INDEX($S$2:$S$1001,MATCH(ROWS($N$2:N169),$N$2:$N$1001,0),0)))</f>
        <v>0</v>
      </c>
      <c r="B169" s="4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4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4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4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4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4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4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4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4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OR(AND(IF(Metadata!C169="",FALSE,TRUE),OR(exact(Metadata!C169,"not applicable"),exact(Metadata!C169,"not collected"),exact(Metadata!C169,"not provided"),exact(Metadata!C169,"restricted access"))),IF(Metadata!C169="",FALSE,ISNUMBER(VALUE(Metadata!C169))))</f>
        <v>0</v>
      </c>
      <c r="W169">
        <f>AND(IF(Metadata!D169="",FALSE,TRUE),exact(Metadata!D169,"m"))</f>
        <v>0</v>
      </c>
      <c r="X169">
        <f>AND(IF(Metadata!E169="",FALSE,TRUE),OR(exact(Metadata!E169,"aerosol (non-saline)"),exact(Metadata!E169,"aerosol (saline)")))</f>
        <v>0</v>
      </c>
      <c r="Y169">
        <f>AND(IF(Metadata!F169="",FALSE,TRUE),exact(Metadata!F169,"air"))</f>
        <v>0</v>
      </c>
      <c r="Z169">
        <f>AND(IF(Metadata!G169="",FALSE,TRUE),exact(Metadata!G169,"air"))</f>
        <v>0</v>
      </c>
      <c r="AA169">
        <f>AND(IF(Metadata!H169="",FALSE,TRUE),exact(Metadata!H169,"air"))</f>
        <v>0</v>
      </c>
      <c r="AB169">
        <f>AND(IF(Metadata!I169="",FALSE,TRUE),exact(Metadata!I169,"air metagenome"))</f>
        <v>0</v>
      </c>
      <c r="AC169">
        <f>AND(IF(Metadata!J169="",FALSE,TRUE),exact(Metadata!J169,"655179"))</f>
        <v>0</v>
      </c>
    </row>
    <row r="170" spans="1:29">
      <c r="A170" s="5">
        <f>IF(B170=" "," ",HYPERLINK(CONCATENATE("#metadata!",ADDRESS(INDEX($P$2:$P$1001,MATCH(ROWS($N$2:N170),$N$2:$N$1001,0),0),1)),INDEX($S$2:$S$1001,MATCH(ROWS($N$2:N170),$N$2:$N$1001,0),0)))</f>
        <v>0</v>
      </c>
      <c r="B170" s="4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4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4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4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4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4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4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4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4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OR(AND(IF(Metadata!C170="",FALSE,TRUE),OR(exact(Metadata!C170,"not applicable"),exact(Metadata!C170,"not collected"),exact(Metadata!C170,"not provided"),exact(Metadata!C170,"restricted access"))),IF(Metadata!C170="",FALSE,ISNUMBER(VALUE(Metadata!C170))))</f>
        <v>0</v>
      </c>
      <c r="W170">
        <f>AND(IF(Metadata!D170="",FALSE,TRUE),exact(Metadata!D170,"m"))</f>
        <v>0</v>
      </c>
      <c r="X170">
        <f>AND(IF(Metadata!E170="",FALSE,TRUE),OR(exact(Metadata!E170,"aerosol (non-saline)"),exact(Metadata!E170,"aerosol (saline)")))</f>
        <v>0</v>
      </c>
      <c r="Y170">
        <f>AND(IF(Metadata!F170="",FALSE,TRUE),exact(Metadata!F170,"air"))</f>
        <v>0</v>
      </c>
      <c r="Z170">
        <f>AND(IF(Metadata!G170="",FALSE,TRUE),exact(Metadata!G170,"air"))</f>
        <v>0</v>
      </c>
      <c r="AA170">
        <f>AND(IF(Metadata!H170="",FALSE,TRUE),exact(Metadata!H170,"air"))</f>
        <v>0</v>
      </c>
      <c r="AB170">
        <f>AND(IF(Metadata!I170="",FALSE,TRUE),exact(Metadata!I170,"air metagenome"))</f>
        <v>0</v>
      </c>
      <c r="AC170">
        <f>AND(IF(Metadata!J170="",FALSE,TRUE),exact(Metadata!J170,"655179"))</f>
        <v>0</v>
      </c>
    </row>
    <row r="171" spans="1:29">
      <c r="A171" s="5">
        <f>IF(B171=" "," ",HYPERLINK(CONCATENATE("#metadata!",ADDRESS(INDEX($P$2:$P$1001,MATCH(ROWS($N$2:N171),$N$2:$N$1001,0),0),1)),INDEX($S$2:$S$1001,MATCH(ROWS($N$2:N171),$N$2:$N$1001,0),0)))</f>
        <v>0</v>
      </c>
      <c r="B171" s="4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4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4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4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4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4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4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4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4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OR(AND(IF(Metadata!C171="",FALSE,TRUE),OR(exact(Metadata!C171,"not applicable"),exact(Metadata!C171,"not collected"),exact(Metadata!C171,"not provided"),exact(Metadata!C171,"restricted access"))),IF(Metadata!C171="",FALSE,ISNUMBER(VALUE(Metadata!C171))))</f>
        <v>0</v>
      </c>
      <c r="W171">
        <f>AND(IF(Metadata!D171="",FALSE,TRUE),exact(Metadata!D171,"m"))</f>
        <v>0</v>
      </c>
      <c r="X171">
        <f>AND(IF(Metadata!E171="",FALSE,TRUE),OR(exact(Metadata!E171,"aerosol (non-saline)"),exact(Metadata!E171,"aerosol (saline)")))</f>
        <v>0</v>
      </c>
      <c r="Y171">
        <f>AND(IF(Metadata!F171="",FALSE,TRUE),exact(Metadata!F171,"air"))</f>
        <v>0</v>
      </c>
      <c r="Z171">
        <f>AND(IF(Metadata!G171="",FALSE,TRUE),exact(Metadata!G171,"air"))</f>
        <v>0</v>
      </c>
      <c r="AA171">
        <f>AND(IF(Metadata!H171="",FALSE,TRUE),exact(Metadata!H171,"air"))</f>
        <v>0</v>
      </c>
      <c r="AB171">
        <f>AND(IF(Metadata!I171="",FALSE,TRUE),exact(Metadata!I171,"air metagenome"))</f>
        <v>0</v>
      </c>
      <c r="AC171">
        <f>AND(IF(Metadata!J171="",FALSE,TRUE),exact(Metadata!J171,"655179"))</f>
        <v>0</v>
      </c>
    </row>
    <row r="172" spans="1:29">
      <c r="A172" s="5">
        <f>IF(B172=" "," ",HYPERLINK(CONCATENATE("#metadata!",ADDRESS(INDEX($P$2:$P$1001,MATCH(ROWS($N$2:N172),$N$2:$N$1001,0),0),1)),INDEX($S$2:$S$1001,MATCH(ROWS($N$2:N172),$N$2:$N$1001,0),0)))</f>
        <v>0</v>
      </c>
      <c r="B172" s="4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4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4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4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4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4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4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4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4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OR(AND(IF(Metadata!C172="",FALSE,TRUE),OR(exact(Metadata!C172,"not applicable"),exact(Metadata!C172,"not collected"),exact(Metadata!C172,"not provided"),exact(Metadata!C172,"restricted access"))),IF(Metadata!C172="",FALSE,ISNUMBER(VALUE(Metadata!C172))))</f>
        <v>0</v>
      </c>
      <c r="W172">
        <f>AND(IF(Metadata!D172="",FALSE,TRUE),exact(Metadata!D172,"m"))</f>
        <v>0</v>
      </c>
      <c r="X172">
        <f>AND(IF(Metadata!E172="",FALSE,TRUE),OR(exact(Metadata!E172,"aerosol (non-saline)"),exact(Metadata!E172,"aerosol (saline)")))</f>
        <v>0</v>
      </c>
      <c r="Y172">
        <f>AND(IF(Metadata!F172="",FALSE,TRUE),exact(Metadata!F172,"air"))</f>
        <v>0</v>
      </c>
      <c r="Z172">
        <f>AND(IF(Metadata!G172="",FALSE,TRUE),exact(Metadata!G172,"air"))</f>
        <v>0</v>
      </c>
      <c r="AA172">
        <f>AND(IF(Metadata!H172="",FALSE,TRUE),exact(Metadata!H172,"air"))</f>
        <v>0</v>
      </c>
      <c r="AB172">
        <f>AND(IF(Metadata!I172="",FALSE,TRUE),exact(Metadata!I172,"air metagenome"))</f>
        <v>0</v>
      </c>
      <c r="AC172">
        <f>AND(IF(Metadata!J172="",FALSE,TRUE),exact(Metadata!J172,"655179"))</f>
        <v>0</v>
      </c>
    </row>
    <row r="173" spans="1:29">
      <c r="A173" s="5">
        <f>IF(B173=" "," ",HYPERLINK(CONCATENATE("#metadata!",ADDRESS(INDEX($P$2:$P$1001,MATCH(ROWS($N$2:N173),$N$2:$N$1001,0),0),1)),INDEX($S$2:$S$1001,MATCH(ROWS($N$2:N173),$N$2:$N$1001,0),0)))</f>
        <v>0</v>
      </c>
      <c r="B173" s="4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4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4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4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4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4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4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4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4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OR(AND(IF(Metadata!C173="",FALSE,TRUE),OR(exact(Metadata!C173,"not applicable"),exact(Metadata!C173,"not collected"),exact(Metadata!C173,"not provided"),exact(Metadata!C173,"restricted access"))),IF(Metadata!C173="",FALSE,ISNUMBER(VALUE(Metadata!C173))))</f>
        <v>0</v>
      </c>
      <c r="W173">
        <f>AND(IF(Metadata!D173="",FALSE,TRUE),exact(Metadata!D173,"m"))</f>
        <v>0</v>
      </c>
      <c r="X173">
        <f>AND(IF(Metadata!E173="",FALSE,TRUE),OR(exact(Metadata!E173,"aerosol (non-saline)"),exact(Metadata!E173,"aerosol (saline)")))</f>
        <v>0</v>
      </c>
      <c r="Y173">
        <f>AND(IF(Metadata!F173="",FALSE,TRUE),exact(Metadata!F173,"air"))</f>
        <v>0</v>
      </c>
      <c r="Z173">
        <f>AND(IF(Metadata!G173="",FALSE,TRUE),exact(Metadata!G173,"air"))</f>
        <v>0</v>
      </c>
      <c r="AA173">
        <f>AND(IF(Metadata!H173="",FALSE,TRUE),exact(Metadata!H173,"air"))</f>
        <v>0</v>
      </c>
      <c r="AB173">
        <f>AND(IF(Metadata!I173="",FALSE,TRUE),exact(Metadata!I173,"air metagenome"))</f>
        <v>0</v>
      </c>
      <c r="AC173">
        <f>AND(IF(Metadata!J173="",FALSE,TRUE),exact(Metadata!J173,"655179"))</f>
        <v>0</v>
      </c>
    </row>
    <row r="174" spans="1:29">
      <c r="A174" s="5">
        <f>IF(B174=" "," ",HYPERLINK(CONCATENATE("#metadata!",ADDRESS(INDEX($P$2:$P$1001,MATCH(ROWS($N$2:N174),$N$2:$N$1001,0),0),1)),INDEX($S$2:$S$1001,MATCH(ROWS($N$2:N174),$N$2:$N$1001,0),0)))</f>
        <v>0</v>
      </c>
      <c r="B174" s="4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4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4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4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4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4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4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4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4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OR(AND(IF(Metadata!C174="",FALSE,TRUE),OR(exact(Metadata!C174,"not applicable"),exact(Metadata!C174,"not collected"),exact(Metadata!C174,"not provided"),exact(Metadata!C174,"restricted access"))),IF(Metadata!C174="",FALSE,ISNUMBER(VALUE(Metadata!C174))))</f>
        <v>0</v>
      </c>
      <c r="W174">
        <f>AND(IF(Metadata!D174="",FALSE,TRUE),exact(Metadata!D174,"m"))</f>
        <v>0</v>
      </c>
      <c r="X174">
        <f>AND(IF(Metadata!E174="",FALSE,TRUE),OR(exact(Metadata!E174,"aerosol (non-saline)"),exact(Metadata!E174,"aerosol (saline)")))</f>
        <v>0</v>
      </c>
      <c r="Y174">
        <f>AND(IF(Metadata!F174="",FALSE,TRUE),exact(Metadata!F174,"air"))</f>
        <v>0</v>
      </c>
      <c r="Z174">
        <f>AND(IF(Metadata!G174="",FALSE,TRUE),exact(Metadata!G174,"air"))</f>
        <v>0</v>
      </c>
      <c r="AA174">
        <f>AND(IF(Metadata!H174="",FALSE,TRUE),exact(Metadata!H174,"air"))</f>
        <v>0</v>
      </c>
      <c r="AB174">
        <f>AND(IF(Metadata!I174="",FALSE,TRUE),exact(Metadata!I174,"air metagenome"))</f>
        <v>0</v>
      </c>
      <c r="AC174">
        <f>AND(IF(Metadata!J174="",FALSE,TRUE),exact(Metadata!J174,"655179"))</f>
        <v>0</v>
      </c>
    </row>
    <row r="175" spans="1:29">
      <c r="A175" s="5">
        <f>IF(B175=" "," ",HYPERLINK(CONCATENATE("#metadata!",ADDRESS(INDEX($P$2:$P$1001,MATCH(ROWS($N$2:N175),$N$2:$N$1001,0),0),1)),INDEX($S$2:$S$1001,MATCH(ROWS($N$2:N175),$N$2:$N$1001,0),0)))</f>
        <v>0</v>
      </c>
      <c r="B175" s="4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4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4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4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4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4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4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4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4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OR(AND(IF(Metadata!C175="",FALSE,TRUE),OR(exact(Metadata!C175,"not applicable"),exact(Metadata!C175,"not collected"),exact(Metadata!C175,"not provided"),exact(Metadata!C175,"restricted access"))),IF(Metadata!C175="",FALSE,ISNUMBER(VALUE(Metadata!C175))))</f>
        <v>0</v>
      </c>
      <c r="W175">
        <f>AND(IF(Metadata!D175="",FALSE,TRUE),exact(Metadata!D175,"m"))</f>
        <v>0</v>
      </c>
      <c r="X175">
        <f>AND(IF(Metadata!E175="",FALSE,TRUE),OR(exact(Metadata!E175,"aerosol (non-saline)"),exact(Metadata!E175,"aerosol (saline)")))</f>
        <v>0</v>
      </c>
      <c r="Y175">
        <f>AND(IF(Metadata!F175="",FALSE,TRUE),exact(Metadata!F175,"air"))</f>
        <v>0</v>
      </c>
      <c r="Z175">
        <f>AND(IF(Metadata!G175="",FALSE,TRUE),exact(Metadata!G175,"air"))</f>
        <v>0</v>
      </c>
      <c r="AA175">
        <f>AND(IF(Metadata!H175="",FALSE,TRUE),exact(Metadata!H175,"air"))</f>
        <v>0</v>
      </c>
      <c r="AB175">
        <f>AND(IF(Metadata!I175="",FALSE,TRUE),exact(Metadata!I175,"air metagenome"))</f>
        <v>0</v>
      </c>
      <c r="AC175">
        <f>AND(IF(Metadata!J175="",FALSE,TRUE),exact(Metadata!J175,"655179"))</f>
        <v>0</v>
      </c>
    </row>
    <row r="176" spans="1:29">
      <c r="A176" s="5">
        <f>IF(B176=" "," ",HYPERLINK(CONCATENATE("#metadata!",ADDRESS(INDEX($P$2:$P$1001,MATCH(ROWS($N$2:N176),$N$2:$N$1001,0),0),1)),INDEX($S$2:$S$1001,MATCH(ROWS($N$2:N176),$N$2:$N$1001,0),0)))</f>
        <v>0</v>
      </c>
      <c r="B176" s="4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4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4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4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4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4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4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4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4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OR(AND(IF(Metadata!C176="",FALSE,TRUE),OR(exact(Metadata!C176,"not applicable"),exact(Metadata!C176,"not collected"),exact(Metadata!C176,"not provided"),exact(Metadata!C176,"restricted access"))),IF(Metadata!C176="",FALSE,ISNUMBER(VALUE(Metadata!C176))))</f>
        <v>0</v>
      </c>
      <c r="W176">
        <f>AND(IF(Metadata!D176="",FALSE,TRUE),exact(Metadata!D176,"m"))</f>
        <v>0</v>
      </c>
      <c r="X176">
        <f>AND(IF(Metadata!E176="",FALSE,TRUE),OR(exact(Metadata!E176,"aerosol (non-saline)"),exact(Metadata!E176,"aerosol (saline)")))</f>
        <v>0</v>
      </c>
      <c r="Y176">
        <f>AND(IF(Metadata!F176="",FALSE,TRUE),exact(Metadata!F176,"air"))</f>
        <v>0</v>
      </c>
      <c r="Z176">
        <f>AND(IF(Metadata!G176="",FALSE,TRUE),exact(Metadata!G176,"air"))</f>
        <v>0</v>
      </c>
      <c r="AA176">
        <f>AND(IF(Metadata!H176="",FALSE,TRUE),exact(Metadata!H176,"air"))</f>
        <v>0</v>
      </c>
      <c r="AB176">
        <f>AND(IF(Metadata!I176="",FALSE,TRUE),exact(Metadata!I176,"air metagenome"))</f>
        <v>0</v>
      </c>
      <c r="AC176">
        <f>AND(IF(Metadata!J176="",FALSE,TRUE),exact(Metadata!J176,"655179"))</f>
        <v>0</v>
      </c>
    </row>
    <row r="177" spans="1:29">
      <c r="A177" s="5">
        <f>IF(B177=" "," ",HYPERLINK(CONCATENATE("#metadata!",ADDRESS(INDEX($P$2:$P$1001,MATCH(ROWS($N$2:N177),$N$2:$N$1001,0),0),1)),INDEX($S$2:$S$1001,MATCH(ROWS($N$2:N177),$N$2:$N$1001,0),0)))</f>
        <v>0</v>
      </c>
      <c r="B177" s="4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4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4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4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4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4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4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4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4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OR(AND(IF(Metadata!C177="",FALSE,TRUE),OR(exact(Metadata!C177,"not applicable"),exact(Metadata!C177,"not collected"),exact(Metadata!C177,"not provided"),exact(Metadata!C177,"restricted access"))),IF(Metadata!C177="",FALSE,ISNUMBER(VALUE(Metadata!C177))))</f>
        <v>0</v>
      </c>
      <c r="W177">
        <f>AND(IF(Metadata!D177="",FALSE,TRUE),exact(Metadata!D177,"m"))</f>
        <v>0</v>
      </c>
      <c r="X177">
        <f>AND(IF(Metadata!E177="",FALSE,TRUE),OR(exact(Metadata!E177,"aerosol (non-saline)"),exact(Metadata!E177,"aerosol (saline)")))</f>
        <v>0</v>
      </c>
      <c r="Y177">
        <f>AND(IF(Metadata!F177="",FALSE,TRUE),exact(Metadata!F177,"air"))</f>
        <v>0</v>
      </c>
      <c r="Z177">
        <f>AND(IF(Metadata!G177="",FALSE,TRUE),exact(Metadata!G177,"air"))</f>
        <v>0</v>
      </c>
      <c r="AA177">
        <f>AND(IF(Metadata!H177="",FALSE,TRUE),exact(Metadata!H177,"air"))</f>
        <v>0</v>
      </c>
      <c r="AB177">
        <f>AND(IF(Metadata!I177="",FALSE,TRUE),exact(Metadata!I177,"air metagenome"))</f>
        <v>0</v>
      </c>
      <c r="AC177">
        <f>AND(IF(Metadata!J177="",FALSE,TRUE),exact(Metadata!J177,"655179"))</f>
        <v>0</v>
      </c>
    </row>
    <row r="178" spans="1:29">
      <c r="A178" s="5">
        <f>IF(B178=" "," ",HYPERLINK(CONCATENATE("#metadata!",ADDRESS(INDEX($P$2:$P$1001,MATCH(ROWS($N$2:N178),$N$2:$N$1001,0),0),1)),INDEX($S$2:$S$1001,MATCH(ROWS($N$2:N178),$N$2:$N$1001,0),0)))</f>
        <v>0</v>
      </c>
      <c r="B178" s="4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4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4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4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4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4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4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4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4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OR(AND(IF(Metadata!C178="",FALSE,TRUE),OR(exact(Metadata!C178,"not applicable"),exact(Metadata!C178,"not collected"),exact(Metadata!C178,"not provided"),exact(Metadata!C178,"restricted access"))),IF(Metadata!C178="",FALSE,ISNUMBER(VALUE(Metadata!C178))))</f>
        <v>0</v>
      </c>
      <c r="W178">
        <f>AND(IF(Metadata!D178="",FALSE,TRUE),exact(Metadata!D178,"m"))</f>
        <v>0</v>
      </c>
      <c r="X178">
        <f>AND(IF(Metadata!E178="",FALSE,TRUE),OR(exact(Metadata!E178,"aerosol (non-saline)"),exact(Metadata!E178,"aerosol (saline)")))</f>
        <v>0</v>
      </c>
      <c r="Y178">
        <f>AND(IF(Metadata!F178="",FALSE,TRUE),exact(Metadata!F178,"air"))</f>
        <v>0</v>
      </c>
      <c r="Z178">
        <f>AND(IF(Metadata!G178="",FALSE,TRUE),exact(Metadata!G178,"air"))</f>
        <v>0</v>
      </c>
      <c r="AA178">
        <f>AND(IF(Metadata!H178="",FALSE,TRUE),exact(Metadata!H178,"air"))</f>
        <v>0</v>
      </c>
      <c r="AB178">
        <f>AND(IF(Metadata!I178="",FALSE,TRUE),exact(Metadata!I178,"air metagenome"))</f>
        <v>0</v>
      </c>
      <c r="AC178">
        <f>AND(IF(Metadata!J178="",FALSE,TRUE),exact(Metadata!J178,"655179"))</f>
        <v>0</v>
      </c>
    </row>
    <row r="179" spans="1:29">
      <c r="A179" s="5">
        <f>IF(B179=" "," ",HYPERLINK(CONCATENATE("#metadata!",ADDRESS(INDEX($P$2:$P$1001,MATCH(ROWS($N$2:N179),$N$2:$N$1001,0),0),1)),INDEX($S$2:$S$1001,MATCH(ROWS($N$2:N179),$N$2:$N$1001,0),0)))</f>
        <v>0</v>
      </c>
      <c r="B179" s="4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4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4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4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4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4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4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4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4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OR(AND(IF(Metadata!C179="",FALSE,TRUE),OR(exact(Metadata!C179,"not applicable"),exact(Metadata!C179,"not collected"),exact(Metadata!C179,"not provided"),exact(Metadata!C179,"restricted access"))),IF(Metadata!C179="",FALSE,ISNUMBER(VALUE(Metadata!C179))))</f>
        <v>0</v>
      </c>
      <c r="W179">
        <f>AND(IF(Metadata!D179="",FALSE,TRUE),exact(Metadata!D179,"m"))</f>
        <v>0</v>
      </c>
      <c r="X179">
        <f>AND(IF(Metadata!E179="",FALSE,TRUE),OR(exact(Metadata!E179,"aerosol (non-saline)"),exact(Metadata!E179,"aerosol (saline)")))</f>
        <v>0</v>
      </c>
      <c r="Y179">
        <f>AND(IF(Metadata!F179="",FALSE,TRUE),exact(Metadata!F179,"air"))</f>
        <v>0</v>
      </c>
      <c r="Z179">
        <f>AND(IF(Metadata!G179="",FALSE,TRUE),exact(Metadata!G179,"air"))</f>
        <v>0</v>
      </c>
      <c r="AA179">
        <f>AND(IF(Metadata!H179="",FALSE,TRUE),exact(Metadata!H179,"air"))</f>
        <v>0</v>
      </c>
      <c r="AB179">
        <f>AND(IF(Metadata!I179="",FALSE,TRUE),exact(Metadata!I179,"air metagenome"))</f>
        <v>0</v>
      </c>
      <c r="AC179">
        <f>AND(IF(Metadata!J179="",FALSE,TRUE),exact(Metadata!J179,"655179"))</f>
        <v>0</v>
      </c>
    </row>
    <row r="180" spans="1:29">
      <c r="A180" s="5">
        <f>IF(B180=" "," ",HYPERLINK(CONCATENATE("#metadata!",ADDRESS(INDEX($P$2:$P$1001,MATCH(ROWS($N$2:N180),$N$2:$N$1001,0),0),1)),INDEX($S$2:$S$1001,MATCH(ROWS($N$2:N180),$N$2:$N$1001,0),0)))</f>
        <v>0</v>
      </c>
      <c r="B180" s="4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4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4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4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4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4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4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4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4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OR(AND(IF(Metadata!C180="",FALSE,TRUE),OR(exact(Metadata!C180,"not applicable"),exact(Metadata!C180,"not collected"),exact(Metadata!C180,"not provided"),exact(Metadata!C180,"restricted access"))),IF(Metadata!C180="",FALSE,ISNUMBER(VALUE(Metadata!C180))))</f>
        <v>0</v>
      </c>
      <c r="W180">
        <f>AND(IF(Metadata!D180="",FALSE,TRUE),exact(Metadata!D180,"m"))</f>
        <v>0</v>
      </c>
      <c r="X180">
        <f>AND(IF(Metadata!E180="",FALSE,TRUE),OR(exact(Metadata!E180,"aerosol (non-saline)"),exact(Metadata!E180,"aerosol (saline)")))</f>
        <v>0</v>
      </c>
      <c r="Y180">
        <f>AND(IF(Metadata!F180="",FALSE,TRUE),exact(Metadata!F180,"air"))</f>
        <v>0</v>
      </c>
      <c r="Z180">
        <f>AND(IF(Metadata!G180="",FALSE,TRUE),exact(Metadata!G180,"air"))</f>
        <v>0</v>
      </c>
      <c r="AA180">
        <f>AND(IF(Metadata!H180="",FALSE,TRUE),exact(Metadata!H180,"air"))</f>
        <v>0</v>
      </c>
      <c r="AB180">
        <f>AND(IF(Metadata!I180="",FALSE,TRUE),exact(Metadata!I180,"air metagenome"))</f>
        <v>0</v>
      </c>
      <c r="AC180">
        <f>AND(IF(Metadata!J180="",FALSE,TRUE),exact(Metadata!J180,"655179"))</f>
        <v>0</v>
      </c>
    </row>
    <row r="181" spans="1:29">
      <c r="A181" s="5">
        <f>IF(B181=" "," ",HYPERLINK(CONCATENATE("#metadata!",ADDRESS(INDEX($P$2:$P$1001,MATCH(ROWS($N$2:N181),$N$2:$N$1001,0),0),1)),INDEX($S$2:$S$1001,MATCH(ROWS($N$2:N181),$N$2:$N$1001,0),0)))</f>
        <v>0</v>
      </c>
      <c r="B181" s="4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4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4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4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4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4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4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4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4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OR(AND(IF(Metadata!C181="",FALSE,TRUE),OR(exact(Metadata!C181,"not applicable"),exact(Metadata!C181,"not collected"),exact(Metadata!C181,"not provided"),exact(Metadata!C181,"restricted access"))),IF(Metadata!C181="",FALSE,ISNUMBER(VALUE(Metadata!C181))))</f>
        <v>0</v>
      </c>
      <c r="W181">
        <f>AND(IF(Metadata!D181="",FALSE,TRUE),exact(Metadata!D181,"m"))</f>
        <v>0</v>
      </c>
      <c r="X181">
        <f>AND(IF(Metadata!E181="",FALSE,TRUE),OR(exact(Metadata!E181,"aerosol (non-saline)"),exact(Metadata!E181,"aerosol (saline)")))</f>
        <v>0</v>
      </c>
      <c r="Y181">
        <f>AND(IF(Metadata!F181="",FALSE,TRUE),exact(Metadata!F181,"air"))</f>
        <v>0</v>
      </c>
      <c r="Z181">
        <f>AND(IF(Metadata!G181="",FALSE,TRUE),exact(Metadata!G181,"air"))</f>
        <v>0</v>
      </c>
      <c r="AA181">
        <f>AND(IF(Metadata!H181="",FALSE,TRUE),exact(Metadata!H181,"air"))</f>
        <v>0</v>
      </c>
      <c r="AB181">
        <f>AND(IF(Metadata!I181="",FALSE,TRUE),exact(Metadata!I181,"air metagenome"))</f>
        <v>0</v>
      </c>
      <c r="AC181">
        <f>AND(IF(Metadata!J181="",FALSE,TRUE),exact(Metadata!J181,"655179"))</f>
        <v>0</v>
      </c>
    </row>
    <row r="182" spans="1:29">
      <c r="A182" s="5">
        <f>IF(B182=" "," ",HYPERLINK(CONCATENATE("#metadata!",ADDRESS(INDEX($P$2:$P$1001,MATCH(ROWS($N$2:N182),$N$2:$N$1001,0),0),1)),INDEX($S$2:$S$1001,MATCH(ROWS($N$2:N182),$N$2:$N$1001,0),0)))</f>
        <v>0</v>
      </c>
      <c r="B182" s="4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4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4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4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4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4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4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4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4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OR(AND(IF(Metadata!C182="",FALSE,TRUE),OR(exact(Metadata!C182,"not applicable"),exact(Metadata!C182,"not collected"),exact(Metadata!C182,"not provided"),exact(Metadata!C182,"restricted access"))),IF(Metadata!C182="",FALSE,ISNUMBER(VALUE(Metadata!C182))))</f>
        <v>0</v>
      </c>
      <c r="W182">
        <f>AND(IF(Metadata!D182="",FALSE,TRUE),exact(Metadata!D182,"m"))</f>
        <v>0</v>
      </c>
      <c r="X182">
        <f>AND(IF(Metadata!E182="",FALSE,TRUE),OR(exact(Metadata!E182,"aerosol (non-saline)"),exact(Metadata!E182,"aerosol (saline)")))</f>
        <v>0</v>
      </c>
      <c r="Y182">
        <f>AND(IF(Metadata!F182="",FALSE,TRUE),exact(Metadata!F182,"air"))</f>
        <v>0</v>
      </c>
      <c r="Z182">
        <f>AND(IF(Metadata!G182="",FALSE,TRUE),exact(Metadata!G182,"air"))</f>
        <v>0</v>
      </c>
      <c r="AA182">
        <f>AND(IF(Metadata!H182="",FALSE,TRUE),exact(Metadata!H182,"air"))</f>
        <v>0</v>
      </c>
      <c r="AB182">
        <f>AND(IF(Metadata!I182="",FALSE,TRUE),exact(Metadata!I182,"air metagenome"))</f>
        <v>0</v>
      </c>
      <c r="AC182">
        <f>AND(IF(Metadata!J182="",FALSE,TRUE),exact(Metadata!J182,"655179"))</f>
        <v>0</v>
      </c>
    </row>
    <row r="183" spans="1:29">
      <c r="A183" s="5">
        <f>IF(B183=" "," ",HYPERLINK(CONCATENATE("#metadata!",ADDRESS(INDEX($P$2:$P$1001,MATCH(ROWS($N$2:N183),$N$2:$N$1001,0),0),1)),INDEX($S$2:$S$1001,MATCH(ROWS($N$2:N183),$N$2:$N$1001,0),0)))</f>
        <v>0</v>
      </c>
      <c r="B183" s="4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4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4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4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4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4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4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4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4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OR(AND(IF(Metadata!C183="",FALSE,TRUE),OR(exact(Metadata!C183,"not applicable"),exact(Metadata!C183,"not collected"),exact(Metadata!C183,"not provided"),exact(Metadata!C183,"restricted access"))),IF(Metadata!C183="",FALSE,ISNUMBER(VALUE(Metadata!C183))))</f>
        <v>0</v>
      </c>
      <c r="W183">
        <f>AND(IF(Metadata!D183="",FALSE,TRUE),exact(Metadata!D183,"m"))</f>
        <v>0</v>
      </c>
      <c r="X183">
        <f>AND(IF(Metadata!E183="",FALSE,TRUE),OR(exact(Metadata!E183,"aerosol (non-saline)"),exact(Metadata!E183,"aerosol (saline)")))</f>
        <v>0</v>
      </c>
      <c r="Y183">
        <f>AND(IF(Metadata!F183="",FALSE,TRUE),exact(Metadata!F183,"air"))</f>
        <v>0</v>
      </c>
      <c r="Z183">
        <f>AND(IF(Metadata!G183="",FALSE,TRUE),exact(Metadata!G183,"air"))</f>
        <v>0</v>
      </c>
      <c r="AA183">
        <f>AND(IF(Metadata!H183="",FALSE,TRUE),exact(Metadata!H183,"air"))</f>
        <v>0</v>
      </c>
      <c r="AB183">
        <f>AND(IF(Metadata!I183="",FALSE,TRUE),exact(Metadata!I183,"air metagenome"))</f>
        <v>0</v>
      </c>
      <c r="AC183">
        <f>AND(IF(Metadata!J183="",FALSE,TRUE),exact(Metadata!J183,"655179"))</f>
        <v>0</v>
      </c>
    </row>
    <row r="184" spans="1:29">
      <c r="A184" s="5">
        <f>IF(B184=" "," ",HYPERLINK(CONCATENATE("#metadata!",ADDRESS(INDEX($P$2:$P$1001,MATCH(ROWS($N$2:N184),$N$2:$N$1001,0),0),1)),INDEX($S$2:$S$1001,MATCH(ROWS($N$2:N184),$N$2:$N$1001,0),0)))</f>
        <v>0</v>
      </c>
      <c r="B184" s="4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4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4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4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4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4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4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4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4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OR(AND(IF(Metadata!C184="",FALSE,TRUE),OR(exact(Metadata!C184,"not applicable"),exact(Metadata!C184,"not collected"),exact(Metadata!C184,"not provided"),exact(Metadata!C184,"restricted access"))),IF(Metadata!C184="",FALSE,ISNUMBER(VALUE(Metadata!C184))))</f>
        <v>0</v>
      </c>
      <c r="W184">
        <f>AND(IF(Metadata!D184="",FALSE,TRUE),exact(Metadata!D184,"m"))</f>
        <v>0</v>
      </c>
      <c r="X184">
        <f>AND(IF(Metadata!E184="",FALSE,TRUE),OR(exact(Metadata!E184,"aerosol (non-saline)"),exact(Metadata!E184,"aerosol (saline)")))</f>
        <v>0</v>
      </c>
      <c r="Y184">
        <f>AND(IF(Metadata!F184="",FALSE,TRUE),exact(Metadata!F184,"air"))</f>
        <v>0</v>
      </c>
      <c r="Z184">
        <f>AND(IF(Metadata!G184="",FALSE,TRUE),exact(Metadata!G184,"air"))</f>
        <v>0</v>
      </c>
      <c r="AA184">
        <f>AND(IF(Metadata!H184="",FALSE,TRUE),exact(Metadata!H184,"air"))</f>
        <v>0</v>
      </c>
      <c r="AB184">
        <f>AND(IF(Metadata!I184="",FALSE,TRUE),exact(Metadata!I184,"air metagenome"))</f>
        <v>0</v>
      </c>
      <c r="AC184">
        <f>AND(IF(Metadata!J184="",FALSE,TRUE),exact(Metadata!J184,"655179"))</f>
        <v>0</v>
      </c>
    </row>
    <row r="185" spans="1:29">
      <c r="A185" s="5">
        <f>IF(B185=" "," ",HYPERLINK(CONCATENATE("#metadata!",ADDRESS(INDEX($P$2:$P$1001,MATCH(ROWS($N$2:N185),$N$2:$N$1001,0),0),1)),INDEX($S$2:$S$1001,MATCH(ROWS($N$2:N185),$N$2:$N$1001,0),0)))</f>
        <v>0</v>
      </c>
      <c r="B185" s="4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4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4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4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4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4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4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4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4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OR(AND(IF(Metadata!C185="",FALSE,TRUE),OR(exact(Metadata!C185,"not applicable"),exact(Metadata!C185,"not collected"),exact(Metadata!C185,"not provided"),exact(Metadata!C185,"restricted access"))),IF(Metadata!C185="",FALSE,ISNUMBER(VALUE(Metadata!C185))))</f>
        <v>0</v>
      </c>
      <c r="W185">
        <f>AND(IF(Metadata!D185="",FALSE,TRUE),exact(Metadata!D185,"m"))</f>
        <v>0</v>
      </c>
      <c r="X185">
        <f>AND(IF(Metadata!E185="",FALSE,TRUE),OR(exact(Metadata!E185,"aerosol (non-saline)"),exact(Metadata!E185,"aerosol (saline)")))</f>
        <v>0</v>
      </c>
      <c r="Y185">
        <f>AND(IF(Metadata!F185="",FALSE,TRUE),exact(Metadata!F185,"air"))</f>
        <v>0</v>
      </c>
      <c r="Z185">
        <f>AND(IF(Metadata!G185="",FALSE,TRUE),exact(Metadata!G185,"air"))</f>
        <v>0</v>
      </c>
      <c r="AA185">
        <f>AND(IF(Metadata!H185="",FALSE,TRUE),exact(Metadata!H185,"air"))</f>
        <v>0</v>
      </c>
      <c r="AB185">
        <f>AND(IF(Metadata!I185="",FALSE,TRUE),exact(Metadata!I185,"air metagenome"))</f>
        <v>0</v>
      </c>
      <c r="AC185">
        <f>AND(IF(Metadata!J185="",FALSE,TRUE),exact(Metadata!J185,"655179"))</f>
        <v>0</v>
      </c>
    </row>
    <row r="186" spans="1:29">
      <c r="A186" s="5">
        <f>IF(B186=" "," ",HYPERLINK(CONCATENATE("#metadata!",ADDRESS(INDEX($P$2:$P$1001,MATCH(ROWS($N$2:N186),$N$2:$N$1001,0),0),1)),INDEX($S$2:$S$1001,MATCH(ROWS($N$2:N186),$N$2:$N$1001,0),0)))</f>
        <v>0</v>
      </c>
      <c r="B186" s="4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4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4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4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4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4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4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4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4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OR(AND(IF(Metadata!C186="",FALSE,TRUE),OR(exact(Metadata!C186,"not applicable"),exact(Metadata!C186,"not collected"),exact(Metadata!C186,"not provided"),exact(Metadata!C186,"restricted access"))),IF(Metadata!C186="",FALSE,ISNUMBER(VALUE(Metadata!C186))))</f>
        <v>0</v>
      </c>
      <c r="W186">
        <f>AND(IF(Metadata!D186="",FALSE,TRUE),exact(Metadata!D186,"m"))</f>
        <v>0</v>
      </c>
      <c r="X186">
        <f>AND(IF(Metadata!E186="",FALSE,TRUE),OR(exact(Metadata!E186,"aerosol (non-saline)"),exact(Metadata!E186,"aerosol (saline)")))</f>
        <v>0</v>
      </c>
      <c r="Y186">
        <f>AND(IF(Metadata!F186="",FALSE,TRUE),exact(Metadata!F186,"air"))</f>
        <v>0</v>
      </c>
      <c r="Z186">
        <f>AND(IF(Metadata!G186="",FALSE,TRUE),exact(Metadata!G186,"air"))</f>
        <v>0</v>
      </c>
      <c r="AA186">
        <f>AND(IF(Metadata!H186="",FALSE,TRUE),exact(Metadata!H186,"air"))</f>
        <v>0</v>
      </c>
      <c r="AB186">
        <f>AND(IF(Metadata!I186="",FALSE,TRUE),exact(Metadata!I186,"air metagenome"))</f>
        <v>0</v>
      </c>
      <c r="AC186">
        <f>AND(IF(Metadata!J186="",FALSE,TRUE),exact(Metadata!J186,"655179"))</f>
        <v>0</v>
      </c>
    </row>
    <row r="187" spans="1:29">
      <c r="A187" s="5">
        <f>IF(B187=" "," ",HYPERLINK(CONCATENATE("#metadata!",ADDRESS(INDEX($P$2:$P$1001,MATCH(ROWS($N$2:N187),$N$2:$N$1001,0),0),1)),INDEX($S$2:$S$1001,MATCH(ROWS($N$2:N187),$N$2:$N$1001,0),0)))</f>
        <v>0</v>
      </c>
      <c r="B187" s="4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4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4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4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4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4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4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4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4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OR(AND(IF(Metadata!C187="",FALSE,TRUE),OR(exact(Metadata!C187,"not applicable"),exact(Metadata!C187,"not collected"),exact(Metadata!C187,"not provided"),exact(Metadata!C187,"restricted access"))),IF(Metadata!C187="",FALSE,ISNUMBER(VALUE(Metadata!C187))))</f>
        <v>0</v>
      </c>
      <c r="W187">
        <f>AND(IF(Metadata!D187="",FALSE,TRUE),exact(Metadata!D187,"m"))</f>
        <v>0</v>
      </c>
      <c r="X187">
        <f>AND(IF(Metadata!E187="",FALSE,TRUE),OR(exact(Metadata!E187,"aerosol (non-saline)"),exact(Metadata!E187,"aerosol (saline)")))</f>
        <v>0</v>
      </c>
      <c r="Y187">
        <f>AND(IF(Metadata!F187="",FALSE,TRUE),exact(Metadata!F187,"air"))</f>
        <v>0</v>
      </c>
      <c r="Z187">
        <f>AND(IF(Metadata!G187="",FALSE,TRUE),exact(Metadata!G187,"air"))</f>
        <v>0</v>
      </c>
      <c r="AA187">
        <f>AND(IF(Metadata!H187="",FALSE,TRUE),exact(Metadata!H187,"air"))</f>
        <v>0</v>
      </c>
      <c r="AB187">
        <f>AND(IF(Metadata!I187="",FALSE,TRUE),exact(Metadata!I187,"air metagenome"))</f>
        <v>0</v>
      </c>
      <c r="AC187">
        <f>AND(IF(Metadata!J187="",FALSE,TRUE),exact(Metadata!J187,"655179"))</f>
        <v>0</v>
      </c>
    </row>
    <row r="188" spans="1:29">
      <c r="A188" s="5">
        <f>IF(B188=" "," ",HYPERLINK(CONCATENATE("#metadata!",ADDRESS(INDEX($P$2:$P$1001,MATCH(ROWS($N$2:N188),$N$2:$N$1001,0),0),1)),INDEX($S$2:$S$1001,MATCH(ROWS($N$2:N188),$N$2:$N$1001,0),0)))</f>
        <v>0</v>
      </c>
      <c r="B188" s="4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4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4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4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4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4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4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4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4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OR(AND(IF(Metadata!C188="",FALSE,TRUE),OR(exact(Metadata!C188,"not applicable"),exact(Metadata!C188,"not collected"),exact(Metadata!C188,"not provided"),exact(Metadata!C188,"restricted access"))),IF(Metadata!C188="",FALSE,ISNUMBER(VALUE(Metadata!C188))))</f>
        <v>0</v>
      </c>
      <c r="W188">
        <f>AND(IF(Metadata!D188="",FALSE,TRUE),exact(Metadata!D188,"m"))</f>
        <v>0</v>
      </c>
      <c r="X188">
        <f>AND(IF(Metadata!E188="",FALSE,TRUE),OR(exact(Metadata!E188,"aerosol (non-saline)"),exact(Metadata!E188,"aerosol (saline)")))</f>
        <v>0</v>
      </c>
      <c r="Y188">
        <f>AND(IF(Metadata!F188="",FALSE,TRUE),exact(Metadata!F188,"air"))</f>
        <v>0</v>
      </c>
      <c r="Z188">
        <f>AND(IF(Metadata!G188="",FALSE,TRUE),exact(Metadata!G188,"air"))</f>
        <v>0</v>
      </c>
      <c r="AA188">
        <f>AND(IF(Metadata!H188="",FALSE,TRUE),exact(Metadata!H188,"air"))</f>
        <v>0</v>
      </c>
      <c r="AB188">
        <f>AND(IF(Metadata!I188="",FALSE,TRUE),exact(Metadata!I188,"air metagenome"))</f>
        <v>0</v>
      </c>
      <c r="AC188">
        <f>AND(IF(Metadata!J188="",FALSE,TRUE),exact(Metadata!J188,"655179"))</f>
        <v>0</v>
      </c>
    </row>
    <row r="189" spans="1:29">
      <c r="A189" s="5">
        <f>IF(B189=" "," ",HYPERLINK(CONCATENATE("#metadata!",ADDRESS(INDEX($P$2:$P$1001,MATCH(ROWS($N$2:N189),$N$2:$N$1001,0),0),1)),INDEX($S$2:$S$1001,MATCH(ROWS($N$2:N189),$N$2:$N$1001,0),0)))</f>
        <v>0</v>
      </c>
      <c r="B189" s="4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4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4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4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4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4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4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4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4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OR(AND(IF(Metadata!C189="",FALSE,TRUE),OR(exact(Metadata!C189,"not applicable"),exact(Metadata!C189,"not collected"),exact(Metadata!C189,"not provided"),exact(Metadata!C189,"restricted access"))),IF(Metadata!C189="",FALSE,ISNUMBER(VALUE(Metadata!C189))))</f>
        <v>0</v>
      </c>
      <c r="W189">
        <f>AND(IF(Metadata!D189="",FALSE,TRUE),exact(Metadata!D189,"m"))</f>
        <v>0</v>
      </c>
      <c r="X189">
        <f>AND(IF(Metadata!E189="",FALSE,TRUE),OR(exact(Metadata!E189,"aerosol (non-saline)"),exact(Metadata!E189,"aerosol (saline)")))</f>
        <v>0</v>
      </c>
      <c r="Y189">
        <f>AND(IF(Metadata!F189="",FALSE,TRUE),exact(Metadata!F189,"air"))</f>
        <v>0</v>
      </c>
      <c r="Z189">
        <f>AND(IF(Metadata!G189="",FALSE,TRUE),exact(Metadata!G189,"air"))</f>
        <v>0</v>
      </c>
      <c r="AA189">
        <f>AND(IF(Metadata!H189="",FALSE,TRUE),exact(Metadata!H189,"air"))</f>
        <v>0</v>
      </c>
      <c r="AB189">
        <f>AND(IF(Metadata!I189="",FALSE,TRUE),exact(Metadata!I189,"air metagenome"))</f>
        <v>0</v>
      </c>
      <c r="AC189">
        <f>AND(IF(Metadata!J189="",FALSE,TRUE),exact(Metadata!J189,"655179"))</f>
        <v>0</v>
      </c>
    </row>
    <row r="190" spans="1:29">
      <c r="A190" s="5">
        <f>IF(B190=" "," ",HYPERLINK(CONCATENATE("#metadata!",ADDRESS(INDEX($P$2:$P$1001,MATCH(ROWS($N$2:N190),$N$2:$N$1001,0),0),1)),INDEX($S$2:$S$1001,MATCH(ROWS($N$2:N190),$N$2:$N$1001,0),0)))</f>
        <v>0</v>
      </c>
      <c r="B190" s="4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4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4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4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4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4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4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4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4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OR(AND(IF(Metadata!C190="",FALSE,TRUE),OR(exact(Metadata!C190,"not applicable"),exact(Metadata!C190,"not collected"),exact(Metadata!C190,"not provided"),exact(Metadata!C190,"restricted access"))),IF(Metadata!C190="",FALSE,ISNUMBER(VALUE(Metadata!C190))))</f>
        <v>0</v>
      </c>
      <c r="W190">
        <f>AND(IF(Metadata!D190="",FALSE,TRUE),exact(Metadata!D190,"m"))</f>
        <v>0</v>
      </c>
      <c r="X190">
        <f>AND(IF(Metadata!E190="",FALSE,TRUE),OR(exact(Metadata!E190,"aerosol (non-saline)"),exact(Metadata!E190,"aerosol (saline)")))</f>
        <v>0</v>
      </c>
      <c r="Y190">
        <f>AND(IF(Metadata!F190="",FALSE,TRUE),exact(Metadata!F190,"air"))</f>
        <v>0</v>
      </c>
      <c r="Z190">
        <f>AND(IF(Metadata!G190="",FALSE,TRUE),exact(Metadata!G190,"air"))</f>
        <v>0</v>
      </c>
      <c r="AA190">
        <f>AND(IF(Metadata!H190="",FALSE,TRUE),exact(Metadata!H190,"air"))</f>
        <v>0</v>
      </c>
      <c r="AB190">
        <f>AND(IF(Metadata!I190="",FALSE,TRUE),exact(Metadata!I190,"air metagenome"))</f>
        <v>0</v>
      </c>
      <c r="AC190">
        <f>AND(IF(Metadata!J190="",FALSE,TRUE),exact(Metadata!J190,"655179"))</f>
        <v>0</v>
      </c>
    </row>
    <row r="191" spans="1:29">
      <c r="A191" s="5">
        <f>IF(B191=" "," ",HYPERLINK(CONCATENATE("#metadata!",ADDRESS(INDEX($P$2:$P$1001,MATCH(ROWS($N$2:N191),$N$2:$N$1001,0),0),1)),INDEX($S$2:$S$1001,MATCH(ROWS($N$2:N191),$N$2:$N$1001,0),0)))</f>
        <v>0</v>
      </c>
      <c r="B191" s="4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4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4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4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4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4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4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4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4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OR(AND(IF(Metadata!C191="",FALSE,TRUE),OR(exact(Metadata!C191,"not applicable"),exact(Metadata!C191,"not collected"),exact(Metadata!C191,"not provided"),exact(Metadata!C191,"restricted access"))),IF(Metadata!C191="",FALSE,ISNUMBER(VALUE(Metadata!C191))))</f>
        <v>0</v>
      </c>
      <c r="W191">
        <f>AND(IF(Metadata!D191="",FALSE,TRUE),exact(Metadata!D191,"m"))</f>
        <v>0</v>
      </c>
      <c r="X191">
        <f>AND(IF(Metadata!E191="",FALSE,TRUE),OR(exact(Metadata!E191,"aerosol (non-saline)"),exact(Metadata!E191,"aerosol (saline)")))</f>
        <v>0</v>
      </c>
      <c r="Y191">
        <f>AND(IF(Metadata!F191="",FALSE,TRUE),exact(Metadata!F191,"air"))</f>
        <v>0</v>
      </c>
      <c r="Z191">
        <f>AND(IF(Metadata!G191="",FALSE,TRUE),exact(Metadata!G191,"air"))</f>
        <v>0</v>
      </c>
      <c r="AA191">
        <f>AND(IF(Metadata!H191="",FALSE,TRUE),exact(Metadata!H191,"air"))</f>
        <v>0</v>
      </c>
      <c r="AB191">
        <f>AND(IF(Metadata!I191="",FALSE,TRUE),exact(Metadata!I191,"air metagenome"))</f>
        <v>0</v>
      </c>
      <c r="AC191">
        <f>AND(IF(Metadata!J191="",FALSE,TRUE),exact(Metadata!J191,"655179"))</f>
        <v>0</v>
      </c>
    </row>
    <row r="192" spans="1:29">
      <c r="A192" s="5">
        <f>IF(B192=" "," ",HYPERLINK(CONCATENATE("#metadata!",ADDRESS(INDEX($P$2:$P$1001,MATCH(ROWS($N$2:N192),$N$2:$N$1001,0),0),1)),INDEX($S$2:$S$1001,MATCH(ROWS($N$2:N192),$N$2:$N$1001,0),0)))</f>
        <v>0</v>
      </c>
      <c r="B192" s="4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4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4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4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4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4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4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4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4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OR(AND(IF(Metadata!C192="",FALSE,TRUE),OR(exact(Metadata!C192,"not applicable"),exact(Metadata!C192,"not collected"),exact(Metadata!C192,"not provided"),exact(Metadata!C192,"restricted access"))),IF(Metadata!C192="",FALSE,ISNUMBER(VALUE(Metadata!C192))))</f>
        <v>0</v>
      </c>
      <c r="W192">
        <f>AND(IF(Metadata!D192="",FALSE,TRUE),exact(Metadata!D192,"m"))</f>
        <v>0</v>
      </c>
      <c r="X192">
        <f>AND(IF(Metadata!E192="",FALSE,TRUE),OR(exact(Metadata!E192,"aerosol (non-saline)"),exact(Metadata!E192,"aerosol (saline)")))</f>
        <v>0</v>
      </c>
      <c r="Y192">
        <f>AND(IF(Metadata!F192="",FALSE,TRUE),exact(Metadata!F192,"air"))</f>
        <v>0</v>
      </c>
      <c r="Z192">
        <f>AND(IF(Metadata!G192="",FALSE,TRUE),exact(Metadata!G192,"air"))</f>
        <v>0</v>
      </c>
      <c r="AA192">
        <f>AND(IF(Metadata!H192="",FALSE,TRUE),exact(Metadata!H192,"air"))</f>
        <v>0</v>
      </c>
      <c r="AB192">
        <f>AND(IF(Metadata!I192="",FALSE,TRUE),exact(Metadata!I192,"air metagenome"))</f>
        <v>0</v>
      </c>
      <c r="AC192">
        <f>AND(IF(Metadata!J192="",FALSE,TRUE),exact(Metadata!J192,"655179"))</f>
        <v>0</v>
      </c>
    </row>
    <row r="193" spans="1:29">
      <c r="A193" s="5">
        <f>IF(B193=" "," ",HYPERLINK(CONCATENATE("#metadata!",ADDRESS(INDEX($P$2:$P$1001,MATCH(ROWS($N$2:N193),$N$2:$N$1001,0),0),1)),INDEX($S$2:$S$1001,MATCH(ROWS($N$2:N193),$N$2:$N$1001,0),0)))</f>
        <v>0</v>
      </c>
      <c r="B193" s="4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4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4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4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4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4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4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4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4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OR(AND(IF(Metadata!C193="",FALSE,TRUE),OR(exact(Metadata!C193,"not applicable"),exact(Metadata!C193,"not collected"),exact(Metadata!C193,"not provided"),exact(Metadata!C193,"restricted access"))),IF(Metadata!C193="",FALSE,ISNUMBER(VALUE(Metadata!C193))))</f>
        <v>0</v>
      </c>
      <c r="W193">
        <f>AND(IF(Metadata!D193="",FALSE,TRUE),exact(Metadata!D193,"m"))</f>
        <v>0</v>
      </c>
      <c r="X193">
        <f>AND(IF(Metadata!E193="",FALSE,TRUE),OR(exact(Metadata!E193,"aerosol (non-saline)"),exact(Metadata!E193,"aerosol (saline)")))</f>
        <v>0</v>
      </c>
      <c r="Y193">
        <f>AND(IF(Metadata!F193="",FALSE,TRUE),exact(Metadata!F193,"air"))</f>
        <v>0</v>
      </c>
      <c r="Z193">
        <f>AND(IF(Metadata!G193="",FALSE,TRUE),exact(Metadata!G193,"air"))</f>
        <v>0</v>
      </c>
      <c r="AA193">
        <f>AND(IF(Metadata!H193="",FALSE,TRUE),exact(Metadata!H193,"air"))</f>
        <v>0</v>
      </c>
      <c r="AB193">
        <f>AND(IF(Metadata!I193="",FALSE,TRUE),exact(Metadata!I193,"air metagenome"))</f>
        <v>0</v>
      </c>
      <c r="AC193">
        <f>AND(IF(Metadata!J193="",FALSE,TRUE),exact(Metadata!J193,"655179"))</f>
        <v>0</v>
      </c>
    </row>
    <row r="194" spans="1:29">
      <c r="A194" s="5">
        <f>IF(B194=" "," ",HYPERLINK(CONCATENATE("#metadata!",ADDRESS(INDEX($P$2:$P$1001,MATCH(ROWS($N$2:N194),$N$2:$N$1001,0),0),1)),INDEX($S$2:$S$1001,MATCH(ROWS($N$2:N194),$N$2:$N$1001,0),0)))</f>
        <v>0</v>
      </c>
      <c r="B194" s="4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4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4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4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4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4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4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4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4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OR(AND(IF(Metadata!C194="",FALSE,TRUE),OR(exact(Metadata!C194,"not applicable"),exact(Metadata!C194,"not collected"),exact(Metadata!C194,"not provided"),exact(Metadata!C194,"restricted access"))),IF(Metadata!C194="",FALSE,ISNUMBER(VALUE(Metadata!C194))))</f>
        <v>0</v>
      </c>
      <c r="W194">
        <f>AND(IF(Metadata!D194="",FALSE,TRUE),exact(Metadata!D194,"m"))</f>
        <v>0</v>
      </c>
      <c r="X194">
        <f>AND(IF(Metadata!E194="",FALSE,TRUE),OR(exact(Metadata!E194,"aerosol (non-saline)"),exact(Metadata!E194,"aerosol (saline)")))</f>
        <v>0</v>
      </c>
      <c r="Y194">
        <f>AND(IF(Metadata!F194="",FALSE,TRUE),exact(Metadata!F194,"air"))</f>
        <v>0</v>
      </c>
      <c r="Z194">
        <f>AND(IF(Metadata!G194="",FALSE,TRUE),exact(Metadata!G194,"air"))</f>
        <v>0</v>
      </c>
      <c r="AA194">
        <f>AND(IF(Metadata!H194="",FALSE,TRUE),exact(Metadata!H194,"air"))</f>
        <v>0</v>
      </c>
      <c r="AB194">
        <f>AND(IF(Metadata!I194="",FALSE,TRUE),exact(Metadata!I194,"air metagenome"))</f>
        <v>0</v>
      </c>
      <c r="AC194">
        <f>AND(IF(Metadata!J194="",FALSE,TRUE),exact(Metadata!J194,"655179"))</f>
        <v>0</v>
      </c>
    </row>
    <row r="195" spans="1:29">
      <c r="A195" s="5">
        <f>IF(B195=" "," ",HYPERLINK(CONCATENATE("#metadata!",ADDRESS(INDEX($P$2:$P$1001,MATCH(ROWS($N$2:N195),$N$2:$N$1001,0),0),1)),INDEX($S$2:$S$1001,MATCH(ROWS($N$2:N195),$N$2:$N$1001,0),0)))</f>
        <v>0</v>
      </c>
      <c r="B195" s="4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4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4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4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4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4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4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4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4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OR(AND(IF(Metadata!C195="",FALSE,TRUE),OR(exact(Metadata!C195,"not applicable"),exact(Metadata!C195,"not collected"),exact(Metadata!C195,"not provided"),exact(Metadata!C195,"restricted access"))),IF(Metadata!C195="",FALSE,ISNUMBER(VALUE(Metadata!C195))))</f>
        <v>0</v>
      </c>
      <c r="W195">
        <f>AND(IF(Metadata!D195="",FALSE,TRUE),exact(Metadata!D195,"m"))</f>
        <v>0</v>
      </c>
      <c r="X195">
        <f>AND(IF(Metadata!E195="",FALSE,TRUE),OR(exact(Metadata!E195,"aerosol (non-saline)"),exact(Metadata!E195,"aerosol (saline)")))</f>
        <v>0</v>
      </c>
      <c r="Y195">
        <f>AND(IF(Metadata!F195="",FALSE,TRUE),exact(Metadata!F195,"air"))</f>
        <v>0</v>
      </c>
      <c r="Z195">
        <f>AND(IF(Metadata!G195="",FALSE,TRUE),exact(Metadata!G195,"air"))</f>
        <v>0</v>
      </c>
      <c r="AA195">
        <f>AND(IF(Metadata!H195="",FALSE,TRUE),exact(Metadata!H195,"air"))</f>
        <v>0</v>
      </c>
      <c r="AB195">
        <f>AND(IF(Metadata!I195="",FALSE,TRUE),exact(Metadata!I195,"air metagenome"))</f>
        <v>0</v>
      </c>
      <c r="AC195">
        <f>AND(IF(Metadata!J195="",FALSE,TRUE),exact(Metadata!J195,"655179"))</f>
        <v>0</v>
      </c>
    </row>
    <row r="196" spans="1:29">
      <c r="A196" s="5">
        <f>IF(B196=" "," ",HYPERLINK(CONCATENATE("#metadata!",ADDRESS(INDEX($P$2:$P$1001,MATCH(ROWS($N$2:N196),$N$2:$N$1001,0),0),1)),INDEX($S$2:$S$1001,MATCH(ROWS($N$2:N196),$N$2:$N$1001,0),0)))</f>
        <v>0</v>
      </c>
      <c r="B196" s="4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4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4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4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4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4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4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4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4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OR(AND(IF(Metadata!C196="",FALSE,TRUE),OR(exact(Metadata!C196,"not applicable"),exact(Metadata!C196,"not collected"),exact(Metadata!C196,"not provided"),exact(Metadata!C196,"restricted access"))),IF(Metadata!C196="",FALSE,ISNUMBER(VALUE(Metadata!C196))))</f>
        <v>0</v>
      </c>
      <c r="W196">
        <f>AND(IF(Metadata!D196="",FALSE,TRUE),exact(Metadata!D196,"m"))</f>
        <v>0</v>
      </c>
      <c r="X196">
        <f>AND(IF(Metadata!E196="",FALSE,TRUE),OR(exact(Metadata!E196,"aerosol (non-saline)"),exact(Metadata!E196,"aerosol (saline)")))</f>
        <v>0</v>
      </c>
      <c r="Y196">
        <f>AND(IF(Metadata!F196="",FALSE,TRUE),exact(Metadata!F196,"air"))</f>
        <v>0</v>
      </c>
      <c r="Z196">
        <f>AND(IF(Metadata!G196="",FALSE,TRUE),exact(Metadata!G196,"air"))</f>
        <v>0</v>
      </c>
      <c r="AA196">
        <f>AND(IF(Metadata!H196="",FALSE,TRUE),exact(Metadata!H196,"air"))</f>
        <v>0</v>
      </c>
      <c r="AB196">
        <f>AND(IF(Metadata!I196="",FALSE,TRUE),exact(Metadata!I196,"air metagenome"))</f>
        <v>0</v>
      </c>
      <c r="AC196">
        <f>AND(IF(Metadata!J196="",FALSE,TRUE),exact(Metadata!J196,"655179"))</f>
        <v>0</v>
      </c>
    </row>
    <row r="197" spans="1:29">
      <c r="A197" s="5">
        <f>IF(B197=" "," ",HYPERLINK(CONCATENATE("#metadata!",ADDRESS(INDEX($P$2:$P$1001,MATCH(ROWS($N$2:N197),$N$2:$N$1001,0),0),1)),INDEX($S$2:$S$1001,MATCH(ROWS($N$2:N197),$N$2:$N$1001,0),0)))</f>
        <v>0</v>
      </c>
      <c r="B197" s="4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4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4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4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4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4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4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4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4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OR(AND(IF(Metadata!C197="",FALSE,TRUE),OR(exact(Metadata!C197,"not applicable"),exact(Metadata!C197,"not collected"),exact(Metadata!C197,"not provided"),exact(Metadata!C197,"restricted access"))),IF(Metadata!C197="",FALSE,ISNUMBER(VALUE(Metadata!C197))))</f>
        <v>0</v>
      </c>
      <c r="W197">
        <f>AND(IF(Metadata!D197="",FALSE,TRUE),exact(Metadata!D197,"m"))</f>
        <v>0</v>
      </c>
      <c r="X197">
        <f>AND(IF(Metadata!E197="",FALSE,TRUE),OR(exact(Metadata!E197,"aerosol (non-saline)"),exact(Metadata!E197,"aerosol (saline)")))</f>
        <v>0</v>
      </c>
      <c r="Y197">
        <f>AND(IF(Metadata!F197="",FALSE,TRUE),exact(Metadata!F197,"air"))</f>
        <v>0</v>
      </c>
      <c r="Z197">
        <f>AND(IF(Metadata!G197="",FALSE,TRUE),exact(Metadata!G197,"air"))</f>
        <v>0</v>
      </c>
      <c r="AA197">
        <f>AND(IF(Metadata!H197="",FALSE,TRUE),exact(Metadata!H197,"air"))</f>
        <v>0</v>
      </c>
      <c r="AB197">
        <f>AND(IF(Metadata!I197="",FALSE,TRUE),exact(Metadata!I197,"air metagenome"))</f>
        <v>0</v>
      </c>
      <c r="AC197">
        <f>AND(IF(Metadata!J197="",FALSE,TRUE),exact(Metadata!J197,"655179"))</f>
        <v>0</v>
      </c>
    </row>
    <row r="198" spans="1:29">
      <c r="A198" s="5">
        <f>IF(B198=" "," ",HYPERLINK(CONCATENATE("#metadata!",ADDRESS(INDEX($P$2:$P$1001,MATCH(ROWS($N$2:N198),$N$2:$N$1001,0),0),1)),INDEX($S$2:$S$1001,MATCH(ROWS($N$2:N198),$N$2:$N$1001,0),0)))</f>
        <v>0</v>
      </c>
      <c r="B198" s="4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4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4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4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4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4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4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4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4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OR(AND(IF(Metadata!C198="",FALSE,TRUE),OR(exact(Metadata!C198,"not applicable"),exact(Metadata!C198,"not collected"),exact(Metadata!C198,"not provided"),exact(Metadata!C198,"restricted access"))),IF(Metadata!C198="",FALSE,ISNUMBER(VALUE(Metadata!C198))))</f>
        <v>0</v>
      </c>
      <c r="W198">
        <f>AND(IF(Metadata!D198="",FALSE,TRUE),exact(Metadata!D198,"m"))</f>
        <v>0</v>
      </c>
      <c r="X198">
        <f>AND(IF(Metadata!E198="",FALSE,TRUE),OR(exact(Metadata!E198,"aerosol (non-saline)"),exact(Metadata!E198,"aerosol (saline)")))</f>
        <v>0</v>
      </c>
      <c r="Y198">
        <f>AND(IF(Metadata!F198="",FALSE,TRUE),exact(Metadata!F198,"air"))</f>
        <v>0</v>
      </c>
      <c r="Z198">
        <f>AND(IF(Metadata!G198="",FALSE,TRUE),exact(Metadata!G198,"air"))</f>
        <v>0</v>
      </c>
      <c r="AA198">
        <f>AND(IF(Metadata!H198="",FALSE,TRUE),exact(Metadata!H198,"air"))</f>
        <v>0</v>
      </c>
      <c r="AB198">
        <f>AND(IF(Metadata!I198="",FALSE,TRUE),exact(Metadata!I198,"air metagenome"))</f>
        <v>0</v>
      </c>
      <c r="AC198">
        <f>AND(IF(Metadata!J198="",FALSE,TRUE),exact(Metadata!J198,"655179"))</f>
        <v>0</v>
      </c>
    </row>
    <row r="199" spans="1:29">
      <c r="A199" s="5">
        <f>IF(B199=" "," ",HYPERLINK(CONCATENATE("#metadata!",ADDRESS(INDEX($P$2:$P$1001,MATCH(ROWS($N$2:N199),$N$2:$N$1001,0),0),1)),INDEX($S$2:$S$1001,MATCH(ROWS($N$2:N199),$N$2:$N$1001,0),0)))</f>
        <v>0</v>
      </c>
      <c r="B199" s="4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4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4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4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4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4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4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4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4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OR(AND(IF(Metadata!C199="",FALSE,TRUE),OR(exact(Metadata!C199,"not applicable"),exact(Metadata!C199,"not collected"),exact(Metadata!C199,"not provided"),exact(Metadata!C199,"restricted access"))),IF(Metadata!C199="",FALSE,ISNUMBER(VALUE(Metadata!C199))))</f>
        <v>0</v>
      </c>
      <c r="W199">
        <f>AND(IF(Metadata!D199="",FALSE,TRUE),exact(Metadata!D199,"m"))</f>
        <v>0</v>
      </c>
      <c r="X199">
        <f>AND(IF(Metadata!E199="",FALSE,TRUE),OR(exact(Metadata!E199,"aerosol (non-saline)"),exact(Metadata!E199,"aerosol (saline)")))</f>
        <v>0</v>
      </c>
      <c r="Y199">
        <f>AND(IF(Metadata!F199="",FALSE,TRUE),exact(Metadata!F199,"air"))</f>
        <v>0</v>
      </c>
      <c r="Z199">
        <f>AND(IF(Metadata!G199="",FALSE,TRUE),exact(Metadata!G199,"air"))</f>
        <v>0</v>
      </c>
      <c r="AA199">
        <f>AND(IF(Metadata!H199="",FALSE,TRUE),exact(Metadata!H199,"air"))</f>
        <v>0</v>
      </c>
      <c r="AB199">
        <f>AND(IF(Metadata!I199="",FALSE,TRUE),exact(Metadata!I199,"air metagenome"))</f>
        <v>0</v>
      </c>
      <c r="AC199">
        <f>AND(IF(Metadata!J199="",FALSE,TRUE),exact(Metadata!J199,"655179"))</f>
        <v>0</v>
      </c>
    </row>
    <row r="200" spans="1:29">
      <c r="A200" s="5">
        <f>IF(B200=" "," ",HYPERLINK(CONCATENATE("#metadata!",ADDRESS(INDEX($P$2:$P$1001,MATCH(ROWS($N$2:N200),$N$2:$N$1001,0),0),1)),INDEX($S$2:$S$1001,MATCH(ROWS($N$2:N200),$N$2:$N$1001,0),0)))</f>
        <v>0</v>
      </c>
      <c r="B200" s="4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4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4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4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4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4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4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4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4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OR(AND(IF(Metadata!C200="",FALSE,TRUE),OR(exact(Metadata!C200,"not applicable"),exact(Metadata!C200,"not collected"),exact(Metadata!C200,"not provided"),exact(Metadata!C200,"restricted access"))),IF(Metadata!C200="",FALSE,ISNUMBER(VALUE(Metadata!C200))))</f>
        <v>0</v>
      </c>
      <c r="W200">
        <f>AND(IF(Metadata!D200="",FALSE,TRUE),exact(Metadata!D200,"m"))</f>
        <v>0</v>
      </c>
      <c r="X200">
        <f>AND(IF(Metadata!E200="",FALSE,TRUE),OR(exact(Metadata!E200,"aerosol (non-saline)"),exact(Metadata!E200,"aerosol (saline)")))</f>
        <v>0</v>
      </c>
      <c r="Y200">
        <f>AND(IF(Metadata!F200="",FALSE,TRUE),exact(Metadata!F200,"air"))</f>
        <v>0</v>
      </c>
      <c r="Z200">
        <f>AND(IF(Metadata!G200="",FALSE,TRUE),exact(Metadata!G200,"air"))</f>
        <v>0</v>
      </c>
      <c r="AA200">
        <f>AND(IF(Metadata!H200="",FALSE,TRUE),exact(Metadata!H200,"air"))</f>
        <v>0</v>
      </c>
      <c r="AB200">
        <f>AND(IF(Metadata!I200="",FALSE,TRUE),exact(Metadata!I200,"air metagenome"))</f>
        <v>0</v>
      </c>
      <c r="AC200">
        <f>AND(IF(Metadata!J200="",FALSE,TRUE),exact(Metadata!J200,"655179"))</f>
        <v>0</v>
      </c>
    </row>
    <row r="201" spans="1:29">
      <c r="A201" s="5">
        <f>IF(B201=" "," ",HYPERLINK(CONCATENATE("#metadata!",ADDRESS(INDEX($P$2:$P$1001,MATCH(ROWS($N$2:N201),$N$2:$N$1001,0),0),1)),INDEX($S$2:$S$1001,MATCH(ROWS($N$2:N201),$N$2:$N$1001,0),0)))</f>
        <v>0</v>
      </c>
      <c r="B201" s="4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4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4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4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4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4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4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4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4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OR(AND(IF(Metadata!C201="",FALSE,TRUE),OR(exact(Metadata!C201,"not applicable"),exact(Metadata!C201,"not collected"),exact(Metadata!C201,"not provided"),exact(Metadata!C201,"restricted access"))),IF(Metadata!C201="",FALSE,ISNUMBER(VALUE(Metadata!C201))))</f>
        <v>0</v>
      </c>
      <c r="W201">
        <f>AND(IF(Metadata!D201="",FALSE,TRUE),exact(Metadata!D201,"m"))</f>
        <v>0</v>
      </c>
      <c r="X201">
        <f>AND(IF(Metadata!E201="",FALSE,TRUE),OR(exact(Metadata!E201,"aerosol (non-saline)"),exact(Metadata!E201,"aerosol (saline)")))</f>
        <v>0</v>
      </c>
      <c r="Y201">
        <f>AND(IF(Metadata!F201="",FALSE,TRUE),exact(Metadata!F201,"air"))</f>
        <v>0</v>
      </c>
      <c r="Z201">
        <f>AND(IF(Metadata!G201="",FALSE,TRUE),exact(Metadata!G201,"air"))</f>
        <v>0</v>
      </c>
      <c r="AA201">
        <f>AND(IF(Metadata!H201="",FALSE,TRUE),exact(Metadata!H201,"air"))</f>
        <v>0</v>
      </c>
      <c r="AB201">
        <f>AND(IF(Metadata!I201="",FALSE,TRUE),exact(Metadata!I201,"air metagenome"))</f>
        <v>0</v>
      </c>
      <c r="AC201">
        <f>AND(IF(Metadata!J201="",FALSE,TRUE),exact(Metadata!J201,"655179"))</f>
        <v>0</v>
      </c>
    </row>
    <row r="202" spans="1:29">
      <c r="A202" s="5">
        <f>IF(B202=" "," ",HYPERLINK(CONCATENATE("#metadata!",ADDRESS(INDEX($P$2:$P$1001,MATCH(ROWS($N$2:N202),$N$2:$N$1001,0),0),1)),INDEX($S$2:$S$1001,MATCH(ROWS($N$2:N202),$N$2:$N$1001,0),0)))</f>
        <v>0</v>
      </c>
      <c r="B202" s="4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4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4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4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4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4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4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4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4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OR(AND(IF(Metadata!C202="",FALSE,TRUE),OR(exact(Metadata!C202,"not applicable"),exact(Metadata!C202,"not collected"),exact(Metadata!C202,"not provided"),exact(Metadata!C202,"restricted access"))),IF(Metadata!C202="",FALSE,ISNUMBER(VALUE(Metadata!C202))))</f>
        <v>0</v>
      </c>
      <c r="W202">
        <f>AND(IF(Metadata!D202="",FALSE,TRUE),exact(Metadata!D202,"m"))</f>
        <v>0</v>
      </c>
      <c r="X202">
        <f>AND(IF(Metadata!E202="",FALSE,TRUE),OR(exact(Metadata!E202,"aerosol (non-saline)"),exact(Metadata!E202,"aerosol (saline)")))</f>
        <v>0</v>
      </c>
      <c r="Y202">
        <f>AND(IF(Metadata!F202="",FALSE,TRUE),exact(Metadata!F202,"air"))</f>
        <v>0</v>
      </c>
      <c r="Z202">
        <f>AND(IF(Metadata!G202="",FALSE,TRUE),exact(Metadata!G202,"air"))</f>
        <v>0</v>
      </c>
      <c r="AA202">
        <f>AND(IF(Metadata!H202="",FALSE,TRUE),exact(Metadata!H202,"air"))</f>
        <v>0</v>
      </c>
      <c r="AB202">
        <f>AND(IF(Metadata!I202="",FALSE,TRUE),exact(Metadata!I202,"air metagenome"))</f>
        <v>0</v>
      </c>
      <c r="AC202">
        <f>AND(IF(Metadata!J202="",FALSE,TRUE),exact(Metadata!J202,"655179"))</f>
        <v>0</v>
      </c>
    </row>
    <row r="203" spans="1:29">
      <c r="A203" s="5">
        <f>IF(B203=" "," ",HYPERLINK(CONCATENATE("#metadata!",ADDRESS(INDEX($P$2:$P$1001,MATCH(ROWS($N$2:N203),$N$2:$N$1001,0),0),1)),INDEX($S$2:$S$1001,MATCH(ROWS($N$2:N203),$N$2:$N$1001,0),0)))</f>
        <v>0</v>
      </c>
      <c r="B203" s="4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4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4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4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4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4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4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4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4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OR(AND(IF(Metadata!C203="",FALSE,TRUE),OR(exact(Metadata!C203,"not applicable"),exact(Metadata!C203,"not collected"),exact(Metadata!C203,"not provided"),exact(Metadata!C203,"restricted access"))),IF(Metadata!C203="",FALSE,ISNUMBER(VALUE(Metadata!C203))))</f>
        <v>0</v>
      </c>
      <c r="W203">
        <f>AND(IF(Metadata!D203="",FALSE,TRUE),exact(Metadata!D203,"m"))</f>
        <v>0</v>
      </c>
      <c r="X203">
        <f>AND(IF(Metadata!E203="",FALSE,TRUE),OR(exact(Metadata!E203,"aerosol (non-saline)"),exact(Metadata!E203,"aerosol (saline)")))</f>
        <v>0</v>
      </c>
      <c r="Y203">
        <f>AND(IF(Metadata!F203="",FALSE,TRUE),exact(Metadata!F203,"air"))</f>
        <v>0</v>
      </c>
      <c r="Z203">
        <f>AND(IF(Metadata!G203="",FALSE,TRUE),exact(Metadata!G203,"air"))</f>
        <v>0</v>
      </c>
      <c r="AA203">
        <f>AND(IF(Metadata!H203="",FALSE,TRUE),exact(Metadata!H203,"air"))</f>
        <v>0</v>
      </c>
      <c r="AB203">
        <f>AND(IF(Metadata!I203="",FALSE,TRUE),exact(Metadata!I203,"air metagenome"))</f>
        <v>0</v>
      </c>
      <c r="AC203">
        <f>AND(IF(Metadata!J203="",FALSE,TRUE),exact(Metadata!J203,"655179"))</f>
        <v>0</v>
      </c>
    </row>
    <row r="204" spans="1:29">
      <c r="A204" s="5">
        <f>IF(B204=" "," ",HYPERLINK(CONCATENATE("#metadata!",ADDRESS(INDEX($P$2:$P$1001,MATCH(ROWS($N$2:N204),$N$2:$N$1001,0),0),1)),INDEX($S$2:$S$1001,MATCH(ROWS($N$2:N204),$N$2:$N$1001,0),0)))</f>
        <v>0</v>
      </c>
      <c r="B204" s="4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4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4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4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4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4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4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4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4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OR(AND(IF(Metadata!C204="",FALSE,TRUE),OR(exact(Metadata!C204,"not applicable"),exact(Metadata!C204,"not collected"),exact(Metadata!C204,"not provided"),exact(Metadata!C204,"restricted access"))),IF(Metadata!C204="",FALSE,ISNUMBER(VALUE(Metadata!C204))))</f>
        <v>0</v>
      </c>
      <c r="W204">
        <f>AND(IF(Metadata!D204="",FALSE,TRUE),exact(Metadata!D204,"m"))</f>
        <v>0</v>
      </c>
      <c r="X204">
        <f>AND(IF(Metadata!E204="",FALSE,TRUE),OR(exact(Metadata!E204,"aerosol (non-saline)"),exact(Metadata!E204,"aerosol (saline)")))</f>
        <v>0</v>
      </c>
      <c r="Y204">
        <f>AND(IF(Metadata!F204="",FALSE,TRUE),exact(Metadata!F204,"air"))</f>
        <v>0</v>
      </c>
      <c r="Z204">
        <f>AND(IF(Metadata!G204="",FALSE,TRUE),exact(Metadata!G204,"air"))</f>
        <v>0</v>
      </c>
      <c r="AA204">
        <f>AND(IF(Metadata!H204="",FALSE,TRUE),exact(Metadata!H204,"air"))</f>
        <v>0</v>
      </c>
      <c r="AB204">
        <f>AND(IF(Metadata!I204="",FALSE,TRUE),exact(Metadata!I204,"air metagenome"))</f>
        <v>0</v>
      </c>
      <c r="AC204">
        <f>AND(IF(Metadata!J204="",FALSE,TRUE),exact(Metadata!J204,"655179"))</f>
        <v>0</v>
      </c>
    </row>
    <row r="205" spans="1:29">
      <c r="A205" s="5">
        <f>IF(B205=" "," ",HYPERLINK(CONCATENATE("#metadata!",ADDRESS(INDEX($P$2:$P$1001,MATCH(ROWS($N$2:N205),$N$2:$N$1001,0),0),1)),INDEX($S$2:$S$1001,MATCH(ROWS($N$2:N205),$N$2:$N$1001,0),0)))</f>
        <v>0</v>
      </c>
      <c r="B205" s="4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4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4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4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4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4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4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4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4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OR(AND(IF(Metadata!C205="",FALSE,TRUE),OR(exact(Metadata!C205,"not applicable"),exact(Metadata!C205,"not collected"),exact(Metadata!C205,"not provided"),exact(Metadata!C205,"restricted access"))),IF(Metadata!C205="",FALSE,ISNUMBER(VALUE(Metadata!C205))))</f>
        <v>0</v>
      </c>
      <c r="W205">
        <f>AND(IF(Metadata!D205="",FALSE,TRUE),exact(Metadata!D205,"m"))</f>
        <v>0</v>
      </c>
      <c r="X205">
        <f>AND(IF(Metadata!E205="",FALSE,TRUE),OR(exact(Metadata!E205,"aerosol (non-saline)"),exact(Metadata!E205,"aerosol (saline)")))</f>
        <v>0</v>
      </c>
      <c r="Y205">
        <f>AND(IF(Metadata!F205="",FALSE,TRUE),exact(Metadata!F205,"air"))</f>
        <v>0</v>
      </c>
      <c r="Z205">
        <f>AND(IF(Metadata!G205="",FALSE,TRUE),exact(Metadata!G205,"air"))</f>
        <v>0</v>
      </c>
      <c r="AA205">
        <f>AND(IF(Metadata!H205="",FALSE,TRUE),exact(Metadata!H205,"air"))</f>
        <v>0</v>
      </c>
      <c r="AB205">
        <f>AND(IF(Metadata!I205="",FALSE,TRUE),exact(Metadata!I205,"air metagenome"))</f>
        <v>0</v>
      </c>
      <c r="AC205">
        <f>AND(IF(Metadata!J205="",FALSE,TRUE),exact(Metadata!J205,"655179"))</f>
        <v>0</v>
      </c>
    </row>
    <row r="206" spans="1:29">
      <c r="A206" s="5">
        <f>IF(B206=" "," ",HYPERLINK(CONCATENATE("#metadata!",ADDRESS(INDEX($P$2:$P$1001,MATCH(ROWS($N$2:N206),$N$2:$N$1001,0),0),1)),INDEX($S$2:$S$1001,MATCH(ROWS($N$2:N206),$N$2:$N$1001,0),0)))</f>
        <v>0</v>
      </c>
      <c r="B206" s="4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4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4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4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4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4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4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4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4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OR(AND(IF(Metadata!C206="",FALSE,TRUE),OR(exact(Metadata!C206,"not applicable"),exact(Metadata!C206,"not collected"),exact(Metadata!C206,"not provided"),exact(Metadata!C206,"restricted access"))),IF(Metadata!C206="",FALSE,ISNUMBER(VALUE(Metadata!C206))))</f>
        <v>0</v>
      </c>
      <c r="W206">
        <f>AND(IF(Metadata!D206="",FALSE,TRUE),exact(Metadata!D206,"m"))</f>
        <v>0</v>
      </c>
      <c r="X206">
        <f>AND(IF(Metadata!E206="",FALSE,TRUE),OR(exact(Metadata!E206,"aerosol (non-saline)"),exact(Metadata!E206,"aerosol (saline)")))</f>
        <v>0</v>
      </c>
      <c r="Y206">
        <f>AND(IF(Metadata!F206="",FALSE,TRUE),exact(Metadata!F206,"air"))</f>
        <v>0</v>
      </c>
      <c r="Z206">
        <f>AND(IF(Metadata!G206="",FALSE,TRUE),exact(Metadata!G206,"air"))</f>
        <v>0</v>
      </c>
      <c r="AA206">
        <f>AND(IF(Metadata!H206="",FALSE,TRUE),exact(Metadata!H206,"air"))</f>
        <v>0</v>
      </c>
      <c r="AB206">
        <f>AND(IF(Metadata!I206="",FALSE,TRUE),exact(Metadata!I206,"air metagenome"))</f>
        <v>0</v>
      </c>
      <c r="AC206">
        <f>AND(IF(Metadata!J206="",FALSE,TRUE),exact(Metadata!J206,"655179"))</f>
        <v>0</v>
      </c>
    </row>
    <row r="207" spans="1:29">
      <c r="A207" s="5">
        <f>IF(B207=" "," ",HYPERLINK(CONCATENATE("#metadata!",ADDRESS(INDEX($P$2:$P$1001,MATCH(ROWS($N$2:N207),$N$2:$N$1001,0),0),1)),INDEX($S$2:$S$1001,MATCH(ROWS($N$2:N207),$N$2:$N$1001,0),0)))</f>
        <v>0</v>
      </c>
      <c r="B207" s="4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4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4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4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4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4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4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4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4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OR(AND(IF(Metadata!C207="",FALSE,TRUE),OR(exact(Metadata!C207,"not applicable"),exact(Metadata!C207,"not collected"),exact(Metadata!C207,"not provided"),exact(Metadata!C207,"restricted access"))),IF(Metadata!C207="",FALSE,ISNUMBER(VALUE(Metadata!C207))))</f>
        <v>0</v>
      </c>
      <c r="W207">
        <f>AND(IF(Metadata!D207="",FALSE,TRUE),exact(Metadata!D207,"m"))</f>
        <v>0</v>
      </c>
      <c r="X207">
        <f>AND(IF(Metadata!E207="",FALSE,TRUE),OR(exact(Metadata!E207,"aerosol (non-saline)"),exact(Metadata!E207,"aerosol (saline)")))</f>
        <v>0</v>
      </c>
      <c r="Y207">
        <f>AND(IF(Metadata!F207="",FALSE,TRUE),exact(Metadata!F207,"air"))</f>
        <v>0</v>
      </c>
      <c r="Z207">
        <f>AND(IF(Metadata!G207="",FALSE,TRUE),exact(Metadata!G207,"air"))</f>
        <v>0</v>
      </c>
      <c r="AA207">
        <f>AND(IF(Metadata!H207="",FALSE,TRUE),exact(Metadata!H207,"air"))</f>
        <v>0</v>
      </c>
      <c r="AB207">
        <f>AND(IF(Metadata!I207="",FALSE,TRUE),exact(Metadata!I207,"air metagenome"))</f>
        <v>0</v>
      </c>
      <c r="AC207">
        <f>AND(IF(Metadata!J207="",FALSE,TRUE),exact(Metadata!J207,"655179"))</f>
        <v>0</v>
      </c>
    </row>
    <row r="208" spans="1:29">
      <c r="A208" s="5">
        <f>IF(B208=" "," ",HYPERLINK(CONCATENATE("#metadata!",ADDRESS(INDEX($P$2:$P$1001,MATCH(ROWS($N$2:N208),$N$2:$N$1001,0),0),1)),INDEX($S$2:$S$1001,MATCH(ROWS($N$2:N208),$N$2:$N$1001,0),0)))</f>
        <v>0</v>
      </c>
      <c r="B208" s="4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4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4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4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4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4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4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4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4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OR(AND(IF(Metadata!C208="",FALSE,TRUE),OR(exact(Metadata!C208,"not applicable"),exact(Metadata!C208,"not collected"),exact(Metadata!C208,"not provided"),exact(Metadata!C208,"restricted access"))),IF(Metadata!C208="",FALSE,ISNUMBER(VALUE(Metadata!C208))))</f>
        <v>0</v>
      </c>
      <c r="W208">
        <f>AND(IF(Metadata!D208="",FALSE,TRUE),exact(Metadata!D208,"m"))</f>
        <v>0</v>
      </c>
      <c r="X208">
        <f>AND(IF(Metadata!E208="",FALSE,TRUE),OR(exact(Metadata!E208,"aerosol (non-saline)"),exact(Metadata!E208,"aerosol (saline)")))</f>
        <v>0</v>
      </c>
      <c r="Y208">
        <f>AND(IF(Metadata!F208="",FALSE,TRUE),exact(Metadata!F208,"air"))</f>
        <v>0</v>
      </c>
      <c r="Z208">
        <f>AND(IF(Metadata!G208="",FALSE,TRUE),exact(Metadata!G208,"air"))</f>
        <v>0</v>
      </c>
      <c r="AA208">
        <f>AND(IF(Metadata!H208="",FALSE,TRUE),exact(Metadata!H208,"air"))</f>
        <v>0</v>
      </c>
      <c r="AB208">
        <f>AND(IF(Metadata!I208="",FALSE,TRUE),exact(Metadata!I208,"air metagenome"))</f>
        <v>0</v>
      </c>
      <c r="AC208">
        <f>AND(IF(Metadata!J208="",FALSE,TRUE),exact(Metadata!J208,"655179"))</f>
        <v>0</v>
      </c>
    </row>
    <row r="209" spans="1:29">
      <c r="A209" s="5">
        <f>IF(B209=" "," ",HYPERLINK(CONCATENATE("#metadata!",ADDRESS(INDEX($P$2:$P$1001,MATCH(ROWS($N$2:N209),$N$2:$N$1001,0),0),1)),INDEX($S$2:$S$1001,MATCH(ROWS($N$2:N209),$N$2:$N$1001,0),0)))</f>
        <v>0</v>
      </c>
      <c r="B209" s="4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4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4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4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4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4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4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4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4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OR(AND(IF(Metadata!C209="",FALSE,TRUE),OR(exact(Metadata!C209,"not applicable"),exact(Metadata!C209,"not collected"),exact(Metadata!C209,"not provided"),exact(Metadata!C209,"restricted access"))),IF(Metadata!C209="",FALSE,ISNUMBER(VALUE(Metadata!C209))))</f>
        <v>0</v>
      </c>
      <c r="W209">
        <f>AND(IF(Metadata!D209="",FALSE,TRUE),exact(Metadata!D209,"m"))</f>
        <v>0</v>
      </c>
      <c r="X209">
        <f>AND(IF(Metadata!E209="",FALSE,TRUE),OR(exact(Metadata!E209,"aerosol (non-saline)"),exact(Metadata!E209,"aerosol (saline)")))</f>
        <v>0</v>
      </c>
      <c r="Y209">
        <f>AND(IF(Metadata!F209="",FALSE,TRUE),exact(Metadata!F209,"air"))</f>
        <v>0</v>
      </c>
      <c r="Z209">
        <f>AND(IF(Metadata!G209="",FALSE,TRUE),exact(Metadata!G209,"air"))</f>
        <v>0</v>
      </c>
      <c r="AA209">
        <f>AND(IF(Metadata!H209="",FALSE,TRUE),exact(Metadata!H209,"air"))</f>
        <v>0</v>
      </c>
      <c r="AB209">
        <f>AND(IF(Metadata!I209="",FALSE,TRUE),exact(Metadata!I209,"air metagenome"))</f>
        <v>0</v>
      </c>
      <c r="AC209">
        <f>AND(IF(Metadata!J209="",FALSE,TRUE),exact(Metadata!J209,"655179"))</f>
        <v>0</v>
      </c>
    </row>
    <row r="210" spans="1:29">
      <c r="A210" s="5">
        <f>IF(B210=" "," ",HYPERLINK(CONCATENATE("#metadata!",ADDRESS(INDEX($P$2:$P$1001,MATCH(ROWS($N$2:N210),$N$2:$N$1001,0),0),1)),INDEX($S$2:$S$1001,MATCH(ROWS($N$2:N210),$N$2:$N$1001,0),0)))</f>
        <v>0</v>
      </c>
      <c r="B210" s="4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4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4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4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4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4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4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4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4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OR(AND(IF(Metadata!C210="",FALSE,TRUE),OR(exact(Metadata!C210,"not applicable"),exact(Metadata!C210,"not collected"),exact(Metadata!C210,"not provided"),exact(Metadata!C210,"restricted access"))),IF(Metadata!C210="",FALSE,ISNUMBER(VALUE(Metadata!C210))))</f>
        <v>0</v>
      </c>
      <c r="W210">
        <f>AND(IF(Metadata!D210="",FALSE,TRUE),exact(Metadata!D210,"m"))</f>
        <v>0</v>
      </c>
      <c r="X210">
        <f>AND(IF(Metadata!E210="",FALSE,TRUE),OR(exact(Metadata!E210,"aerosol (non-saline)"),exact(Metadata!E210,"aerosol (saline)")))</f>
        <v>0</v>
      </c>
      <c r="Y210">
        <f>AND(IF(Metadata!F210="",FALSE,TRUE),exact(Metadata!F210,"air"))</f>
        <v>0</v>
      </c>
      <c r="Z210">
        <f>AND(IF(Metadata!G210="",FALSE,TRUE),exact(Metadata!G210,"air"))</f>
        <v>0</v>
      </c>
      <c r="AA210">
        <f>AND(IF(Metadata!H210="",FALSE,TRUE),exact(Metadata!H210,"air"))</f>
        <v>0</v>
      </c>
      <c r="AB210">
        <f>AND(IF(Metadata!I210="",FALSE,TRUE),exact(Metadata!I210,"air metagenome"))</f>
        <v>0</v>
      </c>
      <c r="AC210">
        <f>AND(IF(Metadata!J210="",FALSE,TRUE),exact(Metadata!J210,"655179"))</f>
        <v>0</v>
      </c>
    </row>
    <row r="211" spans="1:29">
      <c r="A211" s="5">
        <f>IF(B211=" "," ",HYPERLINK(CONCATENATE("#metadata!",ADDRESS(INDEX($P$2:$P$1001,MATCH(ROWS($N$2:N211),$N$2:$N$1001,0),0),1)),INDEX($S$2:$S$1001,MATCH(ROWS($N$2:N211),$N$2:$N$1001,0),0)))</f>
        <v>0</v>
      </c>
      <c r="B211" s="4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4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4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4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4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4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4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4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4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OR(AND(IF(Metadata!C211="",FALSE,TRUE),OR(exact(Metadata!C211,"not applicable"),exact(Metadata!C211,"not collected"),exact(Metadata!C211,"not provided"),exact(Metadata!C211,"restricted access"))),IF(Metadata!C211="",FALSE,ISNUMBER(VALUE(Metadata!C211))))</f>
        <v>0</v>
      </c>
      <c r="W211">
        <f>AND(IF(Metadata!D211="",FALSE,TRUE),exact(Metadata!D211,"m"))</f>
        <v>0</v>
      </c>
      <c r="X211">
        <f>AND(IF(Metadata!E211="",FALSE,TRUE),OR(exact(Metadata!E211,"aerosol (non-saline)"),exact(Metadata!E211,"aerosol (saline)")))</f>
        <v>0</v>
      </c>
      <c r="Y211">
        <f>AND(IF(Metadata!F211="",FALSE,TRUE),exact(Metadata!F211,"air"))</f>
        <v>0</v>
      </c>
      <c r="Z211">
        <f>AND(IF(Metadata!G211="",FALSE,TRUE),exact(Metadata!G211,"air"))</f>
        <v>0</v>
      </c>
      <c r="AA211">
        <f>AND(IF(Metadata!H211="",FALSE,TRUE),exact(Metadata!H211,"air"))</f>
        <v>0</v>
      </c>
      <c r="AB211">
        <f>AND(IF(Metadata!I211="",FALSE,TRUE),exact(Metadata!I211,"air metagenome"))</f>
        <v>0</v>
      </c>
      <c r="AC211">
        <f>AND(IF(Metadata!J211="",FALSE,TRUE),exact(Metadata!J211,"655179"))</f>
        <v>0</v>
      </c>
    </row>
    <row r="212" spans="1:29">
      <c r="A212" s="5">
        <f>IF(B212=" "," ",HYPERLINK(CONCATENATE("#metadata!",ADDRESS(INDEX($P$2:$P$1001,MATCH(ROWS($N$2:N212),$N$2:$N$1001,0),0),1)),INDEX($S$2:$S$1001,MATCH(ROWS($N$2:N212),$N$2:$N$1001,0),0)))</f>
        <v>0</v>
      </c>
      <c r="B212" s="4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4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4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4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4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4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4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4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4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OR(AND(IF(Metadata!C212="",FALSE,TRUE),OR(exact(Metadata!C212,"not applicable"),exact(Metadata!C212,"not collected"),exact(Metadata!C212,"not provided"),exact(Metadata!C212,"restricted access"))),IF(Metadata!C212="",FALSE,ISNUMBER(VALUE(Metadata!C212))))</f>
        <v>0</v>
      </c>
      <c r="W212">
        <f>AND(IF(Metadata!D212="",FALSE,TRUE),exact(Metadata!D212,"m"))</f>
        <v>0</v>
      </c>
      <c r="X212">
        <f>AND(IF(Metadata!E212="",FALSE,TRUE),OR(exact(Metadata!E212,"aerosol (non-saline)"),exact(Metadata!E212,"aerosol (saline)")))</f>
        <v>0</v>
      </c>
      <c r="Y212">
        <f>AND(IF(Metadata!F212="",FALSE,TRUE),exact(Metadata!F212,"air"))</f>
        <v>0</v>
      </c>
      <c r="Z212">
        <f>AND(IF(Metadata!G212="",FALSE,TRUE),exact(Metadata!G212,"air"))</f>
        <v>0</v>
      </c>
      <c r="AA212">
        <f>AND(IF(Metadata!H212="",FALSE,TRUE),exact(Metadata!H212,"air"))</f>
        <v>0</v>
      </c>
      <c r="AB212">
        <f>AND(IF(Metadata!I212="",FALSE,TRUE),exact(Metadata!I212,"air metagenome"))</f>
        <v>0</v>
      </c>
      <c r="AC212">
        <f>AND(IF(Metadata!J212="",FALSE,TRUE),exact(Metadata!J212,"655179"))</f>
        <v>0</v>
      </c>
    </row>
    <row r="213" spans="1:29">
      <c r="A213" s="5">
        <f>IF(B213=" "," ",HYPERLINK(CONCATENATE("#metadata!",ADDRESS(INDEX($P$2:$P$1001,MATCH(ROWS($N$2:N213),$N$2:$N$1001,0),0),1)),INDEX($S$2:$S$1001,MATCH(ROWS($N$2:N213),$N$2:$N$1001,0),0)))</f>
        <v>0</v>
      </c>
      <c r="B213" s="4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4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4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4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4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4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4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4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4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OR(AND(IF(Metadata!C213="",FALSE,TRUE),OR(exact(Metadata!C213,"not applicable"),exact(Metadata!C213,"not collected"),exact(Metadata!C213,"not provided"),exact(Metadata!C213,"restricted access"))),IF(Metadata!C213="",FALSE,ISNUMBER(VALUE(Metadata!C213))))</f>
        <v>0</v>
      </c>
      <c r="W213">
        <f>AND(IF(Metadata!D213="",FALSE,TRUE),exact(Metadata!D213,"m"))</f>
        <v>0</v>
      </c>
      <c r="X213">
        <f>AND(IF(Metadata!E213="",FALSE,TRUE),OR(exact(Metadata!E213,"aerosol (non-saline)"),exact(Metadata!E213,"aerosol (saline)")))</f>
        <v>0</v>
      </c>
      <c r="Y213">
        <f>AND(IF(Metadata!F213="",FALSE,TRUE),exact(Metadata!F213,"air"))</f>
        <v>0</v>
      </c>
      <c r="Z213">
        <f>AND(IF(Metadata!G213="",FALSE,TRUE),exact(Metadata!G213,"air"))</f>
        <v>0</v>
      </c>
      <c r="AA213">
        <f>AND(IF(Metadata!H213="",FALSE,TRUE),exact(Metadata!H213,"air"))</f>
        <v>0</v>
      </c>
      <c r="AB213">
        <f>AND(IF(Metadata!I213="",FALSE,TRUE),exact(Metadata!I213,"air metagenome"))</f>
        <v>0</v>
      </c>
      <c r="AC213">
        <f>AND(IF(Metadata!J213="",FALSE,TRUE),exact(Metadata!J213,"655179"))</f>
        <v>0</v>
      </c>
    </row>
    <row r="214" spans="1:29">
      <c r="A214" s="5">
        <f>IF(B214=" "," ",HYPERLINK(CONCATENATE("#metadata!",ADDRESS(INDEX($P$2:$P$1001,MATCH(ROWS($N$2:N214),$N$2:$N$1001,0),0),1)),INDEX($S$2:$S$1001,MATCH(ROWS($N$2:N214),$N$2:$N$1001,0),0)))</f>
        <v>0</v>
      </c>
      <c r="B214" s="4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4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4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4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4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4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4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4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4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OR(AND(IF(Metadata!C214="",FALSE,TRUE),OR(exact(Metadata!C214,"not applicable"),exact(Metadata!C214,"not collected"),exact(Metadata!C214,"not provided"),exact(Metadata!C214,"restricted access"))),IF(Metadata!C214="",FALSE,ISNUMBER(VALUE(Metadata!C214))))</f>
        <v>0</v>
      </c>
      <c r="W214">
        <f>AND(IF(Metadata!D214="",FALSE,TRUE),exact(Metadata!D214,"m"))</f>
        <v>0</v>
      </c>
      <c r="X214">
        <f>AND(IF(Metadata!E214="",FALSE,TRUE),OR(exact(Metadata!E214,"aerosol (non-saline)"),exact(Metadata!E214,"aerosol (saline)")))</f>
        <v>0</v>
      </c>
      <c r="Y214">
        <f>AND(IF(Metadata!F214="",FALSE,TRUE),exact(Metadata!F214,"air"))</f>
        <v>0</v>
      </c>
      <c r="Z214">
        <f>AND(IF(Metadata!G214="",FALSE,TRUE),exact(Metadata!G214,"air"))</f>
        <v>0</v>
      </c>
      <c r="AA214">
        <f>AND(IF(Metadata!H214="",FALSE,TRUE),exact(Metadata!H214,"air"))</f>
        <v>0</v>
      </c>
      <c r="AB214">
        <f>AND(IF(Metadata!I214="",FALSE,TRUE),exact(Metadata!I214,"air metagenome"))</f>
        <v>0</v>
      </c>
      <c r="AC214">
        <f>AND(IF(Metadata!J214="",FALSE,TRUE),exact(Metadata!J214,"655179"))</f>
        <v>0</v>
      </c>
    </row>
    <row r="215" spans="1:29">
      <c r="A215" s="5">
        <f>IF(B215=" "," ",HYPERLINK(CONCATENATE("#metadata!",ADDRESS(INDEX($P$2:$P$1001,MATCH(ROWS($N$2:N215),$N$2:$N$1001,0),0),1)),INDEX($S$2:$S$1001,MATCH(ROWS($N$2:N215),$N$2:$N$1001,0),0)))</f>
        <v>0</v>
      </c>
      <c r="B215" s="4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4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4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4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4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4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4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4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4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OR(AND(IF(Metadata!C215="",FALSE,TRUE),OR(exact(Metadata!C215,"not applicable"),exact(Metadata!C215,"not collected"),exact(Metadata!C215,"not provided"),exact(Metadata!C215,"restricted access"))),IF(Metadata!C215="",FALSE,ISNUMBER(VALUE(Metadata!C215))))</f>
        <v>0</v>
      </c>
      <c r="W215">
        <f>AND(IF(Metadata!D215="",FALSE,TRUE),exact(Metadata!D215,"m"))</f>
        <v>0</v>
      </c>
      <c r="X215">
        <f>AND(IF(Metadata!E215="",FALSE,TRUE),OR(exact(Metadata!E215,"aerosol (non-saline)"),exact(Metadata!E215,"aerosol (saline)")))</f>
        <v>0</v>
      </c>
      <c r="Y215">
        <f>AND(IF(Metadata!F215="",FALSE,TRUE),exact(Metadata!F215,"air"))</f>
        <v>0</v>
      </c>
      <c r="Z215">
        <f>AND(IF(Metadata!G215="",FALSE,TRUE),exact(Metadata!G215,"air"))</f>
        <v>0</v>
      </c>
      <c r="AA215">
        <f>AND(IF(Metadata!H215="",FALSE,TRUE),exact(Metadata!H215,"air"))</f>
        <v>0</v>
      </c>
      <c r="AB215">
        <f>AND(IF(Metadata!I215="",FALSE,TRUE),exact(Metadata!I215,"air metagenome"))</f>
        <v>0</v>
      </c>
      <c r="AC215">
        <f>AND(IF(Metadata!J215="",FALSE,TRUE),exact(Metadata!J215,"655179"))</f>
        <v>0</v>
      </c>
    </row>
    <row r="216" spans="1:29">
      <c r="A216" s="5">
        <f>IF(B216=" "," ",HYPERLINK(CONCATENATE("#metadata!",ADDRESS(INDEX($P$2:$P$1001,MATCH(ROWS($N$2:N216),$N$2:$N$1001,0),0),1)),INDEX($S$2:$S$1001,MATCH(ROWS($N$2:N216),$N$2:$N$1001,0),0)))</f>
        <v>0</v>
      </c>
      <c r="B216" s="4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4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4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4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4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4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4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4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4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OR(AND(IF(Metadata!C216="",FALSE,TRUE),OR(exact(Metadata!C216,"not applicable"),exact(Metadata!C216,"not collected"),exact(Metadata!C216,"not provided"),exact(Metadata!C216,"restricted access"))),IF(Metadata!C216="",FALSE,ISNUMBER(VALUE(Metadata!C216))))</f>
        <v>0</v>
      </c>
      <c r="W216">
        <f>AND(IF(Metadata!D216="",FALSE,TRUE),exact(Metadata!D216,"m"))</f>
        <v>0</v>
      </c>
      <c r="X216">
        <f>AND(IF(Metadata!E216="",FALSE,TRUE),OR(exact(Metadata!E216,"aerosol (non-saline)"),exact(Metadata!E216,"aerosol (saline)")))</f>
        <v>0</v>
      </c>
      <c r="Y216">
        <f>AND(IF(Metadata!F216="",FALSE,TRUE),exact(Metadata!F216,"air"))</f>
        <v>0</v>
      </c>
      <c r="Z216">
        <f>AND(IF(Metadata!G216="",FALSE,TRUE),exact(Metadata!G216,"air"))</f>
        <v>0</v>
      </c>
      <c r="AA216">
        <f>AND(IF(Metadata!H216="",FALSE,TRUE),exact(Metadata!H216,"air"))</f>
        <v>0</v>
      </c>
      <c r="AB216">
        <f>AND(IF(Metadata!I216="",FALSE,TRUE),exact(Metadata!I216,"air metagenome"))</f>
        <v>0</v>
      </c>
      <c r="AC216">
        <f>AND(IF(Metadata!J216="",FALSE,TRUE),exact(Metadata!J216,"655179"))</f>
        <v>0</v>
      </c>
    </row>
    <row r="217" spans="1:29">
      <c r="A217" s="5">
        <f>IF(B217=" "," ",HYPERLINK(CONCATENATE("#metadata!",ADDRESS(INDEX($P$2:$P$1001,MATCH(ROWS($N$2:N217),$N$2:$N$1001,0),0),1)),INDEX($S$2:$S$1001,MATCH(ROWS($N$2:N217),$N$2:$N$1001,0),0)))</f>
        <v>0</v>
      </c>
      <c r="B217" s="4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4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4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4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4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4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4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4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4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OR(AND(IF(Metadata!C217="",FALSE,TRUE),OR(exact(Metadata!C217,"not applicable"),exact(Metadata!C217,"not collected"),exact(Metadata!C217,"not provided"),exact(Metadata!C217,"restricted access"))),IF(Metadata!C217="",FALSE,ISNUMBER(VALUE(Metadata!C217))))</f>
        <v>0</v>
      </c>
      <c r="W217">
        <f>AND(IF(Metadata!D217="",FALSE,TRUE),exact(Metadata!D217,"m"))</f>
        <v>0</v>
      </c>
      <c r="X217">
        <f>AND(IF(Metadata!E217="",FALSE,TRUE),OR(exact(Metadata!E217,"aerosol (non-saline)"),exact(Metadata!E217,"aerosol (saline)")))</f>
        <v>0</v>
      </c>
      <c r="Y217">
        <f>AND(IF(Metadata!F217="",FALSE,TRUE),exact(Metadata!F217,"air"))</f>
        <v>0</v>
      </c>
      <c r="Z217">
        <f>AND(IF(Metadata!G217="",FALSE,TRUE),exact(Metadata!G217,"air"))</f>
        <v>0</v>
      </c>
      <c r="AA217">
        <f>AND(IF(Metadata!H217="",FALSE,TRUE),exact(Metadata!H217,"air"))</f>
        <v>0</v>
      </c>
      <c r="AB217">
        <f>AND(IF(Metadata!I217="",FALSE,TRUE),exact(Metadata!I217,"air metagenome"))</f>
        <v>0</v>
      </c>
      <c r="AC217">
        <f>AND(IF(Metadata!J217="",FALSE,TRUE),exact(Metadata!J217,"655179"))</f>
        <v>0</v>
      </c>
    </row>
    <row r="218" spans="1:29">
      <c r="A218" s="5">
        <f>IF(B218=" "," ",HYPERLINK(CONCATENATE("#metadata!",ADDRESS(INDEX($P$2:$P$1001,MATCH(ROWS($N$2:N218),$N$2:$N$1001,0),0),1)),INDEX($S$2:$S$1001,MATCH(ROWS($N$2:N218),$N$2:$N$1001,0),0)))</f>
        <v>0</v>
      </c>
      <c r="B218" s="4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4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4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4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4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4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4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4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4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OR(AND(IF(Metadata!C218="",FALSE,TRUE),OR(exact(Metadata!C218,"not applicable"),exact(Metadata!C218,"not collected"),exact(Metadata!C218,"not provided"),exact(Metadata!C218,"restricted access"))),IF(Metadata!C218="",FALSE,ISNUMBER(VALUE(Metadata!C218))))</f>
        <v>0</v>
      </c>
      <c r="W218">
        <f>AND(IF(Metadata!D218="",FALSE,TRUE),exact(Metadata!D218,"m"))</f>
        <v>0</v>
      </c>
      <c r="X218">
        <f>AND(IF(Metadata!E218="",FALSE,TRUE),OR(exact(Metadata!E218,"aerosol (non-saline)"),exact(Metadata!E218,"aerosol (saline)")))</f>
        <v>0</v>
      </c>
      <c r="Y218">
        <f>AND(IF(Metadata!F218="",FALSE,TRUE),exact(Metadata!F218,"air"))</f>
        <v>0</v>
      </c>
      <c r="Z218">
        <f>AND(IF(Metadata!G218="",FALSE,TRUE),exact(Metadata!G218,"air"))</f>
        <v>0</v>
      </c>
      <c r="AA218">
        <f>AND(IF(Metadata!H218="",FALSE,TRUE),exact(Metadata!H218,"air"))</f>
        <v>0</v>
      </c>
      <c r="AB218">
        <f>AND(IF(Metadata!I218="",FALSE,TRUE),exact(Metadata!I218,"air metagenome"))</f>
        <v>0</v>
      </c>
      <c r="AC218">
        <f>AND(IF(Metadata!J218="",FALSE,TRUE),exact(Metadata!J218,"655179"))</f>
        <v>0</v>
      </c>
    </row>
    <row r="219" spans="1:29">
      <c r="A219" s="5">
        <f>IF(B219=" "," ",HYPERLINK(CONCATENATE("#metadata!",ADDRESS(INDEX($P$2:$P$1001,MATCH(ROWS($N$2:N219),$N$2:$N$1001,0),0),1)),INDEX($S$2:$S$1001,MATCH(ROWS($N$2:N219),$N$2:$N$1001,0),0)))</f>
        <v>0</v>
      </c>
      <c r="B219" s="4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4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4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4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4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4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4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4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4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OR(AND(IF(Metadata!C219="",FALSE,TRUE),OR(exact(Metadata!C219,"not applicable"),exact(Metadata!C219,"not collected"),exact(Metadata!C219,"not provided"),exact(Metadata!C219,"restricted access"))),IF(Metadata!C219="",FALSE,ISNUMBER(VALUE(Metadata!C219))))</f>
        <v>0</v>
      </c>
      <c r="W219">
        <f>AND(IF(Metadata!D219="",FALSE,TRUE),exact(Metadata!D219,"m"))</f>
        <v>0</v>
      </c>
      <c r="X219">
        <f>AND(IF(Metadata!E219="",FALSE,TRUE),OR(exact(Metadata!E219,"aerosol (non-saline)"),exact(Metadata!E219,"aerosol (saline)")))</f>
        <v>0</v>
      </c>
      <c r="Y219">
        <f>AND(IF(Metadata!F219="",FALSE,TRUE),exact(Metadata!F219,"air"))</f>
        <v>0</v>
      </c>
      <c r="Z219">
        <f>AND(IF(Metadata!G219="",FALSE,TRUE),exact(Metadata!G219,"air"))</f>
        <v>0</v>
      </c>
      <c r="AA219">
        <f>AND(IF(Metadata!H219="",FALSE,TRUE),exact(Metadata!H219,"air"))</f>
        <v>0</v>
      </c>
      <c r="AB219">
        <f>AND(IF(Metadata!I219="",FALSE,TRUE),exact(Metadata!I219,"air metagenome"))</f>
        <v>0</v>
      </c>
      <c r="AC219">
        <f>AND(IF(Metadata!J219="",FALSE,TRUE),exact(Metadata!J219,"655179"))</f>
        <v>0</v>
      </c>
    </row>
    <row r="220" spans="1:29">
      <c r="A220" s="5">
        <f>IF(B220=" "," ",HYPERLINK(CONCATENATE("#metadata!",ADDRESS(INDEX($P$2:$P$1001,MATCH(ROWS($N$2:N220),$N$2:$N$1001,0),0),1)),INDEX($S$2:$S$1001,MATCH(ROWS($N$2:N220),$N$2:$N$1001,0),0)))</f>
        <v>0</v>
      </c>
      <c r="B220" s="4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4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4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4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4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4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4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4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4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OR(AND(IF(Metadata!C220="",FALSE,TRUE),OR(exact(Metadata!C220,"not applicable"),exact(Metadata!C220,"not collected"),exact(Metadata!C220,"not provided"),exact(Metadata!C220,"restricted access"))),IF(Metadata!C220="",FALSE,ISNUMBER(VALUE(Metadata!C220))))</f>
        <v>0</v>
      </c>
      <c r="W220">
        <f>AND(IF(Metadata!D220="",FALSE,TRUE),exact(Metadata!D220,"m"))</f>
        <v>0</v>
      </c>
      <c r="X220">
        <f>AND(IF(Metadata!E220="",FALSE,TRUE),OR(exact(Metadata!E220,"aerosol (non-saline)"),exact(Metadata!E220,"aerosol (saline)")))</f>
        <v>0</v>
      </c>
      <c r="Y220">
        <f>AND(IF(Metadata!F220="",FALSE,TRUE),exact(Metadata!F220,"air"))</f>
        <v>0</v>
      </c>
      <c r="Z220">
        <f>AND(IF(Metadata!G220="",FALSE,TRUE),exact(Metadata!G220,"air"))</f>
        <v>0</v>
      </c>
      <c r="AA220">
        <f>AND(IF(Metadata!H220="",FALSE,TRUE),exact(Metadata!H220,"air"))</f>
        <v>0</v>
      </c>
      <c r="AB220">
        <f>AND(IF(Metadata!I220="",FALSE,TRUE),exact(Metadata!I220,"air metagenome"))</f>
        <v>0</v>
      </c>
      <c r="AC220">
        <f>AND(IF(Metadata!J220="",FALSE,TRUE),exact(Metadata!J220,"655179"))</f>
        <v>0</v>
      </c>
    </row>
    <row r="221" spans="1:29">
      <c r="A221" s="5">
        <f>IF(B221=" "," ",HYPERLINK(CONCATENATE("#metadata!",ADDRESS(INDEX($P$2:$P$1001,MATCH(ROWS($N$2:N221),$N$2:$N$1001,0),0),1)),INDEX($S$2:$S$1001,MATCH(ROWS($N$2:N221),$N$2:$N$1001,0),0)))</f>
        <v>0</v>
      </c>
      <c r="B221" s="4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4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4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4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4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4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4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4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4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OR(AND(IF(Metadata!C221="",FALSE,TRUE),OR(exact(Metadata!C221,"not applicable"),exact(Metadata!C221,"not collected"),exact(Metadata!C221,"not provided"),exact(Metadata!C221,"restricted access"))),IF(Metadata!C221="",FALSE,ISNUMBER(VALUE(Metadata!C221))))</f>
        <v>0</v>
      </c>
      <c r="W221">
        <f>AND(IF(Metadata!D221="",FALSE,TRUE),exact(Metadata!D221,"m"))</f>
        <v>0</v>
      </c>
      <c r="X221">
        <f>AND(IF(Metadata!E221="",FALSE,TRUE),OR(exact(Metadata!E221,"aerosol (non-saline)"),exact(Metadata!E221,"aerosol (saline)")))</f>
        <v>0</v>
      </c>
      <c r="Y221">
        <f>AND(IF(Metadata!F221="",FALSE,TRUE),exact(Metadata!F221,"air"))</f>
        <v>0</v>
      </c>
      <c r="Z221">
        <f>AND(IF(Metadata!G221="",FALSE,TRUE),exact(Metadata!G221,"air"))</f>
        <v>0</v>
      </c>
      <c r="AA221">
        <f>AND(IF(Metadata!H221="",FALSE,TRUE),exact(Metadata!H221,"air"))</f>
        <v>0</v>
      </c>
      <c r="AB221">
        <f>AND(IF(Metadata!I221="",FALSE,TRUE),exact(Metadata!I221,"air metagenome"))</f>
        <v>0</v>
      </c>
      <c r="AC221">
        <f>AND(IF(Metadata!J221="",FALSE,TRUE),exact(Metadata!J221,"655179"))</f>
        <v>0</v>
      </c>
    </row>
    <row r="222" spans="1:29">
      <c r="A222" s="5">
        <f>IF(B222=" "," ",HYPERLINK(CONCATENATE("#metadata!",ADDRESS(INDEX($P$2:$P$1001,MATCH(ROWS($N$2:N222),$N$2:$N$1001,0),0),1)),INDEX($S$2:$S$1001,MATCH(ROWS($N$2:N222),$N$2:$N$1001,0),0)))</f>
        <v>0</v>
      </c>
      <c r="B222" s="4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4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4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4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4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4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4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4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4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OR(AND(IF(Metadata!C222="",FALSE,TRUE),OR(exact(Metadata!C222,"not applicable"),exact(Metadata!C222,"not collected"),exact(Metadata!C222,"not provided"),exact(Metadata!C222,"restricted access"))),IF(Metadata!C222="",FALSE,ISNUMBER(VALUE(Metadata!C222))))</f>
        <v>0</v>
      </c>
      <c r="W222">
        <f>AND(IF(Metadata!D222="",FALSE,TRUE),exact(Metadata!D222,"m"))</f>
        <v>0</v>
      </c>
      <c r="X222">
        <f>AND(IF(Metadata!E222="",FALSE,TRUE),OR(exact(Metadata!E222,"aerosol (non-saline)"),exact(Metadata!E222,"aerosol (saline)")))</f>
        <v>0</v>
      </c>
      <c r="Y222">
        <f>AND(IF(Metadata!F222="",FALSE,TRUE),exact(Metadata!F222,"air"))</f>
        <v>0</v>
      </c>
      <c r="Z222">
        <f>AND(IF(Metadata!G222="",FALSE,TRUE),exact(Metadata!G222,"air"))</f>
        <v>0</v>
      </c>
      <c r="AA222">
        <f>AND(IF(Metadata!H222="",FALSE,TRUE),exact(Metadata!H222,"air"))</f>
        <v>0</v>
      </c>
      <c r="AB222">
        <f>AND(IF(Metadata!I222="",FALSE,TRUE),exact(Metadata!I222,"air metagenome"))</f>
        <v>0</v>
      </c>
      <c r="AC222">
        <f>AND(IF(Metadata!J222="",FALSE,TRUE),exact(Metadata!J222,"655179"))</f>
        <v>0</v>
      </c>
    </row>
    <row r="223" spans="1:29">
      <c r="A223" s="5">
        <f>IF(B223=" "," ",HYPERLINK(CONCATENATE("#metadata!",ADDRESS(INDEX($P$2:$P$1001,MATCH(ROWS($N$2:N223),$N$2:$N$1001,0),0),1)),INDEX($S$2:$S$1001,MATCH(ROWS($N$2:N223),$N$2:$N$1001,0),0)))</f>
        <v>0</v>
      </c>
      <c r="B223" s="4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4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4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4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4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4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4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4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4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OR(AND(IF(Metadata!C223="",FALSE,TRUE),OR(exact(Metadata!C223,"not applicable"),exact(Metadata!C223,"not collected"),exact(Metadata!C223,"not provided"),exact(Metadata!C223,"restricted access"))),IF(Metadata!C223="",FALSE,ISNUMBER(VALUE(Metadata!C223))))</f>
        <v>0</v>
      </c>
      <c r="W223">
        <f>AND(IF(Metadata!D223="",FALSE,TRUE),exact(Metadata!D223,"m"))</f>
        <v>0</v>
      </c>
      <c r="X223">
        <f>AND(IF(Metadata!E223="",FALSE,TRUE),OR(exact(Metadata!E223,"aerosol (non-saline)"),exact(Metadata!E223,"aerosol (saline)")))</f>
        <v>0</v>
      </c>
      <c r="Y223">
        <f>AND(IF(Metadata!F223="",FALSE,TRUE),exact(Metadata!F223,"air"))</f>
        <v>0</v>
      </c>
      <c r="Z223">
        <f>AND(IF(Metadata!G223="",FALSE,TRUE),exact(Metadata!G223,"air"))</f>
        <v>0</v>
      </c>
      <c r="AA223">
        <f>AND(IF(Metadata!H223="",FALSE,TRUE),exact(Metadata!H223,"air"))</f>
        <v>0</v>
      </c>
      <c r="AB223">
        <f>AND(IF(Metadata!I223="",FALSE,TRUE),exact(Metadata!I223,"air metagenome"))</f>
        <v>0</v>
      </c>
      <c r="AC223">
        <f>AND(IF(Metadata!J223="",FALSE,TRUE),exact(Metadata!J223,"655179"))</f>
        <v>0</v>
      </c>
    </row>
    <row r="224" spans="1:29">
      <c r="A224" s="5">
        <f>IF(B224=" "," ",HYPERLINK(CONCATENATE("#metadata!",ADDRESS(INDEX($P$2:$P$1001,MATCH(ROWS($N$2:N224),$N$2:$N$1001,0),0),1)),INDEX($S$2:$S$1001,MATCH(ROWS($N$2:N224),$N$2:$N$1001,0),0)))</f>
        <v>0</v>
      </c>
      <c r="B224" s="4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4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4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4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4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4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4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4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4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OR(AND(IF(Metadata!C224="",FALSE,TRUE),OR(exact(Metadata!C224,"not applicable"),exact(Metadata!C224,"not collected"),exact(Metadata!C224,"not provided"),exact(Metadata!C224,"restricted access"))),IF(Metadata!C224="",FALSE,ISNUMBER(VALUE(Metadata!C224))))</f>
        <v>0</v>
      </c>
      <c r="W224">
        <f>AND(IF(Metadata!D224="",FALSE,TRUE),exact(Metadata!D224,"m"))</f>
        <v>0</v>
      </c>
      <c r="X224">
        <f>AND(IF(Metadata!E224="",FALSE,TRUE),OR(exact(Metadata!E224,"aerosol (non-saline)"),exact(Metadata!E224,"aerosol (saline)")))</f>
        <v>0</v>
      </c>
      <c r="Y224">
        <f>AND(IF(Metadata!F224="",FALSE,TRUE),exact(Metadata!F224,"air"))</f>
        <v>0</v>
      </c>
      <c r="Z224">
        <f>AND(IF(Metadata!G224="",FALSE,TRUE),exact(Metadata!G224,"air"))</f>
        <v>0</v>
      </c>
      <c r="AA224">
        <f>AND(IF(Metadata!H224="",FALSE,TRUE),exact(Metadata!H224,"air"))</f>
        <v>0</v>
      </c>
      <c r="AB224">
        <f>AND(IF(Metadata!I224="",FALSE,TRUE),exact(Metadata!I224,"air metagenome"))</f>
        <v>0</v>
      </c>
      <c r="AC224">
        <f>AND(IF(Metadata!J224="",FALSE,TRUE),exact(Metadata!J224,"655179"))</f>
        <v>0</v>
      </c>
    </row>
    <row r="225" spans="1:29">
      <c r="A225" s="5">
        <f>IF(B225=" "," ",HYPERLINK(CONCATENATE("#metadata!",ADDRESS(INDEX($P$2:$P$1001,MATCH(ROWS($N$2:N225),$N$2:$N$1001,0),0),1)),INDEX($S$2:$S$1001,MATCH(ROWS($N$2:N225),$N$2:$N$1001,0),0)))</f>
        <v>0</v>
      </c>
      <c r="B225" s="4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4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4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4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4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4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4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4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4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OR(AND(IF(Metadata!C225="",FALSE,TRUE),OR(exact(Metadata!C225,"not applicable"),exact(Metadata!C225,"not collected"),exact(Metadata!C225,"not provided"),exact(Metadata!C225,"restricted access"))),IF(Metadata!C225="",FALSE,ISNUMBER(VALUE(Metadata!C225))))</f>
        <v>0</v>
      </c>
      <c r="W225">
        <f>AND(IF(Metadata!D225="",FALSE,TRUE),exact(Metadata!D225,"m"))</f>
        <v>0</v>
      </c>
      <c r="X225">
        <f>AND(IF(Metadata!E225="",FALSE,TRUE),OR(exact(Metadata!E225,"aerosol (non-saline)"),exact(Metadata!E225,"aerosol (saline)")))</f>
        <v>0</v>
      </c>
      <c r="Y225">
        <f>AND(IF(Metadata!F225="",FALSE,TRUE),exact(Metadata!F225,"air"))</f>
        <v>0</v>
      </c>
      <c r="Z225">
        <f>AND(IF(Metadata!G225="",FALSE,TRUE),exact(Metadata!G225,"air"))</f>
        <v>0</v>
      </c>
      <c r="AA225">
        <f>AND(IF(Metadata!H225="",FALSE,TRUE),exact(Metadata!H225,"air"))</f>
        <v>0</v>
      </c>
      <c r="AB225">
        <f>AND(IF(Metadata!I225="",FALSE,TRUE),exact(Metadata!I225,"air metagenome"))</f>
        <v>0</v>
      </c>
      <c r="AC225">
        <f>AND(IF(Metadata!J225="",FALSE,TRUE),exact(Metadata!J225,"655179"))</f>
        <v>0</v>
      </c>
    </row>
    <row r="226" spans="1:29">
      <c r="A226" s="5">
        <f>IF(B226=" "," ",HYPERLINK(CONCATENATE("#metadata!",ADDRESS(INDEX($P$2:$P$1001,MATCH(ROWS($N$2:N226),$N$2:$N$1001,0),0),1)),INDEX($S$2:$S$1001,MATCH(ROWS($N$2:N226),$N$2:$N$1001,0),0)))</f>
        <v>0</v>
      </c>
      <c r="B226" s="4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4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4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4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4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4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4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4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4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OR(AND(IF(Metadata!C226="",FALSE,TRUE),OR(exact(Metadata!C226,"not applicable"),exact(Metadata!C226,"not collected"),exact(Metadata!C226,"not provided"),exact(Metadata!C226,"restricted access"))),IF(Metadata!C226="",FALSE,ISNUMBER(VALUE(Metadata!C226))))</f>
        <v>0</v>
      </c>
      <c r="W226">
        <f>AND(IF(Metadata!D226="",FALSE,TRUE),exact(Metadata!D226,"m"))</f>
        <v>0</v>
      </c>
      <c r="X226">
        <f>AND(IF(Metadata!E226="",FALSE,TRUE),OR(exact(Metadata!E226,"aerosol (non-saline)"),exact(Metadata!E226,"aerosol (saline)")))</f>
        <v>0</v>
      </c>
      <c r="Y226">
        <f>AND(IF(Metadata!F226="",FALSE,TRUE),exact(Metadata!F226,"air"))</f>
        <v>0</v>
      </c>
      <c r="Z226">
        <f>AND(IF(Metadata!G226="",FALSE,TRUE),exact(Metadata!G226,"air"))</f>
        <v>0</v>
      </c>
      <c r="AA226">
        <f>AND(IF(Metadata!H226="",FALSE,TRUE),exact(Metadata!H226,"air"))</f>
        <v>0</v>
      </c>
      <c r="AB226">
        <f>AND(IF(Metadata!I226="",FALSE,TRUE),exact(Metadata!I226,"air metagenome"))</f>
        <v>0</v>
      </c>
      <c r="AC226">
        <f>AND(IF(Metadata!J226="",FALSE,TRUE),exact(Metadata!J226,"655179"))</f>
        <v>0</v>
      </c>
    </row>
    <row r="227" spans="1:29">
      <c r="A227" s="5">
        <f>IF(B227=" "," ",HYPERLINK(CONCATENATE("#metadata!",ADDRESS(INDEX($P$2:$P$1001,MATCH(ROWS($N$2:N227),$N$2:$N$1001,0),0),1)),INDEX($S$2:$S$1001,MATCH(ROWS($N$2:N227),$N$2:$N$1001,0),0)))</f>
        <v>0</v>
      </c>
      <c r="B227" s="4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4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4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4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4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4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4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4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4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OR(AND(IF(Metadata!C227="",FALSE,TRUE),OR(exact(Metadata!C227,"not applicable"),exact(Metadata!C227,"not collected"),exact(Metadata!C227,"not provided"),exact(Metadata!C227,"restricted access"))),IF(Metadata!C227="",FALSE,ISNUMBER(VALUE(Metadata!C227))))</f>
        <v>0</v>
      </c>
      <c r="W227">
        <f>AND(IF(Metadata!D227="",FALSE,TRUE),exact(Metadata!D227,"m"))</f>
        <v>0</v>
      </c>
      <c r="X227">
        <f>AND(IF(Metadata!E227="",FALSE,TRUE),OR(exact(Metadata!E227,"aerosol (non-saline)"),exact(Metadata!E227,"aerosol (saline)")))</f>
        <v>0</v>
      </c>
      <c r="Y227">
        <f>AND(IF(Metadata!F227="",FALSE,TRUE),exact(Metadata!F227,"air"))</f>
        <v>0</v>
      </c>
      <c r="Z227">
        <f>AND(IF(Metadata!G227="",FALSE,TRUE),exact(Metadata!G227,"air"))</f>
        <v>0</v>
      </c>
      <c r="AA227">
        <f>AND(IF(Metadata!H227="",FALSE,TRUE),exact(Metadata!H227,"air"))</f>
        <v>0</v>
      </c>
      <c r="AB227">
        <f>AND(IF(Metadata!I227="",FALSE,TRUE),exact(Metadata!I227,"air metagenome"))</f>
        <v>0</v>
      </c>
      <c r="AC227">
        <f>AND(IF(Metadata!J227="",FALSE,TRUE),exact(Metadata!J227,"655179"))</f>
        <v>0</v>
      </c>
    </row>
    <row r="228" spans="1:29">
      <c r="A228" s="5">
        <f>IF(B228=" "," ",HYPERLINK(CONCATENATE("#metadata!",ADDRESS(INDEX($P$2:$P$1001,MATCH(ROWS($N$2:N228),$N$2:$N$1001,0),0),1)),INDEX($S$2:$S$1001,MATCH(ROWS($N$2:N228),$N$2:$N$1001,0),0)))</f>
        <v>0</v>
      </c>
      <c r="B228" s="4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4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4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4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4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4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4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4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4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OR(AND(IF(Metadata!C228="",FALSE,TRUE),OR(exact(Metadata!C228,"not applicable"),exact(Metadata!C228,"not collected"),exact(Metadata!C228,"not provided"),exact(Metadata!C228,"restricted access"))),IF(Metadata!C228="",FALSE,ISNUMBER(VALUE(Metadata!C228))))</f>
        <v>0</v>
      </c>
      <c r="W228">
        <f>AND(IF(Metadata!D228="",FALSE,TRUE),exact(Metadata!D228,"m"))</f>
        <v>0</v>
      </c>
      <c r="X228">
        <f>AND(IF(Metadata!E228="",FALSE,TRUE),OR(exact(Metadata!E228,"aerosol (non-saline)"),exact(Metadata!E228,"aerosol (saline)")))</f>
        <v>0</v>
      </c>
      <c r="Y228">
        <f>AND(IF(Metadata!F228="",FALSE,TRUE),exact(Metadata!F228,"air"))</f>
        <v>0</v>
      </c>
      <c r="Z228">
        <f>AND(IF(Metadata!G228="",FALSE,TRUE),exact(Metadata!G228,"air"))</f>
        <v>0</v>
      </c>
      <c r="AA228">
        <f>AND(IF(Metadata!H228="",FALSE,TRUE),exact(Metadata!H228,"air"))</f>
        <v>0</v>
      </c>
      <c r="AB228">
        <f>AND(IF(Metadata!I228="",FALSE,TRUE),exact(Metadata!I228,"air metagenome"))</f>
        <v>0</v>
      </c>
      <c r="AC228">
        <f>AND(IF(Metadata!J228="",FALSE,TRUE),exact(Metadata!J228,"655179"))</f>
        <v>0</v>
      </c>
    </row>
    <row r="229" spans="1:29">
      <c r="A229" s="5">
        <f>IF(B229=" "," ",HYPERLINK(CONCATENATE("#metadata!",ADDRESS(INDEX($P$2:$P$1001,MATCH(ROWS($N$2:N229),$N$2:$N$1001,0),0),1)),INDEX($S$2:$S$1001,MATCH(ROWS($N$2:N229),$N$2:$N$1001,0),0)))</f>
        <v>0</v>
      </c>
      <c r="B229" s="4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4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4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4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4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4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4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4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4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OR(AND(IF(Metadata!C229="",FALSE,TRUE),OR(exact(Metadata!C229,"not applicable"),exact(Metadata!C229,"not collected"),exact(Metadata!C229,"not provided"),exact(Metadata!C229,"restricted access"))),IF(Metadata!C229="",FALSE,ISNUMBER(VALUE(Metadata!C229))))</f>
        <v>0</v>
      </c>
      <c r="W229">
        <f>AND(IF(Metadata!D229="",FALSE,TRUE),exact(Metadata!D229,"m"))</f>
        <v>0</v>
      </c>
      <c r="X229">
        <f>AND(IF(Metadata!E229="",FALSE,TRUE),OR(exact(Metadata!E229,"aerosol (non-saline)"),exact(Metadata!E229,"aerosol (saline)")))</f>
        <v>0</v>
      </c>
      <c r="Y229">
        <f>AND(IF(Metadata!F229="",FALSE,TRUE),exact(Metadata!F229,"air"))</f>
        <v>0</v>
      </c>
      <c r="Z229">
        <f>AND(IF(Metadata!G229="",FALSE,TRUE),exact(Metadata!G229,"air"))</f>
        <v>0</v>
      </c>
      <c r="AA229">
        <f>AND(IF(Metadata!H229="",FALSE,TRUE),exact(Metadata!H229,"air"))</f>
        <v>0</v>
      </c>
      <c r="AB229">
        <f>AND(IF(Metadata!I229="",FALSE,TRUE),exact(Metadata!I229,"air metagenome"))</f>
        <v>0</v>
      </c>
      <c r="AC229">
        <f>AND(IF(Metadata!J229="",FALSE,TRUE),exact(Metadata!J229,"655179"))</f>
        <v>0</v>
      </c>
    </row>
    <row r="230" spans="1:29">
      <c r="A230" s="5">
        <f>IF(B230=" "," ",HYPERLINK(CONCATENATE("#metadata!",ADDRESS(INDEX($P$2:$P$1001,MATCH(ROWS($N$2:N230),$N$2:$N$1001,0),0),1)),INDEX($S$2:$S$1001,MATCH(ROWS($N$2:N230),$N$2:$N$1001,0),0)))</f>
        <v>0</v>
      </c>
      <c r="B230" s="4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4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4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4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4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4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4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4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4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OR(AND(IF(Metadata!C230="",FALSE,TRUE),OR(exact(Metadata!C230,"not applicable"),exact(Metadata!C230,"not collected"),exact(Metadata!C230,"not provided"),exact(Metadata!C230,"restricted access"))),IF(Metadata!C230="",FALSE,ISNUMBER(VALUE(Metadata!C230))))</f>
        <v>0</v>
      </c>
      <c r="W230">
        <f>AND(IF(Metadata!D230="",FALSE,TRUE),exact(Metadata!D230,"m"))</f>
        <v>0</v>
      </c>
      <c r="X230">
        <f>AND(IF(Metadata!E230="",FALSE,TRUE),OR(exact(Metadata!E230,"aerosol (non-saline)"),exact(Metadata!E230,"aerosol (saline)")))</f>
        <v>0</v>
      </c>
      <c r="Y230">
        <f>AND(IF(Metadata!F230="",FALSE,TRUE),exact(Metadata!F230,"air"))</f>
        <v>0</v>
      </c>
      <c r="Z230">
        <f>AND(IF(Metadata!G230="",FALSE,TRUE),exact(Metadata!G230,"air"))</f>
        <v>0</v>
      </c>
      <c r="AA230">
        <f>AND(IF(Metadata!H230="",FALSE,TRUE),exact(Metadata!H230,"air"))</f>
        <v>0</v>
      </c>
      <c r="AB230">
        <f>AND(IF(Metadata!I230="",FALSE,TRUE),exact(Metadata!I230,"air metagenome"))</f>
        <v>0</v>
      </c>
      <c r="AC230">
        <f>AND(IF(Metadata!J230="",FALSE,TRUE),exact(Metadata!J230,"655179"))</f>
        <v>0</v>
      </c>
    </row>
    <row r="231" spans="1:29">
      <c r="A231" s="5">
        <f>IF(B231=" "," ",HYPERLINK(CONCATENATE("#metadata!",ADDRESS(INDEX($P$2:$P$1001,MATCH(ROWS($N$2:N231),$N$2:$N$1001,0),0),1)),INDEX($S$2:$S$1001,MATCH(ROWS($N$2:N231),$N$2:$N$1001,0),0)))</f>
        <v>0</v>
      </c>
      <c r="B231" s="4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4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4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4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4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4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4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4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4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OR(AND(IF(Metadata!C231="",FALSE,TRUE),OR(exact(Metadata!C231,"not applicable"),exact(Metadata!C231,"not collected"),exact(Metadata!C231,"not provided"),exact(Metadata!C231,"restricted access"))),IF(Metadata!C231="",FALSE,ISNUMBER(VALUE(Metadata!C231))))</f>
        <v>0</v>
      </c>
      <c r="W231">
        <f>AND(IF(Metadata!D231="",FALSE,TRUE),exact(Metadata!D231,"m"))</f>
        <v>0</v>
      </c>
      <c r="X231">
        <f>AND(IF(Metadata!E231="",FALSE,TRUE),OR(exact(Metadata!E231,"aerosol (non-saline)"),exact(Metadata!E231,"aerosol (saline)")))</f>
        <v>0</v>
      </c>
      <c r="Y231">
        <f>AND(IF(Metadata!F231="",FALSE,TRUE),exact(Metadata!F231,"air"))</f>
        <v>0</v>
      </c>
      <c r="Z231">
        <f>AND(IF(Metadata!G231="",FALSE,TRUE),exact(Metadata!G231,"air"))</f>
        <v>0</v>
      </c>
      <c r="AA231">
        <f>AND(IF(Metadata!H231="",FALSE,TRUE),exact(Metadata!H231,"air"))</f>
        <v>0</v>
      </c>
      <c r="AB231">
        <f>AND(IF(Metadata!I231="",FALSE,TRUE),exact(Metadata!I231,"air metagenome"))</f>
        <v>0</v>
      </c>
      <c r="AC231">
        <f>AND(IF(Metadata!J231="",FALSE,TRUE),exact(Metadata!J231,"655179"))</f>
        <v>0</v>
      </c>
    </row>
    <row r="232" spans="1:29">
      <c r="A232" s="5">
        <f>IF(B232=" "," ",HYPERLINK(CONCATENATE("#metadata!",ADDRESS(INDEX($P$2:$P$1001,MATCH(ROWS($N$2:N232),$N$2:$N$1001,0),0),1)),INDEX($S$2:$S$1001,MATCH(ROWS($N$2:N232),$N$2:$N$1001,0),0)))</f>
        <v>0</v>
      </c>
      <c r="B232" s="4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4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4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4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4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4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4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4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4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OR(AND(IF(Metadata!C232="",FALSE,TRUE),OR(exact(Metadata!C232,"not applicable"),exact(Metadata!C232,"not collected"),exact(Metadata!C232,"not provided"),exact(Metadata!C232,"restricted access"))),IF(Metadata!C232="",FALSE,ISNUMBER(VALUE(Metadata!C232))))</f>
        <v>0</v>
      </c>
      <c r="W232">
        <f>AND(IF(Metadata!D232="",FALSE,TRUE),exact(Metadata!D232,"m"))</f>
        <v>0</v>
      </c>
      <c r="X232">
        <f>AND(IF(Metadata!E232="",FALSE,TRUE),OR(exact(Metadata!E232,"aerosol (non-saline)"),exact(Metadata!E232,"aerosol (saline)")))</f>
        <v>0</v>
      </c>
      <c r="Y232">
        <f>AND(IF(Metadata!F232="",FALSE,TRUE),exact(Metadata!F232,"air"))</f>
        <v>0</v>
      </c>
      <c r="Z232">
        <f>AND(IF(Metadata!G232="",FALSE,TRUE),exact(Metadata!G232,"air"))</f>
        <v>0</v>
      </c>
      <c r="AA232">
        <f>AND(IF(Metadata!H232="",FALSE,TRUE),exact(Metadata!H232,"air"))</f>
        <v>0</v>
      </c>
      <c r="AB232">
        <f>AND(IF(Metadata!I232="",FALSE,TRUE),exact(Metadata!I232,"air metagenome"))</f>
        <v>0</v>
      </c>
      <c r="AC232">
        <f>AND(IF(Metadata!J232="",FALSE,TRUE),exact(Metadata!J232,"655179"))</f>
        <v>0</v>
      </c>
    </row>
    <row r="233" spans="1:29">
      <c r="A233" s="5">
        <f>IF(B233=" "," ",HYPERLINK(CONCATENATE("#metadata!",ADDRESS(INDEX($P$2:$P$1001,MATCH(ROWS($N$2:N233),$N$2:$N$1001,0),0),1)),INDEX($S$2:$S$1001,MATCH(ROWS($N$2:N233),$N$2:$N$1001,0),0)))</f>
        <v>0</v>
      </c>
      <c r="B233" s="4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4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4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4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4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4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4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4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4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OR(AND(IF(Metadata!C233="",FALSE,TRUE),OR(exact(Metadata!C233,"not applicable"),exact(Metadata!C233,"not collected"),exact(Metadata!C233,"not provided"),exact(Metadata!C233,"restricted access"))),IF(Metadata!C233="",FALSE,ISNUMBER(VALUE(Metadata!C233))))</f>
        <v>0</v>
      </c>
      <c r="W233">
        <f>AND(IF(Metadata!D233="",FALSE,TRUE),exact(Metadata!D233,"m"))</f>
        <v>0</v>
      </c>
      <c r="X233">
        <f>AND(IF(Metadata!E233="",FALSE,TRUE),OR(exact(Metadata!E233,"aerosol (non-saline)"),exact(Metadata!E233,"aerosol (saline)")))</f>
        <v>0</v>
      </c>
      <c r="Y233">
        <f>AND(IF(Metadata!F233="",FALSE,TRUE),exact(Metadata!F233,"air"))</f>
        <v>0</v>
      </c>
      <c r="Z233">
        <f>AND(IF(Metadata!G233="",FALSE,TRUE),exact(Metadata!G233,"air"))</f>
        <v>0</v>
      </c>
      <c r="AA233">
        <f>AND(IF(Metadata!H233="",FALSE,TRUE),exact(Metadata!H233,"air"))</f>
        <v>0</v>
      </c>
      <c r="AB233">
        <f>AND(IF(Metadata!I233="",FALSE,TRUE),exact(Metadata!I233,"air metagenome"))</f>
        <v>0</v>
      </c>
      <c r="AC233">
        <f>AND(IF(Metadata!J233="",FALSE,TRUE),exact(Metadata!J233,"655179"))</f>
        <v>0</v>
      </c>
    </row>
    <row r="234" spans="1:29">
      <c r="A234" s="5">
        <f>IF(B234=" "," ",HYPERLINK(CONCATENATE("#metadata!",ADDRESS(INDEX($P$2:$P$1001,MATCH(ROWS($N$2:N234),$N$2:$N$1001,0),0),1)),INDEX($S$2:$S$1001,MATCH(ROWS($N$2:N234),$N$2:$N$1001,0),0)))</f>
        <v>0</v>
      </c>
      <c r="B234" s="4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4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4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4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4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4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4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4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4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OR(AND(IF(Metadata!C234="",FALSE,TRUE),OR(exact(Metadata!C234,"not applicable"),exact(Metadata!C234,"not collected"),exact(Metadata!C234,"not provided"),exact(Metadata!C234,"restricted access"))),IF(Metadata!C234="",FALSE,ISNUMBER(VALUE(Metadata!C234))))</f>
        <v>0</v>
      </c>
      <c r="W234">
        <f>AND(IF(Metadata!D234="",FALSE,TRUE),exact(Metadata!D234,"m"))</f>
        <v>0</v>
      </c>
      <c r="X234">
        <f>AND(IF(Metadata!E234="",FALSE,TRUE),OR(exact(Metadata!E234,"aerosol (non-saline)"),exact(Metadata!E234,"aerosol (saline)")))</f>
        <v>0</v>
      </c>
      <c r="Y234">
        <f>AND(IF(Metadata!F234="",FALSE,TRUE),exact(Metadata!F234,"air"))</f>
        <v>0</v>
      </c>
      <c r="Z234">
        <f>AND(IF(Metadata!G234="",FALSE,TRUE),exact(Metadata!G234,"air"))</f>
        <v>0</v>
      </c>
      <c r="AA234">
        <f>AND(IF(Metadata!H234="",FALSE,TRUE),exact(Metadata!H234,"air"))</f>
        <v>0</v>
      </c>
      <c r="AB234">
        <f>AND(IF(Metadata!I234="",FALSE,TRUE),exact(Metadata!I234,"air metagenome"))</f>
        <v>0</v>
      </c>
      <c r="AC234">
        <f>AND(IF(Metadata!J234="",FALSE,TRUE),exact(Metadata!J234,"655179"))</f>
        <v>0</v>
      </c>
    </row>
    <row r="235" spans="1:29">
      <c r="A235" s="5">
        <f>IF(B235=" "," ",HYPERLINK(CONCATENATE("#metadata!",ADDRESS(INDEX($P$2:$P$1001,MATCH(ROWS($N$2:N235),$N$2:$N$1001,0),0),1)),INDEX($S$2:$S$1001,MATCH(ROWS($N$2:N235),$N$2:$N$1001,0),0)))</f>
        <v>0</v>
      </c>
      <c r="B235" s="4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4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4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4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4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4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4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4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4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OR(AND(IF(Metadata!C235="",FALSE,TRUE),OR(exact(Metadata!C235,"not applicable"),exact(Metadata!C235,"not collected"),exact(Metadata!C235,"not provided"),exact(Metadata!C235,"restricted access"))),IF(Metadata!C235="",FALSE,ISNUMBER(VALUE(Metadata!C235))))</f>
        <v>0</v>
      </c>
      <c r="W235">
        <f>AND(IF(Metadata!D235="",FALSE,TRUE),exact(Metadata!D235,"m"))</f>
        <v>0</v>
      </c>
      <c r="X235">
        <f>AND(IF(Metadata!E235="",FALSE,TRUE),OR(exact(Metadata!E235,"aerosol (non-saline)"),exact(Metadata!E235,"aerosol (saline)")))</f>
        <v>0</v>
      </c>
      <c r="Y235">
        <f>AND(IF(Metadata!F235="",FALSE,TRUE),exact(Metadata!F235,"air"))</f>
        <v>0</v>
      </c>
      <c r="Z235">
        <f>AND(IF(Metadata!G235="",FALSE,TRUE),exact(Metadata!G235,"air"))</f>
        <v>0</v>
      </c>
      <c r="AA235">
        <f>AND(IF(Metadata!H235="",FALSE,TRUE),exact(Metadata!H235,"air"))</f>
        <v>0</v>
      </c>
      <c r="AB235">
        <f>AND(IF(Metadata!I235="",FALSE,TRUE),exact(Metadata!I235,"air metagenome"))</f>
        <v>0</v>
      </c>
      <c r="AC235">
        <f>AND(IF(Metadata!J235="",FALSE,TRUE),exact(Metadata!J235,"655179"))</f>
        <v>0</v>
      </c>
    </row>
    <row r="236" spans="1:29">
      <c r="A236" s="5">
        <f>IF(B236=" "," ",HYPERLINK(CONCATENATE("#metadata!",ADDRESS(INDEX($P$2:$P$1001,MATCH(ROWS($N$2:N236),$N$2:$N$1001,0),0),1)),INDEX($S$2:$S$1001,MATCH(ROWS($N$2:N236),$N$2:$N$1001,0),0)))</f>
        <v>0</v>
      </c>
      <c r="B236" s="4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4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4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4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4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4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4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4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4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OR(AND(IF(Metadata!C236="",FALSE,TRUE),OR(exact(Metadata!C236,"not applicable"),exact(Metadata!C236,"not collected"),exact(Metadata!C236,"not provided"),exact(Metadata!C236,"restricted access"))),IF(Metadata!C236="",FALSE,ISNUMBER(VALUE(Metadata!C236))))</f>
        <v>0</v>
      </c>
      <c r="W236">
        <f>AND(IF(Metadata!D236="",FALSE,TRUE),exact(Metadata!D236,"m"))</f>
        <v>0</v>
      </c>
      <c r="X236">
        <f>AND(IF(Metadata!E236="",FALSE,TRUE),OR(exact(Metadata!E236,"aerosol (non-saline)"),exact(Metadata!E236,"aerosol (saline)")))</f>
        <v>0</v>
      </c>
      <c r="Y236">
        <f>AND(IF(Metadata!F236="",FALSE,TRUE),exact(Metadata!F236,"air"))</f>
        <v>0</v>
      </c>
      <c r="Z236">
        <f>AND(IF(Metadata!G236="",FALSE,TRUE),exact(Metadata!G236,"air"))</f>
        <v>0</v>
      </c>
      <c r="AA236">
        <f>AND(IF(Metadata!H236="",FALSE,TRUE),exact(Metadata!H236,"air"))</f>
        <v>0</v>
      </c>
      <c r="AB236">
        <f>AND(IF(Metadata!I236="",FALSE,TRUE),exact(Metadata!I236,"air metagenome"))</f>
        <v>0</v>
      </c>
      <c r="AC236">
        <f>AND(IF(Metadata!J236="",FALSE,TRUE),exact(Metadata!J236,"655179"))</f>
        <v>0</v>
      </c>
    </row>
    <row r="237" spans="1:29">
      <c r="A237" s="5">
        <f>IF(B237=" "," ",HYPERLINK(CONCATENATE("#metadata!",ADDRESS(INDEX($P$2:$P$1001,MATCH(ROWS($N$2:N237),$N$2:$N$1001,0),0),1)),INDEX($S$2:$S$1001,MATCH(ROWS($N$2:N237),$N$2:$N$1001,0),0)))</f>
        <v>0</v>
      </c>
      <c r="B237" s="4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4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4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4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4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4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4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4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4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OR(AND(IF(Metadata!C237="",FALSE,TRUE),OR(exact(Metadata!C237,"not applicable"),exact(Metadata!C237,"not collected"),exact(Metadata!C237,"not provided"),exact(Metadata!C237,"restricted access"))),IF(Metadata!C237="",FALSE,ISNUMBER(VALUE(Metadata!C237))))</f>
        <v>0</v>
      </c>
      <c r="W237">
        <f>AND(IF(Metadata!D237="",FALSE,TRUE),exact(Metadata!D237,"m"))</f>
        <v>0</v>
      </c>
      <c r="X237">
        <f>AND(IF(Metadata!E237="",FALSE,TRUE),OR(exact(Metadata!E237,"aerosol (non-saline)"),exact(Metadata!E237,"aerosol (saline)")))</f>
        <v>0</v>
      </c>
      <c r="Y237">
        <f>AND(IF(Metadata!F237="",FALSE,TRUE),exact(Metadata!F237,"air"))</f>
        <v>0</v>
      </c>
      <c r="Z237">
        <f>AND(IF(Metadata!G237="",FALSE,TRUE),exact(Metadata!G237,"air"))</f>
        <v>0</v>
      </c>
      <c r="AA237">
        <f>AND(IF(Metadata!H237="",FALSE,TRUE),exact(Metadata!H237,"air"))</f>
        <v>0</v>
      </c>
      <c r="AB237">
        <f>AND(IF(Metadata!I237="",FALSE,TRUE),exact(Metadata!I237,"air metagenome"))</f>
        <v>0</v>
      </c>
      <c r="AC237">
        <f>AND(IF(Metadata!J237="",FALSE,TRUE),exact(Metadata!J237,"655179"))</f>
        <v>0</v>
      </c>
    </row>
    <row r="238" spans="1:29">
      <c r="A238" s="5">
        <f>IF(B238=" "," ",HYPERLINK(CONCATENATE("#metadata!",ADDRESS(INDEX($P$2:$P$1001,MATCH(ROWS($N$2:N238),$N$2:$N$1001,0),0),1)),INDEX($S$2:$S$1001,MATCH(ROWS($N$2:N238),$N$2:$N$1001,0),0)))</f>
        <v>0</v>
      </c>
      <c r="B238" s="4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4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4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4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4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4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4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4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4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OR(AND(IF(Metadata!C238="",FALSE,TRUE),OR(exact(Metadata!C238,"not applicable"),exact(Metadata!C238,"not collected"),exact(Metadata!C238,"not provided"),exact(Metadata!C238,"restricted access"))),IF(Metadata!C238="",FALSE,ISNUMBER(VALUE(Metadata!C238))))</f>
        <v>0</v>
      </c>
      <c r="W238">
        <f>AND(IF(Metadata!D238="",FALSE,TRUE),exact(Metadata!D238,"m"))</f>
        <v>0</v>
      </c>
      <c r="X238">
        <f>AND(IF(Metadata!E238="",FALSE,TRUE),OR(exact(Metadata!E238,"aerosol (non-saline)"),exact(Metadata!E238,"aerosol (saline)")))</f>
        <v>0</v>
      </c>
      <c r="Y238">
        <f>AND(IF(Metadata!F238="",FALSE,TRUE),exact(Metadata!F238,"air"))</f>
        <v>0</v>
      </c>
      <c r="Z238">
        <f>AND(IF(Metadata!G238="",FALSE,TRUE),exact(Metadata!G238,"air"))</f>
        <v>0</v>
      </c>
      <c r="AA238">
        <f>AND(IF(Metadata!H238="",FALSE,TRUE),exact(Metadata!H238,"air"))</f>
        <v>0</v>
      </c>
      <c r="AB238">
        <f>AND(IF(Metadata!I238="",FALSE,TRUE),exact(Metadata!I238,"air metagenome"))</f>
        <v>0</v>
      </c>
      <c r="AC238">
        <f>AND(IF(Metadata!J238="",FALSE,TRUE),exact(Metadata!J238,"655179"))</f>
        <v>0</v>
      </c>
    </row>
    <row r="239" spans="1:29">
      <c r="A239" s="5">
        <f>IF(B239=" "," ",HYPERLINK(CONCATENATE("#metadata!",ADDRESS(INDEX($P$2:$P$1001,MATCH(ROWS($N$2:N239),$N$2:$N$1001,0),0),1)),INDEX($S$2:$S$1001,MATCH(ROWS($N$2:N239),$N$2:$N$1001,0),0)))</f>
        <v>0</v>
      </c>
      <c r="B239" s="4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4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4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4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4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4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4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4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4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OR(AND(IF(Metadata!C239="",FALSE,TRUE),OR(exact(Metadata!C239,"not applicable"),exact(Metadata!C239,"not collected"),exact(Metadata!C239,"not provided"),exact(Metadata!C239,"restricted access"))),IF(Metadata!C239="",FALSE,ISNUMBER(VALUE(Metadata!C239))))</f>
        <v>0</v>
      </c>
      <c r="W239">
        <f>AND(IF(Metadata!D239="",FALSE,TRUE),exact(Metadata!D239,"m"))</f>
        <v>0</v>
      </c>
      <c r="X239">
        <f>AND(IF(Metadata!E239="",FALSE,TRUE),OR(exact(Metadata!E239,"aerosol (non-saline)"),exact(Metadata!E239,"aerosol (saline)")))</f>
        <v>0</v>
      </c>
      <c r="Y239">
        <f>AND(IF(Metadata!F239="",FALSE,TRUE),exact(Metadata!F239,"air"))</f>
        <v>0</v>
      </c>
      <c r="Z239">
        <f>AND(IF(Metadata!G239="",FALSE,TRUE),exact(Metadata!G239,"air"))</f>
        <v>0</v>
      </c>
      <c r="AA239">
        <f>AND(IF(Metadata!H239="",FALSE,TRUE),exact(Metadata!H239,"air"))</f>
        <v>0</v>
      </c>
      <c r="AB239">
        <f>AND(IF(Metadata!I239="",FALSE,TRUE),exact(Metadata!I239,"air metagenome"))</f>
        <v>0</v>
      </c>
      <c r="AC239">
        <f>AND(IF(Metadata!J239="",FALSE,TRUE),exact(Metadata!J239,"655179"))</f>
        <v>0</v>
      </c>
    </row>
    <row r="240" spans="1:29">
      <c r="A240" s="5">
        <f>IF(B240=" "," ",HYPERLINK(CONCATENATE("#metadata!",ADDRESS(INDEX($P$2:$P$1001,MATCH(ROWS($N$2:N240),$N$2:$N$1001,0),0),1)),INDEX($S$2:$S$1001,MATCH(ROWS($N$2:N240),$N$2:$N$1001,0),0)))</f>
        <v>0</v>
      </c>
      <c r="B240" s="4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4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4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4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4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4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4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4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4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OR(AND(IF(Metadata!C240="",FALSE,TRUE),OR(exact(Metadata!C240,"not applicable"),exact(Metadata!C240,"not collected"),exact(Metadata!C240,"not provided"),exact(Metadata!C240,"restricted access"))),IF(Metadata!C240="",FALSE,ISNUMBER(VALUE(Metadata!C240))))</f>
        <v>0</v>
      </c>
      <c r="W240">
        <f>AND(IF(Metadata!D240="",FALSE,TRUE),exact(Metadata!D240,"m"))</f>
        <v>0</v>
      </c>
      <c r="X240">
        <f>AND(IF(Metadata!E240="",FALSE,TRUE),OR(exact(Metadata!E240,"aerosol (non-saline)"),exact(Metadata!E240,"aerosol (saline)")))</f>
        <v>0</v>
      </c>
      <c r="Y240">
        <f>AND(IF(Metadata!F240="",FALSE,TRUE),exact(Metadata!F240,"air"))</f>
        <v>0</v>
      </c>
      <c r="Z240">
        <f>AND(IF(Metadata!G240="",FALSE,TRUE),exact(Metadata!G240,"air"))</f>
        <v>0</v>
      </c>
      <c r="AA240">
        <f>AND(IF(Metadata!H240="",FALSE,TRUE),exact(Metadata!H240,"air"))</f>
        <v>0</v>
      </c>
      <c r="AB240">
        <f>AND(IF(Metadata!I240="",FALSE,TRUE),exact(Metadata!I240,"air metagenome"))</f>
        <v>0</v>
      </c>
      <c r="AC240">
        <f>AND(IF(Metadata!J240="",FALSE,TRUE),exact(Metadata!J240,"655179"))</f>
        <v>0</v>
      </c>
    </row>
    <row r="241" spans="1:29">
      <c r="A241" s="5">
        <f>IF(B241=" "," ",HYPERLINK(CONCATENATE("#metadata!",ADDRESS(INDEX($P$2:$P$1001,MATCH(ROWS($N$2:N241),$N$2:$N$1001,0),0),1)),INDEX($S$2:$S$1001,MATCH(ROWS($N$2:N241),$N$2:$N$1001,0),0)))</f>
        <v>0</v>
      </c>
      <c r="B241" s="4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4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4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4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4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4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4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4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4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OR(AND(IF(Metadata!C241="",FALSE,TRUE),OR(exact(Metadata!C241,"not applicable"),exact(Metadata!C241,"not collected"),exact(Metadata!C241,"not provided"),exact(Metadata!C241,"restricted access"))),IF(Metadata!C241="",FALSE,ISNUMBER(VALUE(Metadata!C241))))</f>
        <v>0</v>
      </c>
      <c r="W241">
        <f>AND(IF(Metadata!D241="",FALSE,TRUE),exact(Metadata!D241,"m"))</f>
        <v>0</v>
      </c>
      <c r="X241">
        <f>AND(IF(Metadata!E241="",FALSE,TRUE),OR(exact(Metadata!E241,"aerosol (non-saline)"),exact(Metadata!E241,"aerosol (saline)")))</f>
        <v>0</v>
      </c>
      <c r="Y241">
        <f>AND(IF(Metadata!F241="",FALSE,TRUE),exact(Metadata!F241,"air"))</f>
        <v>0</v>
      </c>
      <c r="Z241">
        <f>AND(IF(Metadata!G241="",FALSE,TRUE),exact(Metadata!G241,"air"))</f>
        <v>0</v>
      </c>
      <c r="AA241">
        <f>AND(IF(Metadata!H241="",FALSE,TRUE),exact(Metadata!H241,"air"))</f>
        <v>0</v>
      </c>
      <c r="AB241">
        <f>AND(IF(Metadata!I241="",FALSE,TRUE),exact(Metadata!I241,"air metagenome"))</f>
        <v>0</v>
      </c>
      <c r="AC241">
        <f>AND(IF(Metadata!J241="",FALSE,TRUE),exact(Metadata!J241,"655179"))</f>
        <v>0</v>
      </c>
    </row>
    <row r="242" spans="1:29">
      <c r="A242" s="5">
        <f>IF(B242=" "," ",HYPERLINK(CONCATENATE("#metadata!",ADDRESS(INDEX($P$2:$P$1001,MATCH(ROWS($N$2:N242),$N$2:$N$1001,0),0),1)),INDEX($S$2:$S$1001,MATCH(ROWS($N$2:N242),$N$2:$N$1001,0),0)))</f>
        <v>0</v>
      </c>
      <c r="B242" s="4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4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4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4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4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4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4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4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4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OR(AND(IF(Metadata!C242="",FALSE,TRUE),OR(exact(Metadata!C242,"not applicable"),exact(Metadata!C242,"not collected"),exact(Metadata!C242,"not provided"),exact(Metadata!C242,"restricted access"))),IF(Metadata!C242="",FALSE,ISNUMBER(VALUE(Metadata!C242))))</f>
        <v>0</v>
      </c>
      <c r="W242">
        <f>AND(IF(Metadata!D242="",FALSE,TRUE),exact(Metadata!D242,"m"))</f>
        <v>0</v>
      </c>
      <c r="X242">
        <f>AND(IF(Metadata!E242="",FALSE,TRUE),OR(exact(Metadata!E242,"aerosol (non-saline)"),exact(Metadata!E242,"aerosol (saline)")))</f>
        <v>0</v>
      </c>
      <c r="Y242">
        <f>AND(IF(Metadata!F242="",FALSE,TRUE),exact(Metadata!F242,"air"))</f>
        <v>0</v>
      </c>
      <c r="Z242">
        <f>AND(IF(Metadata!G242="",FALSE,TRUE),exact(Metadata!G242,"air"))</f>
        <v>0</v>
      </c>
      <c r="AA242">
        <f>AND(IF(Metadata!H242="",FALSE,TRUE),exact(Metadata!H242,"air"))</f>
        <v>0</v>
      </c>
      <c r="AB242">
        <f>AND(IF(Metadata!I242="",FALSE,TRUE),exact(Metadata!I242,"air metagenome"))</f>
        <v>0</v>
      </c>
      <c r="AC242">
        <f>AND(IF(Metadata!J242="",FALSE,TRUE),exact(Metadata!J242,"655179"))</f>
        <v>0</v>
      </c>
    </row>
    <row r="243" spans="1:29">
      <c r="A243" s="5">
        <f>IF(B243=" "," ",HYPERLINK(CONCATENATE("#metadata!",ADDRESS(INDEX($P$2:$P$1001,MATCH(ROWS($N$2:N243),$N$2:$N$1001,0),0),1)),INDEX($S$2:$S$1001,MATCH(ROWS($N$2:N243),$N$2:$N$1001,0),0)))</f>
        <v>0</v>
      </c>
      <c r="B243" s="4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4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4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4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4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4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4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4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4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OR(AND(IF(Metadata!C243="",FALSE,TRUE),OR(exact(Metadata!C243,"not applicable"),exact(Metadata!C243,"not collected"),exact(Metadata!C243,"not provided"),exact(Metadata!C243,"restricted access"))),IF(Metadata!C243="",FALSE,ISNUMBER(VALUE(Metadata!C243))))</f>
        <v>0</v>
      </c>
      <c r="W243">
        <f>AND(IF(Metadata!D243="",FALSE,TRUE),exact(Metadata!D243,"m"))</f>
        <v>0</v>
      </c>
      <c r="X243">
        <f>AND(IF(Metadata!E243="",FALSE,TRUE),OR(exact(Metadata!E243,"aerosol (non-saline)"),exact(Metadata!E243,"aerosol (saline)")))</f>
        <v>0</v>
      </c>
      <c r="Y243">
        <f>AND(IF(Metadata!F243="",FALSE,TRUE),exact(Metadata!F243,"air"))</f>
        <v>0</v>
      </c>
      <c r="Z243">
        <f>AND(IF(Metadata!G243="",FALSE,TRUE),exact(Metadata!G243,"air"))</f>
        <v>0</v>
      </c>
      <c r="AA243">
        <f>AND(IF(Metadata!H243="",FALSE,TRUE),exact(Metadata!H243,"air"))</f>
        <v>0</v>
      </c>
      <c r="AB243">
        <f>AND(IF(Metadata!I243="",FALSE,TRUE),exact(Metadata!I243,"air metagenome"))</f>
        <v>0</v>
      </c>
      <c r="AC243">
        <f>AND(IF(Metadata!J243="",FALSE,TRUE),exact(Metadata!J243,"655179"))</f>
        <v>0</v>
      </c>
    </row>
    <row r="244" spans="1:29">
      <c r="A244" s="5">
        <f>IF(B244=" "," ",HYPERLINK(CONCATENATE("#metadata!",ADDRESS(INDEX($P$2:$P$1001,MATCH(ROWS($N$2:N244),$N$2:$N$1001,0),0),1)),INDEX($S$2:$S$1001,MATCH(ROWS($N$2:N244),$N$2:$N$1001,0),0)))</f>
        <v>0</v>
      </c>
      <c r="B244" s="4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4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4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4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4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4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4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4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4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OR(AND(IF(Metadata!C244="",FALSE,TRUE),OR(exact(Metadata!C244,"not applicable"),exact(Metadata!C244,"not collected"),exact(Metadata!C244,"not provided"),exact(Metadata!C244,"restricted access"))),IF(Metadata!C244="",FALSE,ISNUMBER(VALUE(Metadata!C244))))</f>
        <v>0</v>
      </c>
      <c r="W244">
        <f>AND(IF(Metadata!D244="",FALSE,TRUE),exact(Metadata!D244,"m"))</f>
        <v>0</v>
      </c>
      <c r="X244">
        <f>AND(IF(Metadata!E244="",FALSE,TRUE),OR(exact(Metadata!E244,"aerosol (non-saline)"),exact(Metadata!E244,"aerosol (saline)")))</f>
        <v>0</v>
      </c>
      <c r="Y244">
        <f>AND(IF(Metadata!F244="",FALSE,TRUE),exact(Metadata!F244,"air"))</f>
        <v>0</v>
      </c>
      <c r="Z244">
        <f>AND(IF(Metadata!G244="",FALSE,TRUE),exact(Metadata!G244,"air"))</f>
        <v>0</v>
      </c>
      <c r="AA244">
        <f>AND(IF(Metadata!H244="",FALSE,TRUE),exact(Metadata!H244,"air"))</f>
        <v>0</v>
      </c>
      <c r="AB244">
        <f>AND(IF(Metadata!I244="",FALSE,TRUE),exact(Metadata!I244,"air metagenome"))</f>
        <v>0</v>
      </c>
      <c r="AC244">
        <f>AND(IF(Metadata!J244="",FALSE,TRUE),exact(Metadata!J244,"655179"))</f>
        <v>0</v>
      </c>
    </row>
    <row r="245" spans="1:29">
      <c r="A245" s="5">
        <f>IF(B245=" "," ",HYPERLINK(CONCATENATE("#metadata!",ADDRESS(INDEX($P$2:$P$1001,MATCH(ROWS($N$2:N245),$N$2:$N$1001,0),0),1)),INDEX($S$2:$S$1001,MATCH(ROWS($N$2:N245),$N$2:$N$1001,0),0)))</f>
        <v>0</v>
      </c>
      <c r="B245" s="4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4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4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4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4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4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4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4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4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OR(AND(IF(Metadata!C245="",FALSE,TRUE),OR(exact(Metadata!C245,"not applicable"),exact(Metadata!C245,"not collected"),exact(Metadata!C245,"not provided"),exact(Metadata!C245,"restricted access"))),IF(Metadata!C245="",FALSE,ISNUMBER(VALUE(Metadata!C245))))</f>
        <v>0</v>
      </c>
      <c r="W245">
        <f>AND(IF(Metadata!D245="",FALSE,TRUE),exact(Metadata!D245,"m"))</f>
        <v>0</v>
      </c>
      <c r="X245">
        <f>AND(IF(Metadata!E245="",FALSE,TRUE),OR(exact(Metadata!E245,"aerosol (non-saline)"),exact(Metadata!E245,"aerosol (saline)")))</f>
        <v>0</v>
      </c>
      <c r="Y245">
        <f>AND(IF(Metadata!F245="",FALSE,TRUE),exact(Metadata!F245,"air"))</f>
        <v>0</v>
      </c>
      <c r="Z245">
        <f>AND(IF(Metadata!G245="",FALSE,TRUE),exact(Metadata!G245,"air"))</f>
        <v>0</v>
      </c>
      <c r="AA245">
        <f>AND(IF(Metadata!H245="",FALSE,TRUE),exact(Metadata!H245,"air"))</f>
        <v>0</v>
      </c>
      <c r="AB245">
        <f>AND(IF(Metadata!I245="",FALSE,TRUE),exact(Metadata!I245,"air metagenome"))</f>
        <v>0</v>
      </c>
      <c r="AC245">
        <f>AND(IF(Metadata!J245="",FALSE,TRUE),exact(Metadata!J245,"655179"))</f>
        <v>0</v>
      </c>
    </row>
    <row r="246" spans="1:29">
      <c r="A246" s="5">
        <f>IF(B246=" "," ",HYPERLINK(CONCATENATE("#metadata!",ADDRESS(INDEX($P$2:$P$1001,MATCH(ROWS($N$2:N246),$N$2:$N$1001,0),0),1)),INDEX($S$2:$S$1001,MATCH(ROWS($N$2:N246),$N$2:$N$1001,0),0)))</f>
        <v>0</v>
      </c>
      <c r="B246" s="4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4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4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4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4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4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4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4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4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OR(AND(IF(Metadata!C246="",FALSE,TRUE),OR(exact(Metadata!C246,"not applicable"),exact(Metadata!C246,"not collected"),exact(Metadata!C246,"not provided"),exact(Metadata!C246,"restricted access"))),IF(Metadata!C246="",FALSE,ISNUMBER(VALUE(Metadata!C246))))</f>
        <v>0</v>
      </c>
      <c r="W246">
        <f>AND(IF(Metadata!D246="",FALSE,TRUE),exact(Metadata!D246,"m"))</f>
        <v>0</v>
      </c>
      <c r="X246">
        <f>AND(IF(Metadata!E246="",FALSE,TRUE),OR(exact(Metadata!E246,"aerosol (non-saline)"),exact(Metadata!E246,"aerosol (saline)")))</f>
        <v>0</v>
      </c>
      <c r="Y246">
        <f>AND(IF(Metadata!F246="",FALSE,TRUE),exact(Metadata!F246,"air"))</f>
        <v>0</v>
      </c>
      <c r="Z246">
        <f>AND(IF(Metadata!G246="",FALSE,TRUE),exact(Metadata!G246,"air"))</f>
        <v>0</v>
      </c>
      <c r="AA246">
        <f>AND(IF(Metadata!H246="",FALSE,TRUE),exact(Metadata!H246,"air"))</f>
        <v>0</v>
      </c>
      <c r="AB246">
        <f>AND(IF(Metadata!I246="",FALSE,TRUE),exact(Metadata!I246,"air metagenome"))</f>
        <v>0</v>
      </c>
      <c r="AC246">
        <f>AND(IF(Metadata!J246="",FALSE,TRUE),exact(Metadata!J246,"655179"))</f>
        <v>0</v>
      </c>
    </row>
    <row r="247" spans="1:29">
      <c r="A247" s="5">
        <f>IF(B247=" "," ",HYPERLINK(CONCATENATE("#metadata!",ADDRESS(INDEX($P$2:$P$1001,MATCH(ROWS($N$2:N247),$N$2:$N$1001,0),0),1)),INDEX($S$2:$S$1001,MATCH(ROWS($N$2:N247),$N$2:$N$1001,0),0)))</f>
        <v>0</v>
      </c>
      <c r="B247" s="4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4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4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4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4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4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4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4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4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OR(AND(IF(Metadata!C247="",FALSE,TRUE),OR(exact(Metadata!C247,"not applicable"),exact(Metadata!C247,"not collected"),exact(Metadata!C247,"not provided"),exact(Metadata!C247,"restricted access"))),IF(Metadata!C247="",FALSE,ISNUMBER(VALUE(Metadata!C247))))</f>
        <v>0</v>
      </c>
      <c r="W247">
        <f>AND(IF(Metadata!D247="",FALSE,TRUE),exact(Metadata!D247,"m"))</f>
        <v>0</v>
      </c>
      <c r="X247">
        <f>AND(IF(Metadata!E247="",FALSE,TRUE),OR(exact(Metadata!E247,"aerosol (non-saline)"),exact(Metadata!E247,"aerosol (saline)")))</f>
        <v>0</v>
      </c>
      <c r="Y247">
        <f>AND(IF(Metadata!F247="",FALSE,TRUE),exact(Metadata!F247,"air"))</f>
        <v>0</v>
      </c>
      <c r="Z247">
        <f>AND(IF(Metadata!G247="",FALSE,TRUE),exact(Metadata!G247,"air"))</f>
        <v>0</v>
      </c>
      <c r="AA247">
        <f>AND(IF(Metadata!H247="",FALSE,TRUE),exact(Metadata!H247,"air"))</f>
        <v>0</v>
      </c>
      <c r="AB247">
        <f>AND(IF(Metadata!I247="",FALSE,TRUE),exact(Metadata!I247,"air metagenome"))</f>
        <v>0</v>
      </c>
      <c r="AC247">
        <f>AND(IF(Metadata!J247="",FALSE,TRUE),exact(Metadata!J247,"655179"))</f>
        <v>0</v>
      </c>
    </row>
    <row r="248" spans="1:29">
      <c r="A248" s="5">
        <f>IF(B248=" "," ",HYPERLINK(CONCATENATE("#metadata!",ADDRESS(INDEX($P$2:$P$1001,MATCH(ROWS($N$2:N248),$N$2:$N$1001,0),0),1)),INDEX($S$2:$S$1001,MATCH(ROWS($N$2:N248),$N$2:$N$1001,0),0)))</f>
        <v>0</v>
      </c>
      <c r="B248" s="4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4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4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4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4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4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4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4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4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OR(AND(IF(Metadata!C248="",FALSE,TRUE),OR(exact(Metadata!C248,"not applicable"),exact(Metadata!C248,"not collected"),exact(Metadata!C248,"not provided"),exact(Metadata!C248,"restricted access"))),IF(Metadata!C248="",FALSE,ISNUMBER(VALUE(Metadata!C248))))</f>
        <v>0</v>
      </c>
      <c r="W248">
        <f>AND(IF(Metadata!D248="",FALSE,TRUE),exact(Metadata!D248,"m"))</f>
        <v>0</v>
      </c>
      <c r="X248">
        <f>AND(IF(Metadata!E248="",FALSE,TRUE),OR(exact(Metadata!E248,"aerosol (non-saline)"),exact(Metadata!E248,"aerosol (saline)")))</f>
        <v>0</v>
      </c>
      <c r="Y248">
        <f>AND(IF(Metadata!F248="",FALSE,TRUE),exact(Metadata!F248,"air"))</f>
        <v>0</v>
      </c>
      <c r="Z248">
        <f>AND(IF(Metadata!G248="",FALSE,TRUE),exact(Metadata!G248,"air"))</f>
        <v>0</v>
      </c>
      <c r="AA248">
        <f>AND(IF(Metadata!H248="",FALSE,TRUE),exact(Metadata!H248,"air"))</f>
        <v>0</v>
      </c>
      <c r="AB248">
        <f>AND(IF(Metadata!I248="",FALSE,TRUE),exact(Metadata!I248,"air metagenome"))</f>
        <v>0</v>
      </c>
      <c r="AC248">
        <f>AND(IF(Metadata!J248="",FALSE,TRUE),exact(Metadata!J248,"655179"))</f>
        <v>0</v>
      </c>
    </row>
    <row r="249" spans="1:29">
      <c r="A249" s="5">
        <f>IF(B249=" "," ",HYPERLINK(CONCATENATE("#metadata!",ADDRESS(INDEX($P$2:$P$1001,MATCH(ROWS($N$2:N249),$N$2:$N$1001,0),0),1)),INDEX($S$2:$S$1001,MATCH(ROWS($N$2:N249),$N$2:$N$1001,0),0)))</f>
        <v>0</v>
      </c>
      <c r="B249" s="4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4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4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4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4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4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4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4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4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OR(AND(IF(Metadata!C249="",FALSE,TRUE),OR(exact(Metadata!C249,"not applicable"),exact(Metadata!C249,"not collected"),exact(Metadata!C249,"not provided"),exact(Metadata!C249,"restricted access"))),IF(Metadata!C249="",FALSE,ISNUMBER(VALUE(Metadata!C249))))</f>
        <v>0</v>
      </c>
      <c r="W249">
        <f>AND(IF(Metadata!D249="",FALSE,TRUE),exact(Metadata!D249,"m"))</f>
        <v>0</v>
      </c>
      <c r="X249">
        <f>AND(IF(Metadata!E249="",FALSE,TRUE),OR(exact(Metadata!E249,"aerosol (non-saline)"),exact(Metadata!E249,"aerosol (saline)")))</f>
        <v>0</v>
      </c>
      <c r="Y249">
        <f>AND(IF(Metadata!F249="",FALSE,TRUE),exact(Metadata!F249,"air"))</f>
        <v>0</v>
      </c>
      <c r="Z249">
        <f>AND(IF(Metadata!G249="",FALSE,TRUE),exact(Metadata!G249,"air"))</f>
        <v>0</v>
      </c>
      <c r="AA249">
        <f>AND(IF(Metadata!H249="",FALSE,TRUE),exact(Metadata!H249,"air"))</f>
        <v>0</v>
      </c>
      <c r="AB249">
        <f>AND(IF(Metadata!I249="",FALSE,TRUE),exact(Metadata!I249,"air metagenome"))</f>
        <v>0</v>
      </c>
      <c r="AC249">
        <f>AND(IF(Metadata!J249="",FALSE,TRUE),exact(Metadata!J249,"655179"))</f>
        <v>0</v>
      </c>
    </row>
    <row r="250" spans="1:29">
      <c r="A250" s="5">
        <f>IF(B250=" "," ",HYPERLINK(CONCATENATE("#metadata!",ADDRESS(INDEX($P$2:$P$1001,MATCH(ROWS($N$2:N250),$N$2:$N$1001,0),0),1)),INDEX($S$2:$S$1001,MATCH(ROWS($N$2:N250),$N$2:$N$1001,0),0)))</f>
        <v>0</v>
      </c>
      <c r="B250" s="4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4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4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4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4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4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4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4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4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OR(AND(IF(Metadata!C250="",FALSE,TRUE),OR(exact(Metadata!C250,"not applicable"),exact(Metadata!C250,"not collected"),exact(Metadata!C250,"not provided"),exact(Metadata!C250,"restricted access"))),IF(Metadata!C250="",FALSE,ISNUMBER(VALUE(Metadata!C250))))</f>
        <v>0</v>
      </c>
      <c r="W250">
        <f>AND(IF(Metadata!D250="",FALSE,TRUE),exact(Metadata!D250,"m"))</f>
        <v>0</v>
      </c>
      <c r="X250">
        <f>AND(IF(Metadata!E250="",FALSE,TRUE),OR(exact(Metadata!E250,"aerosol (non-saline)"),exact(Metadata!E250,"aerosol (saline)")))</f>
        <v>0</v>
      </c>
      <c r="Y250">
        <f>AND(IF(Metadata!F250="",FALSE,TRUE),exact(Metadata!F250,"air"))</f>
        <v>0</v>
      </c>
      <c r="Z250">
        <f>AND(IF(Metadata!G250="",FALSE,TRUE),exact(Metadata!G250,"air"))</f>
        <v>0</v>
      </c>
      <c r="AA250">
        <f>AND(IF(Metadata!H250="",FALSE,TRUE),exact(Metadata!H250,"air"))</f>
        <v>0</v>
      </c>
      <c r="AB250">
        <f>AND(IF(Metadata!I250="",FALSE,TRUE),exact(Metadata!I250,"air metagenome"))</f>
        <v>0</v>
      </c>
      <c r="AC250">
        <f>AND(IF(Metadata!J250="",FALSE,TRUE),exact(Metadata!J250,"655179"))</f>
        <v>0</v>
      </c>
    </row>
    <row r="251" spans="1:29">
      <c r="A251" s="5">
        <f>IF(B251=" "," ",HYPERLINK(CONCATENATE("#metadata!",ADDRESS(INDEX($P$2:$P$1001,MATCH(ROWS($N$2:N251),$N$2:$N$1001,0),0),1)),INDEX($S$2:$S$1001,MATCH(ROWS($N$2:N251),$N$2:$N$1001,0),0)))</f>
        <v>0</v>
      </c>
      <c r="B251" s="4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4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4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4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4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4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4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4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4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OR(AND(IF(Metadata!C251="",FALSE,TRUE),OR(exact(Metadata!C251,"not applicable"),exact(Metadata!C251,"not collected"),exact(Metadata!C251,"not provided"),exact(Metadata!C251,"restricted access"))),IF(Metadata!C251="",FALSE,ISNUMBER(VALUE(Metadata!C251))))</f>
        <v>0</v>
      </c>
      <c r="W251">
        <f>AND(IF(Metadata!D251="",FALSE,TRUE),exact(Metadata!D251,"m"))</f>
        <v>0</v>
      </c>
      <c r="X251">
        <f>AND(IF(Metadata!E251="",FALSE,TRUE),OR(exact(Metadata!E251,"aerosol (non-saline)"),exact(Metadata!E251,"aerosol (saline)")))</f>
        <v>0</v>
      </c>
      <c r="Y251">
        <f>AND(IF(Metadata!F251="",FALSE,TRUE),exact(Metadata!F251,"air"))</f>
        <v>0</v>
      </c>
      <c r="Z251">
        <f>AND(IF(Metadata!G251="",FALSE,TRUE),exact(Metadata!G251,"air"))</f>
        <v>0</v>
      </c>
      <c r="AA251">
        <f>AND(IF(Metadata!H251="",FALSE,TRUE),exact(Metadata!H251,"air"))</f>
        <v>0</v>
      </c>
      <c r="AB251">
        <f>AND(IF(Metadata!I251="",FALSE,TRUE),exact(Metadata!I251,"air metagenome"))</f>
        <v>0</v>
      </c>
      <c r="AC251">
        <f>AND(IF(Metadata!J251="",FALSE,TRUE),exact(Metadata!J251,"655179"))</f>
        <v>0</v>
      </c>
    </row>
    <row r="252" spans="1:29">
      <c r="A252" s="5">
        <f>IF(B252=" "," ",HYPERLINK(CONCATENATE("#metadata!",ADDRESS(INDEX($P$2:$P$1001,MATCH(ROWS($N$2:N252),$N$2:$N$1001,0),0),1)),INDEX($S$2:$S$1001,MATCH(ROWS($N$2:N252),$N$2:$N$1001,0),0)))</f>
        <v>0</v>
      </c>
      <c r="B252" s="4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4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4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4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4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4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4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4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4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OR(AND(IF(Metadata!C252="",FALSE,TRUE),OR(exact(Metadata!C252,"not applicable"),exact(Metadata!C252,"not collected"),exact(Metadata!C252,"not provided"),exact(Metadata!C252,"restricted access"))),IF(Metadata!C252="",FALSE,ISNUMBER(VALUE(Metadata!C252))))</f>
        <v>0</v>
      </c>
      <c r="W252">
        <f>AND(IF(Metadata!D252="",FALSE,TRUE),exact(Metadata!D252,"m"))</f>
        <v>0</v>
      </c>
      <c r="X252">
        <f>AND(IF(Metadata!E252="",FALSE,TRUE),OR(exact(Metadata!E252,"aerosol (non-saline)"),exact(Metadata!E252,"aerosol (saline)")))</f>
        <v>0</v>
      </c>
      <c r="Y252">
        <f>AND(IF(Metadata!F252="",FALSE,TRUE),exact(Metadata!F252,"air"))</f>
        <v>0</v>
      </c>
      <c r="Z252">
        <f>AND(IF(Metadata!G252="",FALSE,TRUE),exact(Metadata!G252,"air"))</f>
        <v>0</v>
      </c>
      <c r="AA252">
        <f>AND(IF(Metadata!H252="",FALSE,TRUE),exact(Metadata!H252,"air"))</f>
        <v>0</v>
      </c>
      <c r="AB252">
        <f>AND(IF(Metadata!I252="",FALSE,TRUE),exact(Metadata!I252,"air metagenome"))</f>
        <v>0</v>
      </c>
      <c r="AC252">
        <f>AND(IF(Metadata!J252="",FALSE,TRUE),exact(Metadata!J252,"655179"))</f>
        <v>0</v>
      </c>
    </row>
    <row r="253" spans="1:29">
      <c r="A253" s="5">
        <f>IF(B253=" "," ",HYPERLINK(CONCATENATE("#metadata!",ADDRESS(INDEX($P$2:$P$1001,MATCH(ROWS($N$2:N253),$N$2:$N$1001,0),0),1)),INDEX($S$2:$S$1001,MATCH(ROWS($N$2:N253),$N$2:$N$1001,0),0)))</f>
        <v>0</v>
      </c>
      <c r="B253" s="4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4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4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4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4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4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4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4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4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OR(AND(IF(Metadata!C253="",FALSE,TRUE),OR(exact(Metadata!C253,"not applicable"),exact(Metadata!C253,"not collected"),exact(Metadata!C253,"not provided"),exact(Metadata!C253,"restricted access"))),IF(Metadata!C253="",FALSE,ISNUMBER(VALUE(Metadata!C253))))</f>
        <v>0</v>
      </c>
      <c r="W253">
        <f>AND(IF(Metadata!D253="",FALSE,TRUE),exact(Metadata!D253,"m"))</f>
        <v>0</v>
      </c>
      <c r="X253">
        <f>AND(IF(Metadata!E253="",FALSE,TRUE),OR(exact(Metadata!E253,"aerosol (non-saline)"),exact(Metadata!E253,"aerosol (saline)")))</f>
        <v>0</v>
      </c>
      <c r="Y253">
        <f>AND(IF(Metadata!F253="",FALSE,TRUE),exact(Metadata!F253,"air"))</f>
        <v>0</v>
      </c>
      <c r="Z253">
        <f>AND(IF(Metadata!G253="",FALSE,TRUE),exact(Metadata!G253,"air"))</f>
        <v>0</v>
      </c>
      <c r="AA253">
        <f>AND(IF(Metadata!H253="",FALSE,TRUE),exact(Metadata!H253,"air"))</f>
        <v>0</v>
      </c>
      <c r="AB253">
        <f>AND(IF(Metadata!I253="",FALSE,TRUE),exact(Metadata!I253,"air metagenome"))</f>
        <v>0</v>
      </c>
      <c r="AC253">
        <f>AND(IF(Metadata!J253="",FALSE,TRUE),exact(Metadata!J253,"655179"))</f>
        <v>0</v>
      </c>
    </row>
    <row r="254" spans="1:29">
      <c r="A254" s="5">
        <f>IF(B254=" "," ",HYPERLINK(CONCATENATE("#metadata!",ADDRESS(INDEX($P$2:$P$1001,MATCH(ROWS($N$2:N254),$N$2:$N$1001,0),0),1)),INDEX($S$2:$S$1001,MATCH(ROWS($N$2:N254),$N$2:$N$1001,0),0)))</f>
        <v>0</v>
      </c>
      <c r="B254" s="4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4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4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4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4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4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4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4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4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OR(AND(IF(Metadata!C254="",FALSE,TRUE),OR(exact(Metadata!C254,"not applicable"),exact(Metadata!C254,"not collected"),exact(Metadata!C254,"not provided"),exact(Metadata!C254,"restricted access"))),IF(Metadata!C254="",FALSE,ISNUMBER(VALUE(Metadata!C254))))</f>
        <v>0</v>
      </c>
      <c r="W254">
        <f>AND(IF(Metadata!D254="",FALSE,TRUE),exact(Metadata!D254,"m"))</f>
        <v>0</v>
      </c>
      <c r="X254">
        <f>AND(IF(Metadata!E254="",FALSE,TRUE),OR(exact(Metadata!E254,"aerosol (non-saline)"),exact(Metadata!E254,"aerosol (saline)")))</f>
        <v>0</v>
      </c>
      <c r="Y254">
        <f>AND(IF(Metadata!F254="",FALSE,TRUE),exact(Metadata!F254,"air"))</f>
        <v>0</v>
      </c>
      <c r="Z254">
        <f>AND(IF(Metadata!G254="",FALSE,TRUE),exact(Metadata!G254,"air"))</f>
        <v>0</v>
      </c>
      <c r="AA254">
        <f>AND(IF(Metadata!H254="",FALSE,TRUE),exact(Metadata!H254,"air"))</f>
        <v>0</v>
      </c>
      <c r="AB254">
        <f>AND(IF(Metadata!I254="",FALSE,TRUE),exact(Metadata!I254,"air metagenome"))</f>
        <v>0</v>
      </c>
      <c r="AC254">
        <f>AND(IF(Metadata!J254="",FALSE,TRUE),exact(Metadata!J254,"655179"))</f>
        <v>0</v>
      </c>
    </row>
    <row r="255" spans="1:29">
      <c r="A255" s="5">
        <f>IF(B255=" "," ",HYPERLINK(CONCATENATE("#metadata!",ADDRESS(INDEX($P$2:$P$1001,MATCH(ROWS($N$2:N255),$N$2:$N$1001,0),0),1)),INDEX($S$2:$S$1001,MATCH(ROWS($N$2:N255),$N$2:$N$1001,0),0)))</f>
        <v>0</v>
      </c>
      <c r="B255" s="4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4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4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4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4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4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4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4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4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OR(AND(IF(Metadata!C255="",FALSE,TRUE),OR(exact(Metadata!C255,"not applicable"),exact(Metadata!C255,"not collected"),exact(Metadata!C255,"not provided"),exact(Metadata!C255,"restricted access"))),IF(Metadata!C255="",FALSE,ISNUMBER(VALUE(Metadata!C255))))</f>
        <v>0</v>
      </c>
      <c r="W255">
        <f>AND(IF(Metadata!D255="",FALSE,TRUE),exact(Metadata!D255,"m"))</f>
        <v>0</v>
      </c>
      <c r="X255">
        <f>AND(IF(Metadata!E255="",FALSE,TRUE),OR(exact(Metadata!E255,"aerosol (non-saline)"),exact(Metadata!E255,"aerosol (saline)")))</f>
        <v>0</v>
      </c>
      <c r="Y255">
        <f>AND(IF(Metadata!F255="",FALSE,TRUE),exact(Metadata!F255,"air"))</f>
        <v>0</v>
      </c>
      <c r="Z255">
        <f>AND(IF(Metadata!G255="",FALSE,TRUE),exact(Metadata!G255,"air"))</f>
        <v>0</v>
      </c>
      <c r="AA255">
        <f>AND(IF(Metadata!H255="",FALSE,TRUE),exact(Metadata!H255,"air"))</f>
        <v>0</v>
      </c>
      <c r="AB255">
        <f>AND(IF(Metadata!I255="",FALSE,TRUE),exact(Metadata!I255,"air metagenome"))</f>
        <v>0</v>
      </c>
      <c r="AC255">
        <f>AND(IF(Metadata!J255="",FALSE,TRUE),exact(Metadata!J255,"655179"))</f>
        <v>0</v>
      </c>
    </row>
    <row r="256" spans="1:29">
      <c r="A256" s="5">
        <f>IF(B256=" "," ",HYPERLINK(CONCATENATE("#metadata!",ADDRESS(INDEX($P$2:$P$1001,MATCH(ROWS($N$2:N256),$N$2:$N$1001,0),0),1)),INDEX($S$2:$S$1001,MATCH(ROWS($N$2:N256),$N$2:$N$1001,0),0)))</f>
        <v>0</v>
      </c>
      <c r="B256" s="4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4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4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4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4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4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4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4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4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OR(AND(IF(Metadata!C256="",FALSE,TRUE),OR(exact(Metadata!C256,"not applicable"),exact(Metadata!C256,"not collected"),exact(Metadata!C256,"not provided"),exact(Metadata!C256,"restricted access"))),IF(Metadata!C256="",FALSE,ISNUMBER(VALUE(Metadata!C256))))</f>
        <v>0</v>
      </c>
      <c r="W256">
        <f>AND(IF(Metadata!D256="",FALSE,TRUE),exact(Metadata!D256,"m"))</f>
        <v>0</v>
      </c>
      <c r="X256">
        <f>AND(IF(Metadata!E256="",FALSE,TRUE),OR(exact(Metadata!E256,"aerosol (non-saline)"),exact(Metadata!E256,"aerosol (saline)")))</f>
        <v>0</v>
      </c>
      <c r="Y256">
        <f>AND(IF(Metadata!F256="",FALSE,TRUE),exact(Metadata!F256,"air"))</f>
        <v>0</v>
      </c>
      <c r="Z256">
        <f>AND(IF(Metadata!G256="",FALSE,TRUE),exact(Metadata!G256,"air"))</f>
        <v>0</v>
      </c>
      <c r="AA256">
        <f>AND(IF(Metadata!H256="",FALSE,TRUE),exact(Metadata!H256,"air"))</f>
        <v>0</v>
      </c>
      <c r="AB256">
        <f>AND(IF(Metadata!I256="",FALSE,TRUE),exact(Metadata!I256,"air metagenome"))</f>
        <v>0</v>
      </c>
      <c r="AC256">
        <f>AND(IF(Metadata!J256="",FALSE,TRUE),exact(Metadata!J256,"655179"))</f>
        <v>0</v>
      </c>
    </row>
    <row r="257" spans="1:29">
      <c r="A257" s="5">
        <f>IF(B257=" "," ",HYPERLINK(CONCATENATE("#metadata!",ADDRESS(INDEX($P$2:$P$1001,MATCH(ROWS($N$2:N257),$N$2:$N$1001,0),0),1)),INDEX($S$2:$S$1001,MATCH(ROWS($N$2:N257),$N$2:$N$1001,0),0)))</f>
        <v>0</v>
      </c>
      <c r="B257" s="4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4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4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4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4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4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4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4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4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OR(AND(IF(Metadata!C257="",FALSE,TRUE),OR(exact(Metadata!C257,"not applicable"),exact(Metadata!C257,"not collected"),exact(Metadata!C257,"not provided"),exact(Metadata!C257,"restricted access"))),IF(Metadata!C257="",FALSE,ISNUMBER(VALUE(Metadata!C257))))</f>
        <v>0</v>
      </c>
      <c r="W257">
        <f>AND(IF(Metadata!D257="",FALSE,TRUE),exact(Metadata!D257,"m"))</f>
        <v>0</v>
      </c>
      <c r="X257">
        <f>AND(IF(Metadata!E257="",FALSE,TRUE),OR(exact(Metadata!E257,"aerosol (non-saline)"),exact(Metadata!E257,"aerosol (saline)")))</f>
        <v>0</v>
      </c>
      <c r="Y257">
        <f>AND(IF(Metadata!F257="",FALSE,TRUE),exact(Metadata!F257,"air"))</f>
        <v>0</v>
      </c>
      <c r="Z257">
        <f>AND(IF(Metadata!G257="",FALSE,TRUE),exact(Metadata!G257,"air"))</f>
        <v>0</v>
      </c>
      <c r="AA257">
        <f>AND(IF(Metadata!H257="",FALSE,TRUE),exact(Metadata!H257,"air"))</f>
        <v>0</v>
      </c>
      <c r="AB257">
        <f>AND(IF(Metadata!I257="",FALSE,TRUE),exact(Metadata!I257,"air metagenome"))</f>
        <v>0</v>
      </c>
      <c r="AC257">
        <f>AND(IF(Metadata!J257="",FALSE,TRUE),exact(Metadata!J257,"655179"))</f>
        <v>0</v>
      </c>
    </row>
    <row r="258" spans="1:29">
      <c r="A258" s="5">
        <f>IF(B258=" "," ",HYPERLINK(CONCATENATE("#metadata!",ADDRESS(INDEX($P$2:$P$1001,MATCH(ROWS($N$2:N258),$N$2:$N$1001,0),0),1)),INDEX($S$2:$S$1001,MATCH(ROWS($N$2:N258),$N$2:$N$1001,0),0)))</f>
        <v>0</v>
      </c>
      <c r="B258" s="4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4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4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4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4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4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4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4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4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OR(AND(IF(Metadata!C258="",FALSE,TRUE),OR(exact(Metadata!C258,"not applicable"),exact(Metadata!C258,"not collected"),exact(Metadata!C258,"not provided"),exact(Metadata!C258,"restricted access"))),IF(Metadata!C258="",FALSE,ISNUMBER(VALUE(Metadata!C258))))</f>
        <v>0</v>
      </c>
      <c r="W258">
        <f>AND(IF(Metadata!D258="",FALSE,TRUE),exact(Metadata!D258,"m"))</f>
        <v>0</v>
      </c>
      <c r="X258">
        <f>AND(IF(Metadata!E258="",FALSE,TRUE),OR(exact(Metadata!E258,"aerosol (non-saline)"),exact(Metadata!E258,"aerosol (saline)")))</f>
        <v>0</v>
      </c>
      <c r="Y258">
        <f>AND(IF(Metadata!F258="",FALSE,TRUE),exact(Metadata!F258,"air"))</f>
        <v>0</v>
      </c>
      <c r="Z258">
        <f>AND(IF(Metadata!G258="",FALSE,TRUE),exact(Metadata!G258,"air"))</f>
        <v>0</v>
      </c>
      <c r="AA258">
        <f>AND(IF(Metadata!H258="",FALSE,TRUE),exact(Metadata!H258,"air"))</f>
        <v>0</v>
      </c>
      <c r="AB258">
        <f>AND(IF(Metadata!I258="",FALSE,TRUE),exact(Metadata!I258,"air metagenome"))</f>
        <v>0</v>
      </c>
      <c r="AC258">
        <f>AND(IF(Metadata!J258="",FALSE,TRUE),exact(Metadata!J258,"655179"))</f>
        <v>0</v>
      </c>
    </row>
    <row r="259" spans="1:29">
      <c r="A259" s="5">
        <f>IF(B259=" "," ",HYPERLINK(CONCATENATE("#metadata!",ADDRESS(INDEX($P$2:$P$1001,MATCH(ROWS($N$2:N259),$N$2:$N$1001,0),0),1)),INDEX($S$2:$S$1001,MATCH(ROWS($N$2:N259),$N$2:$N$1001,0),0)))</f>
        <v>0</v>
      </c>
      <c r="B259" s="4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4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4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4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4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4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4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4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4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OR(AND(IF(Metadata!C259="",FALSE,TRUE),OR(exact(Metadata!C259,"not applicable"),exact(Metadata!C259,"not collected"),exact(Metadata!C259,"not provided"),exact(Metadata!C259,"restricted access"))),IF(Metadata!C259="",FALSE,ISNUMBER(VALUE(Metadata!C259))))</f>
        <v>0</v>
      </c>
      <c r="W259">
        <f>AND(IF(Metadata!D259="",FALSE,TRUE),exact(Metadata!D259,"m"))</f>
        <v>0</v>
      </c>
      <c r="X259">
        <f>AND(IF(Metadata!E259="",FALSE,TRUE),OR(exact(Metadata!E259,"aerosol (non-saline)"),exact(Metadata!E259,"aerosol (saline)")))</f>
        <v>0</v>
      </c>
      <c r="Y259">
        <f>AND(IF(Metadata!F259="",FALSE,TRUE),exact(Metadata!F259,"air"))</f>
        <v>0</v>
      </c>
      <c r="Z259">
        <f>AND(IF(Metadata!G259="",FALSE,TRUE),exact(Metadata!G259,"air"))</f>
        <v>0</v>
      </c>
      <c r="AA259">
        <f>AND(IF(Metadata!H259="",FALSE,TRUE),exact(Metadata!H259,"air"))</f>
        <v>0</v>
      </c>
      <c r="AB259">
        <f>AND(IF(Metadata!I259="",FALSE,TRUE),exact(Metadata!I259,"air metagenome"))</f>
        <v>0</v>
      </c>
      <c r="AC259">
        <f>AND(IF(Metadata!J259="",FALSE,TRUE),exact(Metadata!J259,"655179"))</f>
        <v>0</v>
      </c>
    </row>
    <row r="260" spans="1:29">
      <c r="A260" s="5">
        <f>IF(B260=" "," ",HYPERLINK(CONCATENATE("#metadata!",ADDRESS(INDEX($P$2:$P$1001,MATCH(ROWS($N$2:N260),$N$2:$N$1001,0),0),1)),INDEX($S$2:$S$1001,MATCH(ROWS($N$2:N260),$N$2:$N$1001,0),0)))</f>
        <v>0</v>
      </c>
      <c r="B260" s="4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4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4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4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4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4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4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4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4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OR(AND(IF(Metadata!C260="",FALSE,TRUE),OR(exact(Metadata!C260,"not applicable"),exact(Metadata!C260,"not collected"),exact(Metadata!C260,"not provided"),exact(Metadata!C260,"restricted access"))),IF(Metadata!C260="",FALSE,ISNUMBER(VALUE(Metadata!C260))))</f>
        <v>0</v>
      </c>
      <c r="W260">
        <f>AND(IF(Metadata!D260="",FALSE,TRUE),exact(Metadata!D260,"m"))</f>
        <v>0</v>
      </c>
      <c r="X260">
        <f>AND(IF(Metadata!E260="",FALSE,TRUE),OR(exact(Metadata!E260,"aerosol (non-saline)"),exact(Metadata!E260,"aerosol (saline)")))</f>
        <v>0</v>
      </c>
      <c r="Y260">
        <f>AND(IF(Metadata!F260="",FALSE,TRUE),exact(Metadata!F260,"air"))</f>
        <v>0</v>
      </c>
      <c r="Z260">
        <f>AND(IF(Metadata!G260="",FALSE,TRUE),exact(Metadata!G260,"air"))</f>
        <v>0</v>
      </c>
      <c r="AA260">
        <f>AND(IF(Metadata!H260="",FALSE,TRUE),exact(Metadata!H260,"air"))</f>
        <v>0</v>
      </c>
      <c r="AB260">
        <f>AND(IF(Metadata!I260="",FALSE,TRUE),exact(Metadata!I260,"air metagenome"))</f>
        <v>0</v>
      </c>
      <c r="AC260">
        <f>AND(IF(Metadata!J260="",FALSE,TRUE),exact(Metadata!J260,"655179"))</f>
        <v>0</v>
      </c>
    </row>
    <row r="261" spans="1:29">
      <c r="A261" s="5">
        <f>IF(B261=" "," ",HYPERLINK(CONCATENATE("#metadata!",ADDRESS(INDEX($P$2:$P$1001,MATCH(ROWS($N$2:N261),$N$2:$N$1001,0),0),1)),INDEX($S$2:$S$1001,MATCH(ROWS($N$2:N261),$N$2:$N$1001,0),0)))</f>
        <v>0</v>
      </c>
      <c r="B261" s="4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4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4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4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4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4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4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4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4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OR(AND(IF(Metadata!C261="",FALSE,TRUE),OR(exact(Metadata!C261,"not applicable"),exact(Metadata!C261,"not collected"),exact(Metadata!C261,"not provided"),exact(Metadata!C261,"restricted access"))),IF(Metadata!C261="",FALSE,ISNUMBER(VALUE(Metadata!C261))))</f>
        <v>0</v>
      </c>
      <c r="W261">
        <f>AND(IF(Metadata!D261="",FALSE,TRUE),exact(Metadata!D261,"m"))</f>
        <v>0</v>
      </c>
      <c r="X261">
        <f>AND(IF(Metadata!E261="",FALSE,TRUE),OR(exact(Metadata!E261,"aerosol (non-saline)"),exact(Metadata!E261,"aerosol (saline)")))</f>
        <v>0</v>
      </c>
      <c r="Y261">
        <f>AND(IF(Metadata!F261="",FALSE,TRUE),exact(Metadata!F261,"air"))</f>
        <v>0</v>
      </c>
      <c r="Z261">
        <f>AND(IF(Metadata!G261="",FALSE,TRUE),exact(Metadata!G261,"air"))</f>
        <v>0</v>
      </c>
      <c r="AA261">
        <f>AND(IF(Metadata!H261="",FALSE,TRUE),exact(Metadata!H261,"air"))</f>
        <v>0</v>
      </c>
      <c r="AB261">
        <f>AND(IF(Metadata!I261="",FALSE,TRUE),exact(Metadata!I261,"air metagenome"))</f>
        <v>0</v>
      </c>
      <c r="AC261">
        <f>AND(IF(Metadata!J261="",FALSE,TRUE),exact(Metadata!J261,"655179"))</f>
        <v>0</v>
      </c>
    </row>
    <row r="262" spans="1:29">
      <c r="A262" s="5">
        <f>IF(B262=" "," ",HYPERLINK(CONCATENATE("#metadata!",ADDRESS(INDEX($P$2:$P$1001,MATCH(ROWS($N$2:N262),$N$2:$N$1001,0),0),1)),INDEX($S$2:$S$1001,MATCH(ROWS($N$2:N262),$N$2:$N$1001,0),0)))</f>
        <v>0</v>
      </c>
      <c r="B262" s="4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4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4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4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4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4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4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4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4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OR(AND(IF(Metadata!C262="",FALSE,TRUE),OR(exact(Metadata!C262,"not applicable"),exact(Metadata!C262,"not collected"),exact(Metadata!C262,"not provided"),exact(Metadata!C262,"restricted access"))),IF(Metadata!C262="",FALSE,ISNUMBER(VALUE(Metadata!C262))))</f>
        <v>0</v>
      </c>
      <c r="W262">
        <f>AND(IF(Metadata!D262="",FALSE,TRUE),exact(Metadata!D262,"m"))</f>
        <v>0</v>
      </c>
      <c r="X262">
        <f>AND(IF(Metadata!E262="",FALSE,TRUE),OR(exact(Metadata!E262,"aerosol (non-saline)"),exact(Metadata!E262,"aerosol (saline)")))</f>
        <v>0</v>
      </c>
      <c r="Y262">
        <f>AND(IF(Metadata!F262="",FALSE,TRUE),exact(Metadata!F262,"air"))</f>
        <v>0</v>
      </c>
      <c r="Z262">
        <f>AND(IF(Metadata!G262="",FALSE,TRUE),exact(Metadata!G262,"air"))</f>
        <v>0</v>
      </c>
      <c r="AA262">
        <f>AND(IF(Metadata!H262="",FALSE,TRUE),exact(Metadata!H262,"air"))</f>
        <v>0</v>
      </c>
      <c r="AB262">
        <f>AND(IF(Metadata!I262="",FALSE,TRUE),exact(Metadata!I262,"air metagenome"))</f>
        <v>0</v>
      </c>
      <c r="AC262">
        <f>AND(IF(Metadata!J262="",FALSE,TRUE),exact(Metadata!J262,"655179"))</f>
        <v>0</v>
      </c>
    </row>
    <row r="263" spans="1:29">
      <c r="A263" s="5">
        <f>IF(B263=" "," ",HYPERLINK(CONCATENATE("#metadata!",ADDRESS(INDEX($P$2:$P$1001,MATCH(ROWS($N$2:N263),$N$2:$N$1001,0),0),1)),INDEX($S$2:$S$1001,MATCH(ROWS($N$2:N263),$N$2:$N$1001,0),0)))</f>
        <v>0</v>
      </c>
      <c r="B263" s="4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4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4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4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4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4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4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4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4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OR(AND(IF(Metadata!C263="",FALSE,TRUE),OR(exact(Metadata!C263,"not applicable"),exact(Metadata!C263,"not collected"),exact(Metadata!C263,"not provided"),exact(Metadata!C263,"restricted access"))),IF(Metadata!C263="",FALSE,ISNUMBER(VALUE(Metadata!C263))))</f>
        <v>0</v>
      </c>
      <c r="W263">
        <f>AND(IF(Metadata!D263="",FALSE,TRUE),exact(Metadata!D263,"m"))</f>
        <v>0</v>
      </c>
      <c r="X263">
        <f>AND(IF(Metadata!E263="",FALSE,TRUE),OR(exact(Metadata!E263,"aerosol (non-saline)"),exact(Metadata!E263,"aerosol (saline)")))</f>
        <v>0</v>
      </c>
      <c r="Y263">
        <f>AND(IF(Metadata!F263="",FALSE,TRUE),exact(Metadata!F263,"air"))</f>
        <v>0</v>
      </c>
      <c r="Z263">
        <f>AND(IF(Metadata!G263="",FALSE,TRUE),exact(Metadata!G263,"air"))</f>
        <v>0</v>
      </c>
      <c r="AA263">
        <f>AND(IF(Metadata!H263="",FALSE,TRUE),exact(Metadata!H263,"air"))</f>
        <v>0</v>
      </c>
      <c r="AB263">
        <f>AND(IF(Metadata!I263="",FALSE,TRUE),exact(Metadata!I263,"air metagenome"))</f>
        <v>0</v>
      </c>
      <c r="AC263">
        <f>AND(IF(Metadata!J263="",FALSE,TRUE),exact(Metadata!J263,"655179"))</f>
        <v>0</v>
      </c>
    </row>
    <row r="264" spans="1:29">
      <c r="A264" s="5">
        <f>IF(B264=" "," ",HYPERLINK(CONCATENATE("#metadata!",ADDRESS(INDEX($P$2:$P$1001,MATCH(ROWS($N$2:N264),$N$2:$N$1001,0),0),1)),INDEX($S$2:$S$1001,MATCH(ROWS($N$2:N264),$N$2:$N$1001,0),0)))</f>
        <v>0</v>
      </c>
      <c r="B264" s="4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4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4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4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4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4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4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4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4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OR(AND(IF(Metadata!C264="",FALSE,TRUE),OR(exact(Metadata!C264,"not applicable"),exact(Metadata!C264,"not collected"),exact(Metadata!C264,"not provided"),exact(Metadata!C264,"restricted access"))),IF(Metadata!C264="",FALSE,ISNUMBER(VALUE(Metadata!C264))))</f>
        <v>0</v>
      </c>
      <c r="W264">
        <f>AND(IF(Metadata!D264="",FALSE,TRUE),exact(Metadata!D264,"m"))</f>
        <v>0</v>
      </c>
      <c r="X264">
        <f>AND(IF(Metadata!E264="",FALSE,TRUE),OR(exact(Metadata!E264,"aerosol (non-saline)"),exact(Metadata!E264,"aerosol (saline)")))</f>
        <v>0</v>
      </c>
      <c r="Y264">
        <f>AND(IF(Metadata!F264="",FALSE,TRUE),exact(Metadata!F264,"air"))</f>
        <v>0</v>
      </c>
      <c r="Z264">
        <f>AND(IF(Metadata!G264="",FALSE,TRUE),exact(Metadata!G264,"air"))</f>
        <v>0</v>
      </c>
      <c r="AA264">
        <f>AND(IF(Metadata!H264="",FALSE,TRUE),exact(Metadata!H264,"air"))</f>
        <v>0</v>
      </c>
      <c r="AB264">
        <f>AND(IF(Metadata!I264="",FALSE,TRUE),exact(Metadata!I264,"air metagenome"))</f>
        <v>0</v>
      </c>
      <c r="AC264">
        <f>AND(IF(Metadata!J264="",FALSE,TRUE),exact(Metadata!J264,"655179"))</f>
        <v>0</v>
      </c>
    </row>
    <row r="265" spans="1:29">
      <c r="A265" s="5">
        <f>IF(B265=" "," ",HYPERLINK(CONCATENATE("#metadata!",ADDRESS(INDEX($P$2:$P$1001,MATCH(ROWS($N$2:N265),$N$2:$N$1001,0),0),1)),INDEX($S$2:$S$1001,MATCH(ROWS($N$2:N265),$N$2:$N$1001,0),0)))</f>
        <v>0</v>
      </c>
      <c r="B265" s="4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4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4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4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4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4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4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4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4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OR(AND(IF(Metadata!C265="",FALSE,TRUE),OR(exact(Metadata!C265,"not applicable"),exact(Metadata!C265,"not collected"),exact(Metadata!C265,"not provided"),exact(Metadata!C265,"restricted access"))),IF(Metadata!C265="",FALSE,ISNUMBER(VALUE(Metadata!C265))))</f>
        <v>0</v>
      </c>
      <c r="W265">
        <f>AND(IF(Metadata!D265="",FALSE,TRUE),exact(Metadata!D265,"m"))</f>
        <v>0</v>
      </c>
      <c r="X265">
        <f>AND(IF(Metadata!E265="",FALSE,TRUE),OR(exact(Metadata!E265,"aerosol (non-saline)"),exact(Metadata!E265,"aerosol (saline)")))</f>
        <v>0</v>
      </c>
      <c r="Y265">
        <f>AND(IF(Metadata!F265="",FALSE,TRUE),exact(Metadata!F265,"air"))</f>
        <v>0</v>
      </c>
      <c r="Z265">
        <f>AND(IF(Metadata!G265="",FALSE,TRUE),exact(Metadata!G265,"air"))</f>
        <v>0</v>
      </c>
      <c r="AA265">
        <f>AND(IF(Metadata!H265="",FALSE,TRUE),exact(Metadata!H265,"air"))</f>
        <v>0</v>
      </c>
      <c r="AB265">
        <f>AND(IF(Metadata!I265="",FALSE,TRUE),exact(Metadata!I265,"air metagenome"))</f>
        <v>0</v>
      </c>
      <c r="AC265">
        <f>AND(IF(Metadata!J265="",FALSE,TRUE),exact(Metadata!J265,"655179"))</f>
        <v>0</v>
      </c>
    </row>
    <row r="266" spans="1:29">
      <c r="A266" s="5">
        <f>IF(B266=" "," ",HYPERLINK(CONCATENATE("#metadata!",ADDRESS(INDEX($P$2:$P$1001,MATCH(ROWS($N$2:N266),$N$2:$N$1001,0),0),1)),INDEX($S$2:$S$1001,MATCH(ROWS($N$2:N266),$N$2:$N$1001,0),0)))</f>
        <v>0</v>
      </c>
      <c r="B266" s="4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4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4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4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4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4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4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4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4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OR(AND(IF(Metadata!C266="",FALSE,TRUE),OR(exact(Metadata!C266,"not applicable"),exact(Metadata!C266,"not collected"),exact(Metadata!C266,"not provided"),exact(Metadata!C266,"restricted access"))),IF(Metadata!C266="",FALSE,ISNUMBER(VALUE(Metadata!C266))))</f>
        <v>0</v>
      </c>
      <c r="W266">
        <f>AND(IF(Metadata!D266="",FALSE,TRUE),exact(Metadata!D266,"m"))</f>
        <v>0</v>
      </c>
      <c r="X266">
        <f>AND(IF(Metadata!E266="",FALSE,TRUE),OR(exact(Metadata!E266,"aerosol (non-saline)"),exact(Metadata!E266,"aerosol (saline)")))</f>
        <v>0</v>
      </c>
      <c r="Y266">
        <f>AND(IF(Metadata!F266="",FALSE,TRUE),exact(Metadata!F266,"air"))</f>
        <v>0</v>
      </c>
      <c r="Z266">
        <f>AND(IF(Metadata!G266="",FALSE,TRUE),exact(Metadata!G266,"air"))</f>
        <v>0</v>
      </c>
      <c r="AA266">
        <f>AND(IF(Metadata!H266="",FALSE,TRUE),exact(Metadata!H266,"air"))</f>
        <v>0</v>
      </c>
      <c r="AB266">
        <f>AND(IF(Metadata!I266="",FALSE,TRUE),exact(Metadata!I266,"air metagenome"))</f>
        <v>0</v>
      </c>
      <c r="AC266">
        <f>AND(IF(Metadata!J266="",FALSE,TRUE),exact(Metadata!J266,"655179"))</f>
        <v>0</v>
      </c>
    </row>
    <row r="267" spans="1:29">
      <c r="A267" s="5">
        <f>IF(B267=" "," ",HYPERLINK(CONCATENATE("#metadata!",ADDRESS(INDEX($P$2:$P$1001,MATCH(ROWS($N$2:N267),$N$2:$N$1001,0),0),1)),INDEX($S$2:$S$1001,MATCH(ROWS($N$2:N267),$N$2:$N$1001,0),0)))</f>
        <v>0</v>
      </c>
      <c r="B267" s="4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4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4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4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4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4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4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4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4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OR(AND(IF(Metadata!C267="",FALSE,TRUE),OR(exact(Metadata!C267,"not applicable"),exact(Metadata!C267,"not collected"),exact(Metadata!C267,"not provided"),exact(Metadata!C267,"restricted access"))),IF(Metadata!C267="",FALSE,ISNUMBER(VALUE(Metadata!C267))))</f>
        <v>0</v>
      </c>
      <c r="W267">
        <f>AND(IF(Metadata!D267="",FALSE,TRUE),exact(Metadata!D267,"m"))</f>
        <v>0</v>
      </c>
      <c r="X267">
        <f>AND(IF(Metadata!E267="",FALSE,TRUE),OR(exact(Metadata!E267,"aerosol (non-saline)"),exact(Metadata!E267,"aerosol (saline)")))</f>
        <v>0</v>
      </c>
      <c r="Y267">
        <f>AND(IF(Metadata!F267="",FALSE,TRUE),exact(Metadata!F267,"air"))</f>
        <v>0</v>
      </c>
      <c r="Z267">
        <f>AND(IF(Metadata!G267="",FALSE,TRUE),exact(Metadata!G267,"air"))</f>
        <v>0</v>
      </c>
      <c r="AA267">
        <f>AND(IF(Metadata!H267="",FALSE,TRUE),exact(Metadata!H267,"air"))</f>
        <v>0</v>
      </c>
      <c r="AB267">
        <f>AND(IF(Metadata!I267="",FALSE,TRUE),exact(Metadata!I267,"air metagenome"))</f>
        <v>0</v>
      </c>
      <c r="AC267">
        <f>AND(IF(Metadata!J267="",FALSE,TRUE),exact(Metadata!J267,"655179"))</f>
        <v>0</v>
      </c>
    </row>
    <row r="268" spans="1:29">
      <c r="A268" s="5">
        <f>IF(B268=" "," ",HYPERLINK(CONCATENATE("#metadata!",ADDRESS(INDEX($P$2:$P$1001,MATCH(ROWS($N$2:N268),$N$2:$N$1001,0),0),1)),INDEX($S$2:$S$1001,MATCH(ROWS($N$2:N268),$N$2:$N$1001,0),0)))</f>
        <v>0</v>
      </c>
      <c r="B268" s="4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4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4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4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4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4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4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4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4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OR(AND(IF(Metadata!C268="",FALSE,TRUE),OR(exact(Metadata!C268,"not applicable"),exact(Metadata!C268,"not collected"),exact(Metadata!C268,"not provided"),exact(Metadata!C268,"restricted access"))),IF(Metadata!C268="",FALSE,ISNUMBER(VALUE(Metadata!C268))))</f>
        <v>0</v>
      </c>
      <c r="W268">
        <f>AND(IF(Metadata!D268="",FALSE,TRUE),exact(Metadata!D268,"m"))</f>
        <v>0</v>
      </c>
      <c r="X268">
        <f>AND(IF(Metadata!E268="",FALSE,TRUE),OR(exact(Metadata!E268,"aerosol (non-saline)"),exact(Metadata!E268,"aerosol (saline)")))</f>
        <v>0</v>
      </c>
      <c r="Y268">
        <f>AND(IF(Metadata!F268="",FALSE,TRUE),exact(Metadata!F268,"air"))</f>
        <v>0</v>
      </c>
      <c r="Z268">
        <f>AND(IF(Metadata!G268="",FALSE,TRUE),exact(Metadata!G268,"air"))</f>
        <v>0</v>
      </c>
      <c r="AA268">
        <f>AND(IF(Metadata!H268="",FALSE,TRUE),exact(Metadata!H268,"air"))</f>
        <v>0</v>
      </c>
      <c r="AB268">
        <f>AND(IF(Metadata!I268="",FALSE,TRUE),exact(Metadata!I268,"air metagenome"))</f>
        <v>0</v>
      </c>
      <c r="AC268">
        <f>AND(IF(Metadata!J268="",FALSE,TRUE),exact(Metadata!J268,"655179"))</f>
        <v>0</v>
      </c>
    </row>
    <row r="269" spans="1:29">
      <c r="A269" s="5">
        <f>IF(B269=" "," ",HYPERLINK(CONCATENATE("#metadata!",ADDRESS(INDEX($P$2:$P$1001,MATCH(ROWS($N$2:N269),$N$2:$N$1001,0),0),1)),INDEX($S$2:$S$1001,MATCH(ROWS($N$2:N269),$N$2:$N$1001,0),0)))</f>
        <v>0</v>
      </c>
      <c r="B269" s="4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4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4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4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4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4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4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4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4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OR(AND(IF(Metadata!C269="",FALSE,TRUE),OR(exact(Metadata!C269,"not applicable"),exact(Metadata!C269,"not collected"),exact(Metadata!C269,"not provided"),exact(Metadata!C269,"restricted access"))),IF(Metadata!C269="",FALSE,ISNUMBER(VALUE(Metadata!C269))))</f>
        <v>0</v>
      </c>
      <c r="W269">
        <f>AND(IF(Metadata!D269="",FALSE,TRUE),exact(Metadata!D269,"m"))</f>
        <v>0</v>
      </c>
      <c r="X269">
        <f>AND(IF(Metadata!E269="",FALSE,TRUE),OR(exact(Metadata!E269,"aerosol (non-saline)"),exact(Metadata!E269,"aerosol (saline)")))</f>
        <v>0</v>
      </c>
      <c r="Y269">
        <f>AND(IF(Metadata!F269="",FALSE,TRUE),exact(Metadata!F269,"air"))</f>
        <v>0</v>
      </c>
      <c r="Z269">
        <f>AND(IF(Metadata!G269="",FALSE,TRUE),exact(Metadata!G269,"air"))</f>
        <v>0</v>
      </c>
      <c r="AA269">
        <f>AND(IF(Metadata!H269="",FALSE,TRUE),exact(Metadata!H269,"air"))</f>
        <v>0</v>
      </c>
      <c r="AB269">
        <f>AND(IF(Metadata!I269="",FALSE,TRUE),exact(Metadata!I269,"air metagenome"))</f>
        <v>0</v>
      </c>
      <c r="AC269">
        <f>AND(IF(Metadata!J269="",FALSE,TRUE),exact(Metadata!J269,"655179"))</f>
        <v>0</v>
      </c>
    </row>
    <row r="270" spans="1:29">
      <c r="A270" s="5">
        <f>IF(B270=" "," ",HYPERLINK(CONCATENATE("#metadata!",ADDRESS(INDEX($P$2:$P$1001,MATCH(ROWS($N$2:N270),$N$2:$N$1001,0),0),1)),INDEX($S$2:$S$1001,MATCH(ROWS($N$2:N270),$N$2:$N$1001,0),0)))</f>
        <v>0</v>
      </c>
      <c r="B270" s="4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4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4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4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4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4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4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4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4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OR(AND(IF(Metadata!C270="",FALSE,TRUE),OR(exact(Metadata!C270,"not applicable"),exact(Metadata!C270,"not collected"),exact(Metadata!C270,"not provided"),exact(Metadata!C270,"restricted access"))),IF(Metadata!C270="",FALSE,ISNUMBER(VALUE(Metadata!C270))))</f>
        <v>0</v>
      </c>
      <c r="W270">
        <f>AND(IF(Metadata!D270="",FALSE,TRUE),exact(Metadata!D270,"m"))</f>
        <v>0</v>
      </c>
      <c r="X270">
        <f>AND(IF(Metadata!E270="",FALSE,TRUE),OR(exact(Metadata!E270,"aerosol (non-saline)"),exact(Metadata!E270,"aerosol (saline)")))</f>
        <v>0</v>
      </c>
      <c r="Y270">
        <f>AND(IF(Metadata!F270="",FALSE,TRUE),exact(Metadata!F270,"air"))</f>
        <v>0</v>
      </c>
      <c r="Z270">
        <f>AND(IF(Metadata!G270="",FALSE,TRUE),exact(Metadata!G270,"air"))</f>
        <v>0</v>
      </c>
      <c r="AA270">
        <f>AND(IF(Metadata!H270="",FALSE,TRUE),exact(Metadata!H270,"air"))</f>
        <v>0</v>
      </c>
      <c r="AB270">
        <f>AND(IF(Metadata!I270="",FALSE,TRUE),exact(Metadata!I270,"air metagenome"))</f>
        <v>0</v>
      </c>
      <c r="AC270">
        <f>AND(IF(Metadata!J270="",FALSE,TRUE),exact(Metadata!J270,"655179"))</f>
        <v>0</v>
      </c>
    </row>
    <row r="271" spans="1:29">
      <c r="A271" s="5">
        <f>IF(B271=" "," ",HYPERLINK(CONCATENATE("#metadata!",ADDRESS(INDEX($P$2:$P$1001,MATCH(ROWS($N$2:N271),$N$2:$N$1001,0),0),1)),INDEX($S$2:$S$1001,MATCH(ROWS($N$2:N271),$N$2:$N$1001,0),0)))</f>
        <v>0</v>
      </c>
      <c r="B271" s="4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4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4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4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4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4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4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4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4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OR(AND(IF(Metadata!C271="",FALSE,TRUE),OR(exact(Metadata!C271,"not applicable"),exact(Metadata!C271,"not collected"),exact(Metadata!C271,"not provided"),exact(Metadata!C271,"restricted access"))),IF(Metadata!C271="",FALSE,ISNUMBER(VALUE(Metadata!C271))))</f>
        <v>0</v>
      </c>
      <c r="W271">
        <f>AND(IF(Metadata!D271="",FALSE,TRUE),exact(Metadata!D271,"m"))</f>
        <v>0</v>
      </c>
      <c r="X271">
        <f>AND(IF(Metadata!E271="",FALSE,TRUE),OR(exact(Metadata!E271,"aerosol (non-saline)"),exact(Metadata!E271,"aerosol (saline)")))</f>
        <v>0</v>
      </c>
      <c r="Y271">
        <f>AND(IF(Metadata!F271="",FALSE,TRUE),exact(Metadata!F271,"air"))</f>
        <v>0</v>
      </c>
      <c r="Z271">
        <f>AND(IF(Metadata!G271="",FALSE,TRUE),exact(Metadata!G271,"air"))</f>
        <v>0</v>
      </c>
      <c r="AA271">
        <f>AND(IF(Metadata!H271="",FALSE,TRUE),exact(Metadata!H271,"air"))</f>
        <v>0</v>
      </c>
      <c r="AB271">
        <f>AND(IF(Metadata!I271="",FALSE,TRUE),exact(Metadata!I271,"air metagenome"))</f>
        <v>0</v>
      </c>
      <c r="AC271">
        <f>AND(IF(Metadata!J271="",FALSE,TRUE),exact(Metadata!J271,"655179"))</f>
        <v>0</v>
      </c>
    </row>
    <row r="272" spans="1:29">
      <c r="A272" s="5">
        <f>IF(B272=" "," ",HYPERLINK(CONCATENATE("#metadata!",ADDRESS(INDEX($P$2:$P$1001,MATCH(ROWS($N$2:N272),$N$2:$N$1001,0),0),1)),INDEX($S$2:$S$1001,MATCH(ROWS($N$2:N272),$N$2:$N$1001,0),0)))</f>
        <v>0</v>
      </c>
      <c r="B272" s="4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4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4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4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4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4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4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4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4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OR(AND(IF(Metadata!C272="",FALSE,TRUE),OR(exact(Metadata!C272,"not applicable"),exact(Metadata!C272,"not collected"),exact(Metadata!C272,"not provided"),exact(Metadata!C272,"restricted access"))),IF(Metadata!C272="",FALSE,ISNUMBER(VALUE(Metadata!C272))))</f>
        <v>0</v>
      </c>
      <c r="W272">
        <f>AND(IF(Metadata!D272="",FALSE,TRUE),exact(Metadata!D272,"m"))</f>
        <v>0</v>
      </c>
      <c r="X272">
        <f>AND(IF(Metadata!E272="",FALSE,TRUE),OR(exact(Metadata!E272,"aerosol (non-saline)"),exact(Metadata!E272,"aerosol (saline)")))</f>
        <v>0</v>
      </c>
      <c r="Y272">
        <f>AND(IF(Metadata!F272="",FALSE,TRUE),exact(Metadata!F272,"air"))</f>
        <v>0</v>
      </c>
      <c r="Z272">
        <f>AND(IF(Metadata!G272="",FALSE,TRUE),exact(Metadata!G272,"air"))</f>
        <v>0</v>
      </c>
      <c r="AA272">
        <f>AND(IF(Metadata!H272="",FALSE,TRUE),exact(Metadata!H272,"air"))</f>
        <v>0</v>
      </c>
      <c r="AB272">
        <f>AND(IF(Metadata!I272="",FALSE,TRUE),exact(Metadata!I272,"air metagenome"))</f>
        <v>0</v>
      </c>
      <c r="AC272">
        <f>AND(IF(Metadata!J272="",FALSE,TRUE),exact(Metadata!J272,"655179"))</f>
        <v>0</v>
      </c>
    </row>
    <row r="273" spans="1:29">
      <c r="A273" s="5">
        <f>IF(B273=" "," ",HYPERLINK(CONCATENATE("#metadata!",ADDRESS(INDEX($P$2:$P$1001,MATCH(ROWS($N$2:N273),$N$2:$N$1001,0),0),1)),INDEX($S$2:$S$1001,MATCH(ROWS($N$2:N273),$N$2:$N$1001,0),0)))</f>
        <v>0</v>
      </c>
      <c r="B273" s="4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4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4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4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4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4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4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4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4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OR(AND(IF(Metadata!C273="",FALSE,TRUE),OR(exact(Metadata!C273,"not applicable"),exact(Metadata!C273,"not collected"),exact(Metadata!C273,"not provided"),exact(Metadata!C273,"restricted access"))),IF(Metadata!C273="",FALSE,ISNUMBER(VALUE(Metadata!C273))))</f>
        <v>0</v>
      </c>
      <c r="W273">
        <f>AND(IF(Metadata!D273="",FALSE,TRUE),exact(Metadata!D273,"m"))</f>
        <v>0</v>
      </c>
      <c r="X273">
        <f>AND(IF(Metadata!E273="",FALSE,TRUE),OR(exact(Metadata!E273,"aerosol (non-saline)"),exact(Metadata!E273,"aerosol (saline)")))</f>
        <v>0</v>
      </c>
      <c r="Y273">
        <f>AND(IF(Metadata!F273="",FALSE,TRUE),exact(Metadata!F273,"air"))</f>
        <v>0</v>
      </c>
      <c r="Z273">
        <f>AND(IF(Metadata!G273="",FALSE,TRUE),exact(Metadata!G273,"air"))</f>
        <v>0</v>
      </c>
      <c r="AA273">
        <f>AND(IF(Metadata!H273="",FALSE,TRUE),exact(Metadata!H273,"air"))</f>
        <v>0</v>
      </c>
      <c r="AB273">
        <f>AND(IF(Metadata!I273="",FALSE,TRUE),exact(Metadata!I273,"air metagenome"))</f>
        <v>0</v>
      </c>
      <c r="AC273">
        <f>AND(IF(Metadata!J273="",FALSE,TRUE),exact(Metadata!J273,"655179"))</f>
        <v>0</v>
      </c>
    </row>
    <row r="274" spans="1:29">
      <c r="A274" s="5">
        <f>IF(B274=" "," ",HYPERLINK(CONCATENATE("#metadata!",ADDRESS(INDEX($P$2:$P$1001,MATCH(ROWS($N$2:N274),$N$2:$N$1001,0),0),1)),INDEX($S$2:$S$1001,MATCH(ROWS($N$2:N274),$N$2:$N$1001,0),0)))</f>
        <v>0</v>
      </c>
      <c r="B274" s="4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4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4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4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4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4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4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4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4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OR(AND(IF(Metadata!C274="",FALSE,TRUE),OR(exact(Metadata!C274,"not applicable"),exact(Metadata!C274,"not collected"),exact(Metadata!C274,"not provided"),exact(Metadata!C274,"restricted access"))),IF(Metadata!C274="",FALSE,ISNUMBER(VALUE(Metadata!C274))))</f>
        <v>0</v>
      </c>
      <c r="W274">
        <f>AND(IF(Metadata!D274="",FALSE,TRUE),exact(Metadata!D274,"m"))</f>
        <v>0</v>
      </c>
      <c r="X274">
        <f>AND(IF(Metadata!E274="",FALSE,TRUE),OR(exact(Metadata!E274,"aerosol (non-saline)"),exact(Metadata!E274,"aerosol (saline)")))</f>
        <v>0</v>
      </c>
      <c r="Y274">
        <f>AND(IF(Metadata!F274="",FALSE,TRUE),exact(Metadata!F274,"air"))</f>
        <v>0</v>
      </c>
      <c r="Z274">
        <f>AND(IF(Metadata!G274="",FALSE,TRUE),exact(Metadata!G274,"air"))</f>
        <v>0</v>
      </c>
      <c r="AA274">
        <f>AND(IF(Metadata!H274="",FALSE,TRUE),exact(Metadata!H274,"air"))</f>
        <v>0</v>
      </c>
      <c r="AB274">
        <f>AND(IF(Metadata!I274="",FALSE,TRUE),exact(Metadata!I274,"air metagenome"))</f>
        <v>0</v>
      </c>
      <c r="AC274">
        <f>AND(IF(Metadata!J274="",FALSE,TRUE),exact(Metadata!J274,"655179"))</f>
        <v>0</v>
      </c>
    </row>
    <row r="275" spans="1:29">
      <c r="A275" s="5">
        <f>IF(B275=" "," ",HYPERLINK(CONCATENATE("#metadata!",ADDRESS(INDEX($P$2:$P$1001,MATCH(ROWS($N$2:N275),$N$2:$N$1001,0),0),1)),INDEX($S$2:$S$1001,MATCH(ROWS($N$2:N275),$N$2:$N$1001,0),0)))</f>
        <v>0</v>
      </c>
      <c r="B275" s="4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4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4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4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4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4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4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4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4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OR(AND(IF(Metadata!C275="",FALSE,TRUE),OR(exact(Metadata!C275,"not applicable"),exact(Metadata!C275,"not collected"),exact(Metadata!C275,"not provided"),exact(Metadata!C275,"restricted access"))),IF(Metadata!C275="",FALSE,ISNUMBER(VALUE(Metadata!C275))))</f>
        <v>0</v>
      </c>
      <c r="W275">
        <f>AND(IF(Metadata!D275="",FALSE,TRUE),exact(Metadata!D275,"m"))</f>
        <v>0</v>
      </c>
      <c r="X275">
        <f>AND(IF(Metadata!E275="",FALSE,TRUE),OR(exact(Metadata!E275,"aerosol (non-saline)"),exact(Metadata!E275,"aerosol (saline)")))</f>
        <v>0</v>
      </c>
      <c r="Y275">
        <f>AND(IF(Metadata!F275="",FALSE,TRUE),exact(Metadata!F275,"air"))</f>
        <v>0</v>
      </c>
      <c r="Z275">
        <f>AND(IF(Metadata!G275="",FALSE,TRUE),exact(Metadata!G275,"air"))</f>
        <v>0</v>
      </c>
      <c r="AA275">
        <f>AND(IF(Metadata!H275="",FALSE,TRUE),exact(Metadata!H275,"air"))</f>
        <v>0</v>
      </c>
      <c r="AB275">
        <f>AND(IF(Metadata!I275="",FALSE,TRUE),exact(Metadata!I275,"air metagenome"))</f>
        <v>0</v>
      </c>
      <c r="AC275">
        <f>AND(IF(Metadata!J275="",FALSE,TRUE),exact(Metadata!J275,"655179"))</f>
        <v>0</v>
      </c>
    </row>
    <row r="276" spans="1:29">
      <c r="A276" s="5">
        <f>IF(B276=" "," ",HYPERLINK(CONCATENATE("#metadata!",ADDRESS(INDEX($P$2:$P$1001,MATCH(ROWS($N$2:N276),$N$2:$N$1001,0),0),1)),INDEX($S$2:$S$1001,MATCH(ROWS($N$2:N276),$N$2:$N$1001,0),0)))</f>
        <v>0</v>
      </c>
      <c r="B276" s="4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4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4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4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4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4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4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4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4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OR(AND(IF(Metadata!C276="",FALSE,TRUE),OR(exact(Metadata!C276,"not applicable"),exact(Metadata!C276,"not collected"),exact(Metadata!C276,"not provided"),exact(Metadata!C276,"restricted access"))),IF(Metadata!C276="",FALSE,ISNUMBER(VALUE(Metadata!C276))))</f>
        <v>0</v>
      </c>
      <c r="W276">
        <f>AND(IF(Metadata!D276="",FALSE,TRUE),exact(Metadata!D276,"m"))</f>
        <v>0</v>
      </c>
      <c r="X276">
        <f>AND(IF(Metadata!E276="",FALSE,TRUE),OR(exact(Metadata!E276,"aerosol (non-saline)"),exact(Metadata!E276,"aerosol (saline)")))</f>
        <v>0</v>
      </c>
      <c r="Y276">
        <f>AND(IF(Metadata!F276="",FALSE,TRUE),exact(Metadata!F276,"air"))</f>
        <v>0</v>
      </c>
      <c r="Z276">
        <f>AND(IF(Metadata!G276="",FALSE,TRUE),exact(Metadata!G276,"air"))</f>
        <v>0</v>
      </c>
      <c r="AA276">
        <f>AND(IF(Metadata!H276="",FALSE,TRUE),exact(Metadata!H276,"air"))</f>
        <v>0</v>
      </c>
      <c r="AB276">
        <f>AND(IF(Metadata!I276="",FALSE,TRUE),exact(Metadata!I276,"air metagenome"))</f>
        <v>0</v>
      </c>
      <c r="AC276">
        <f>AND(IF(Metadata!J276="",FALSE,TRUE),exact(Metadata!J276,"655179"))</f>
        <v>0</v>
      </c>
    </row>
    <row r="277" spans="1:29">
      <c r="A277" s="5">
        <f>IF(B277=" "," ",HYPERLINK(CONCATENATE("#metadata!",ADDRESS(INDEX($P$2:$P$1001,MATCH(ROWS($N$2:N277),$N$2:$N$1001,0),0),1)),INDEX($S$2:$S$1001,MATCH(ROWS($N$2:N277),$N$2:$N$1001,0),0)))</f>
        <v>0</v>
      </c>
      <c r="B277" s="4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4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4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4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4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4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4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4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4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OR(AND(IF(Metadata!C277="",FALSE,TRUE),OR(exact(Metadata!C277,"not applicable"),exact(Metadata!C277,"not collected"),exact(Metadata!C277,"not provided"),exact(Metadata!C277,"restricted access"))),IF(Metadata!C277="",FALSE,ISNUMBER(VALUE(Metadata!C277))))</f>
        <v>0</v>
      </c>
      <c r="W277">
        <f>AND(IF(Metadata!D277="",FALSE,TRUE),exact(Metadata!D277,"m"))</f>
        <v>0</v>
      </c>
      <c r="X277">
        <f>AND(IF(Metadata!E277="",FALSE,TRUE),OR(exact(Metadata!E277,"aerosol (non-saline)"),exact(Metadata!E277,"aerosol (saline)")))</f>
        <v>0</v>
      </c>
      <c r="Y277">
        <f>AND(IF(Metadata!F277="",FALSE,TRUE),exact(Metadata!F277,"air"))</f>
        <v>0</v>
      </c>
      <c r="Z277">
        <f>AND(IF(Metadata!G277="",FALSE,TRUE),exact(Metadata!G277,"air"))</f>
        <v>0</v>
      </c>
      <c r="AA277">
        <f>AND(IF(Metadata!H277="",FALSE,TRUE),exact(Metadata!H277,"air"))</f>
        <v>0</v>
      </c>
      <c r="AB277">
        <f>AND(IF(Metadata!I277="",FALSE,TRUE),exact(Metadata!I277,"air metagenome"))</f>
        <v>0</v>
      </c>
      <c r="AC277">
        <f>AND(IF(Metadata!J277="",FALSE,TRUE),exact(Metadata!J277,"655179"))</f>
        <v>0</v>
      </c>
    </row>
    <row r="278" spans="1:29">
      <c r="A278" s="5">
        <f>IF(B278=" "," ",HYPERLINK(CONCATENATE("#metadata!",ADDRESS(INDEX($P$2:$P$1001,MATCH(ROWS($N$2:N278),$N$2:$N$1001,0),0),1)),INDEX($S$2:$S$1001,MATCH(ROWS($N$2:N278),$N$2:$N$1001,0),0)))</f>
        <v>0</v>
      </c>
      <c r="B278" s="4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4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4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4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4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4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4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4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4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OR(AND(IF(Metadata!C278="",FALSE,TRUE),OR(exact(Metadata!C278,"not applicable"),exact(Metadata!C278,"not collected"),exact(Metadata!C278,"not provided"),exact(Metadata!C278,"restricted access"))),IF(Metadata!C278="",FALSE,ISNUMBER(VALUE(Metadata!C278))))</f>
        <v>0</v>
      </c>
      <c r="W278">
        <f>AND(IF(Metadata!D278="",FALSE,TRUE),exact(Metadata!D278,"m"))</f>
        <v>0</v>
      </c>
      <c r="X278">
        <f>AND(IF(Metadata!E278="",FALSE,TRUE),OR(exact(Metadata!E278,"aerosol (non-saline)"),exact(Metadata!E278,"aerosol (saline)")))</f>
        <v>0</v>
      </c>
      <c r="Y278">
        <f>AND(IF(Metadata!F278="",FALSE,TRUE),exact(Metadata!F278,"air"))</f>
        <v>0</v>
      </c>
      <c r="Z278">
        <f>AND(IF(Metadata!G278="",FALSE,TRUE),exact(Metadata!G278,"air"))</f>
        <v>0</v>
      </c>
      <c r="AA278">
        <f>AND(IF(Metadata!H278="",FALSE,TRUE),exact(Metadata!H278,"air"))</f>
        <v>0</v>
      </c>
      <c r="AB278">
        <f>AND(IF(Metadata!I278="",FALSE,TRUE),exact(Metadata!I278,"air metagenome"))</f>
        <v>0</v>
      </c>
      <c r="AC278">
        <f>AND(IF(Metadata!J278="",FALSE,TRUE),exact(Metadata!J278,"655179"))</f>
        <v>0</v>
      </c>
    </row>
    <row r="279" spans="1:29">
      <c r="A279" s="5">
        <f>IF(B279=" "," ",HYPERLINK(CONCATENATE("#metadata!",ADDRESS(INDEX($P$2:$P$1001,MATCH(ROWS($N$2:N279),$N$2:$N$1001,0),0),1)),INDEX($S$2:$S$1001,MATCH(ROWS($N$2:N279),$N$2:$N$1001,0),0)))</f>
        <v>0</v>
      </c>
      <c r="B279" s="4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4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4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4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4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4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4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4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4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OR(AND(IF(Metadata!C279="",FALSE,TRUE),OR(exact(Metadata!C279,"not applicable"),exact(Metadata!C279,"not collected"),exact(Metadata!C279,"not provided"),exact(Metadata!C279,"restricted access"))),IF(Metadata!C279="",FALSE,ISNUMBER(VALUE(Metadata!C279))))</f>
        <v>0</v>
      </c>
      <c r="W279">
        <f>AND(IF(Metadata!D279="",FALSE,TRUE),exact(Metadata!D279,"m"))</f>
        <v>0</v>
      </c>
      <c r="X279">
        <f>AND(IF(Metadata!E279="",FALSE,TRUE),OR(exact(Metadata!E279,"aerosol (non-saline)"),exact(Metadata!E279,"aerosol (saline)")))</f>
        <v>0</v>
      </c>
      <c r="Y279">
        <f>AND(IF(Metadata!F279="",FALSE,TRUE),exact(Metadata!F279,"air"))</f>
        <v>0</v>
      </c>
      <c r="Z279">
        <f>AND(IF(Metadata!G279="",FALSE,TRUE),exact(Metadata!G279,"air"))</f>
        <v>0</v>
      </c>
      <c r="AA279">
        <f>AND(IF(Metadata!H279="",FALSE,TRUE),exact(Metadata!H279,"air"))</f>
        <v>0</v>
      </c>
      <c r="AB279">
        <f>AND(IF(Metadata!I279="",FALSE,TRUE),exact(Metadata!I279,"air metagenome"))</f>
        <v>0</v>
      </c>
      <c r="AC279">
        <f>AND(IF(Metadata!J279="",FALSE,TRUE),exact(Metadata!J279,"655179"))</f>
        <v>0</v>
      </c>
    </row>
    <row r="280" spans="1:29">
      <c r="A280" s="5">
        <f>IF(B280=" "," ",HYPERLINK(CONCATENATE("#metadata!",ADDRESS(INDEX($P$2:$P$1001,MATCH(ROWS($N$2:N280),$N$2:$N$1001,0),0),1)),INDEX($S$2:$S$1001,MATCH(ROWS($N$2:N280),$N$2:$N$1001,0),0)))</f>
        <v>0</v>
      </c>
      <c r="B280" s="4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4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4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4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4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4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4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4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4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OR(AND(IF(Metadata!C280="",FALSE,TRUE),OR(exact(Metadata!C280,"not applicable"),exact(Metadata!C280,"not collected"),exact(Metadata!C280,"not provided"),exact(Metadata!C280,"restricted access"))),IF(Metadata!C280="",FALSE,ISNUMBER(VALUE(Metadata!C280))))</f>
        <v>0</v>
      </c>
      <c r="W280">
        <f>AND(IF(Metadata!D280="",FALSE,TRUE),exact(Metadata!D280,"m"))</f>
        <v>0</v>
      </c>
      <c r="X280">
        <f>AND(IF(Metadata!E280="",FALSE,TRUE),OR(exact(Metadata!E280,"aerosol (non-saline)"),exact(Metadata!E280,"aerosol (saline)")))</f>
        <v>0</v>
      </c>
      <c r="Y280">
        <f>AND(IF(Metadata!F280="",FALSE,TRUE),exact(Metadata!F280,"air"))</f>
        <v>0</v>
      </c>
      <c r="Z280">
        <f>AND(IF(Metadata!G280="",FALSE,TRUE),exact(Metadata!G280,"air"))</f>
        <v>0</v>
      </c>
      <c r="AA280">
        <f>AND(IF(Metadata!H280="",FALSE,TRUE),exact(Metadata!H280,"air"))</f>
        <v>0</v>
      </c>
      <c r="AB280">
        <f>AND(IF(Metadata!I280="",FALSE,TRUE),exact(Metadata!I280,"air metagenome"))</f>
        <v>0</v>
      </c>
      <c r="AC280">
        <f>AND(IF(Metadata!J280="",FALSE,TRUE),exact(Metadata!J280,"655179"))</f>
        <v>0</v>
      </c>
    </row>
    <row r="281" spans="1:29">
      <c r="A281" s="5">
        <f>IF(B281=" "," ",HYPERLINK(CONCATENATE("#metadata!",ADDRESS(INDEX($P$2:$P$1001,MATCH(ROWS($N$2:N281),$N$2:$N$1001,0),0),1)),INDEX($S$2:$S$1001,MATCH(ROWS($N$2:N281),$N$2:$N$1001,0),0)))</f>
        <v>0</v>
      </c>
      <c r="B281" s="4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4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4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4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4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4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4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4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4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OR(AND(IF(Metadata!C281="",FALSE,TRUE),OR(exact(Metadata!C281,"not applicable"),exact(Metadata!C281,"not collected"),exact(Metadata!C281,"not provided"),exact(Metadata!C281,"restricted access"))),IF(Metadata!C281="",FALSE,ISNUMBER(VALUE(Metadata!C281))))</f>
        <v>0</v>
      </c>
      <c r="W281">
        <f>AND(IF(Metadata!D281="",FALSE,TRUE),exact(Metadata!D281,"m"))</f>
        <v>0</v>
      </c>
      <c r="X281">
        <f>AND(IF(Metadata!E281="",FALSE,TRUE),OR(exact(Metadata!E281,"aerosol (non-saline)"),exact(Metadata!E281,"aerosol (saline)")))</f>
        <v>0</v>
      </c>
      <c r="Y281">
        <f>AND(IF(Metadata!F281="",FALSE,TRUE),exact(Metadata!F281,"air"))</f>
        <v>0</v>
      </c>
      <c r="Z281">
        <f>AND(IF(Metadata!G281="",FALSE,TRUE),exact(Metadata!G281,"air"))</f>
        <v>0</v>
      </c>
      <c r="AA281">
        <f>AND(IF(Metadata!H281="",FALSE,TRUE),exact(Metadata!H281,"air"))</f>
        <v>0</v>
      </c>
      <c r="AB281">
        <f>AND(IF(Metadata!I281="",FALSE,TRUE),exact(Metadata!I281,"air metagenome"))</f>
        <v>0</v>
      </c>
      <c r="AC281">
        <f>AND(IF(Metadata!J281="",FALSE,TRUE),exact(Metadata!J281,"655179"))</f>
        <v>0</v>
      </c>
    </row>
    <row r="282" spans="1:29">
      <c r="A282" s="5">
        <f>IF(B282=" "," ",HYPERLINK(CONCATENATE("#metadata!",ADDRESS(INDEX($P$2:$P$1001,MATCH(ROWS($N$2:N282),$N$2:$N$1001,0),0),1)),INDEX($S$2:$S$1001,MATCH(ROWS($N$2:N282),$N$2:$N$1001,0),0)))</f>
        <v>0</v>
      </c>
      <c r="B282" s="4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4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4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4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4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4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4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4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4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OR(AND(IF(Metadata!C282="",FALSE,TRUE),OR(exact(Metadata!C282,"not applicable"),exact(Metadata!C282,"not collected"),exact(Metadata!C282,"not provided"),exact(Metadata!C282,"restricted access"))),IF(Metadata!C282="",FALSE,ISNUMBER(VALUE(Metadata!C282))))</f>
        <v>0</v>
      </c>
      <c r="W282">
        <f>AND(IF(Metadata!D282="",FALSE,TRUE),exact(Metadata!D282,"m"))</f>
        <v>0</v>
      </c>
      <c r="X282">
        <f>AND(IF(Metadata!E282="",FALSE,TRUE),OR(exact(Metadata!E282,"aerosol (non-saline)"),exact(Metadata!E282,"aerosol (saline)")))</f>
        <v>0</v>
      </c>
      <c r="Y282">
        <f>AND(IF(Metadata!F282="",FALSE,TRUE),exact(Metadata!F282,"air"))</f>
        <v>0</v>
      </c>
      <c r="Z282">
        <f>AND(IF(Metadata!G282="",FALSE,TRUE),exact(Metadata!G282,"air"))</f>
        <v>0</v>
      </c>
      <c r="AA282">
        <f>AND(IF(Metadata!H282="",FALSE,TRUE),exact(Metadata!H282,"air"))</f>
        <v>0</v>
      </c>
      <c r="AB282">
        <f>AND(IF(Metadata!I282="",FALSE,TRUE),exact(Metadata!I282,"air metagenome"))</f>
        <v>0</v>
      </c>
      <c r="AC282">
        <f>AND(IF(Metadata!J282="",FALSE,TRUE),exact(Metadata!J282,"655179"))</f>
        <v>0</v>
      </c>
    </row>
    <row r="283" spans="1:29">
      <c r="A283" s="5">
        <f>IF(B283=" "," ",HYPERLINK(CONCATENATE("#metadata!",ADDRESS(INDEX($P$2:$P$1001,MATCH(ROWS($N$2:N283),$N$2:$N$1001,0),0),1)),INDEX($S$2:$S$1001,MATCH(ROWS($N$2:N283),$N$2:$N$1001,0),0)))</f>
        <v>0</v>
      </c>
      <c r="B283" s="4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4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4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4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4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4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4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4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4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OR(AND(IF(Metadata!C283="",FALSE,TRUE),OR(exact(Metadata!C283,"not applicable"),exact(Metadata!C283,"not collected"),exact(Metadata!C283,"not provided"),exact(Metadata!C283,"restricted access"))),IF(Metadata!C283="",FALSE,ISNUMBER(VALUE(Metadata!C283))))</f>
        <v>0</v>
      </c>
      <c r="W283">
        <f>AND(IF(Metadata!D283="",FALSE,TRUE),exact(Metadata!D283,"m"))</f>
        <v>0</v>
      </c>
      <c r="X283">
        <f>AND(IF(Metadata!E283="",FALSE,TRUE),OR(exact(Metadata!E283,"aerosol (non-saline)"),exact(Metadata!E283,"aerosol (saline)")))</f>
        <v>0</v>
      </c>
      <c r="Y283">
        <f>AND(IF(Metadata!F283="",FALSE,TRUE),exact(Metadata!F283,"air"))</f>
        <v>0</v>
      </c>
      <c r="Z283">
        <f>AND(IF(Metadata!G283="",FALSE,TRUE),exact(Metadata!G283,"air"))</f>
        <v>0</v>
      </c>
      <c r="AA283">
        <f>AND(IF(Metadata!H283="",FALSE,TRUE),exact(Metadata!H283,"air"))</f>
        <v>0</v>
      </c>
      <c r="AB283">
        <f>AND(IF(Metadata!I283="",FALSE,TRUE),exact(Metadata!I283,"air metagenome"))</f>
        <v>0</v>
      </c>
      <c r="AC283">
        <f>AND(IF(Metadata!J283="",FALSE,TRUE),exact(Metadata!J283,"655179"))</f>
        <v>0</v>
      </c>
    </row>
    <row r="284" spans="1:29">
      <c r="A284" s="5">
        <f>IF(B284=" "," ",HYPERLINK(CONCATENATE("#metadata!",ADDRESS(INDEX($P$2:$P$1001,MATCH(ROWS($N$2:N284),$N$2:$N$1001,0),0),1)),INDEX($S$2:$S$1001,MATCH(ROWS($N$2:N284),$N$2:$N$1001,0),0)))</f>
        <v>0</v>
      </c>
      <c r="B284" s="4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4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4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4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4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4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4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4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4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OR(AND(IF(Metadata!C284="",FALSE,TRUE),OR(exact(Metadata!C284,"not applicable"),exact(Metadata!C284,"not collected"),exact(Metadata!C284,"not provided"),exact(Metadata!C284,"restricted access"))),IF(Metadata!C284="",FALSE,ISNUMBER(VALUE(Metadata!C284))))</f>
        <v>0</v>
      </c>
      <c r="W284">
        <f>AND(IF(Metadata!D284="",FALSE,TRUE),exact(Metadata!D284,"m"))</f>
        <v>0</v>
      </c>
      <c r="X284">
        <f>AND(IF(Metadata!E284="",FALSE,TRUE),OR(exact(Metadata!E284,"aerosol (non-saline)"),exact(Metadata!E284,"aerosol (saline)")))</f>
        <v>0</v>
      </c>
      <c r="Y284">
        <f>AND(IF(Metadata!F284="",FALSE,TRUE),exact(Metadata!F284,"air"))</f>
        <v>0</v>
      </c>
      <c r="Z284">
        <f>AND(IF(Metadata!G284="",FALSE,TRUE),exact(Metadata!G284,"air"))</f>
        <v>0</v>
      </c>
      <c r="AA284">
        <f>AND(IF(Metadata!H284="",FALSE,TRUE),exact(Metadata!H284,"air"))</f>
        <v>0</v>
      </c>
      <c r="AB284">
        <f>AND(IF(Metadata!I284="",FALSE,TRUE),exact(Metadata!I284,"air metagenome"))</f>
        <v>0</v>
      </c>
      <c r="AC284">
        <f>AND(IF(Metadata!J284="",FALSE,TRUE),exact(Metadata!J284,"655179"))</f>
        <v>0</v>
      </c>
    </row>
    <row r="285" spans="1:29">
      <c r="A285" s="5">
        <f>IF(B285=" "," ",HYPERLINK(CONCATENATE("#metadata!",ADDRESS(INDEX($P$2:$P$1001,MATCH(ROWS($N$2:N285),$N$2:$N$1001,0),0),1)),INDEX($S$2:$S$1001,MATCH(ROWS($N$2:N285),$N$2:$N$1001,0),0)))</f>
        <v>0</v>
      </c>
      <c r="B285" s="4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4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4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4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4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4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4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4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4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OR(AND(IF(Metadata!C285="",FALSE,TRUE),OR(exact(Metadata!C285,"not applicable"),exact(Metadata!C285,"not collected"),exact(Metadata!C285,"not provided"),exact(Metadata!C285,"restricted access"))),IF(Metadata!C285="",FALSE,ISNUMBER(VALUE(Metadata!C285))))</f>
        <v>0</v>
      </c>
      <c r="W285">
        <f>AND(IF(Metadata!D285="",FALSE,TRUE),exact(Metadata!D285,"m"))</f>
        <v>0</v>
      </c>
      <c r="X285">
        <f>AND(IF(Metadata!E285="",FALSE,TRUE),OR(exact(Metadata!E285,"aerosol (non-saline)"),exact(Metadata!E285,"aerosol (saline)")))</f>
        <v>0</v>
      </c>
      <c r="Y285">
        <f>AND(IF(Metadata!F285="",FALSE,TRUE),exact(Metadata!F285,"air"))</f>
        <v>0</v>
      </c>
      <c r="Z285">
        <f>AND(IF(Metadata!G285="",FALSE,TRUE),exact(Metadata!G285,"air"))</f>
        <v>0</v>
      </c>
      <c r="AA285">
        <f>AND(IF(Metadata!H285="",FALSE,TRUE),exact(Metadata!H285,"air"))</f>
        <v>0</v>
      </c>
      <c r="AB285">
        <f>AND(IF(Metadata!I285="",FALSE,TRUE),exact(Metadata!I285,"air metagenome"))</f>
        <v>0</v>
      </c>
      <c r="AC285">
        <f>AND(IF(Metadata!J285="",FALSE,TRUE),exact(Metadata!J285,"655179"))</f>
        <v>0</v>
      </c>
    </row>
    <row r="286" spans="1:29">
      <c r="A286" s="5">
        <f>IF(B286=" "," ",HYPERLINK(CONCATENATE("#metadata!",ADDRESS(INDEX($P$2:$P$1001,MATCH(ROWS($N$2:N286),$N$2:$N$1001,0),0),1)),INDEX($S$2:$S$1001,MATCH(ROWS($N$2:N286),$N$2:$N$1001,0),0)))</f>
        <v>0</v>
      </c>
      <c r="B286" s="4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4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4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4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4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4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4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4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4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OR(AND(IF(Metadata!C286="",FALSE,TRUE),OR(exact(Metadata!C286,"not applicable"),exact(Metadata!C286,"not collected"),exact(Metadata!C286,"not provided"),exact(Metadata!C286,"restricted access"))),IF(Metadata!C286="",FALSE,ISNUMBER(VALUE(Metadata!C286))))</f>
        <v>0</v>
      </c>
      <c r="W286">
        <f>AND(IF(Metadata!D286="",FALSE,TRUE),exact(Metadata!D286,"m"))</f>
        <v>0</v>
      </c>
      <c r="X286">
        <f>AND(IF(Metadata!E286="",FALSE,TRUE),OR(exact(Metadata!E286,"aerosol (non-saline)"),exact(Metadata!E286,"aerosol (saline)")))</f>
        <v>0</v>
      </c>
      <c r="Y286">
        <f>AND(IF(Metadata!F286="",FALSE,TRUE),exact(Metadata!F286,"air"))</f>
        <v>0</v>
      </c>
      <c r="Z286">
        <f>AND(IF(Metadata!G286="",FALSE,TRUE),exact(Metadata!G286,"air"))</f>
        <v>0</v>
      </c>
      <c r="AA286">
        <f>AND(IF(Metadata!H286="",FALSE,TRUE),exact(Metadata!H286,"air"))</f>
        <v>0</v>
      </c>
      <c r="AB286">
        <f>AND(IF(Metadata!I286="",FALSE,TRUE),exact(Metadata!I286,"air metagenome"))</f>
        <v>0</v>
      </c>
      <c r="AC286">
        <f>AND(IF(Metadata!J286="",FALSE,TRUE),exact(Metadata!J286,"655179"))</f>
        <v>0</v>
      </c>
    </row>
    <row r="287" spans="1:29">
      <c r="A287" s="5">
        <f>IF(B287=" "," ",HYPERLINK(CONCATENATE("#metadata!",ADDRESS(INDEX($P$2:$P$1001,MATCH(ROWS($N$2:N287),$N$2:$N$1001,0),0),1)),INDEX($S$2:$S$1001,MATCH(ROWS($N$2:N287),$N$2:$N$1001,0),0)))</f>
        <v>0</v>
      </c>
      <c r="B287" s="4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4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4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4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4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4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4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4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4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OR(AND(IF(Metadata!C287="",FALSE,TRUE),OR(exact(Metadata!C287,"not applicable"),exact(Metadata!C287,"not collected"),exact(Metadata!C287,"not provided"),exact(Metadata!C287,"restricted access"))),IF(Metadata!C287="",FALSE,ISNUMBER(VALUE(Metadata!C287))))</f>
        <v>0</v>
      </c>
      <c r="W287">
        <f>AND(IF(Metadata!D287="",FALSE,TRUE),exact(Metadata!D287,"m"))</f>
        <v>0</v>
      </c>
      <c r="X287">
        <f>AND(IF(Metadata!E287="",FALSE,TRUE),OR(exact(Metadata!E287,"aerosol (non-saline)"),exact(Metadata!E287,"aerosol (saline)")))</f>
        <v>0</v>
      </c>
      <c r="Y287">
        <f>AND(IF(Metadata!F287="",FALSE,TRUE),exact(Metadata!F287,"air"))</f>
        <v>0</v>
      </c>
      <c r="Z287">
        <f>AND(IF(Metadata!G287="",FALSE,TRUE),exact(Metadata!G287,"air"))</f>
        <v>0</v>
      </c>
      <c r="AA287">
        <f>AND(IF(Metadata!H287="",FALSE,TRUE),exact(Metadata!H287,"air"))</f>
        <v>0</v>
      </c>
      <c r="AB287">
        <f>AND(IF(Metadata!I287="",FALSE,TRUE),exact(Metadata!I287,"air metagenome"))</f>
        <v>0</v>
      </c>
      <c r="AC287">
        <f>AND(IF(Metadata!J287="",FALSE,TRUE),exact(Metadata!J287,"655179"))</f>
        <v>0</v>
      </c>
    </row>
    <row r="288" spans="1:29">
      <c r="A288" s="5">
        <f>IF(B288=" "," ",HYPERLINK(CONCATENATE("#metadata!",ADDRESS(INDEX($P$2:$P$1001,MATCH(ROWS($N$2:N288),$N$2:$N$1001,0),0),1)),INDEX($S$2:$S$1001,MATCH(ROWS($N$2:N288),$N$2:$N$1001,0),0)))</f>
        <v>0</v>
      </c>
      <c r="B288" s="4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4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4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4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4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4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4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4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4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OR(AND(IF(Metadata!C288="",FALSE,TRUE),OR(exact(Metadata!C288,"not applicable"),exact(Metadata!C288,"not collected"),exact(Metadata!C288,"not provided"),exact(Metadata!C288,"restricted access"))),IF(Metadata!C288="",FALSE,ISNUMBER(VALUE(Metadata!C288))))</f>
        <v>0</v>
      </c>
      <c r="W288">
        <f>AND(IF(Metadata!D288="",FALSE,TRUE),exact(Metadata!D288,"m"))</f>
        <v>0</v>
      </c>
      <c r="X288">
        <f>AND(IF(Metadata!E288="",FALSE,TRUE),OR(exact(Metadata!E288,"aerosol (non-saline)"),exact(Metadata!E288,"aerosol (saline)")))</f>
        <v>0</v>
      </c>
      <c r="Y288">
        <f>AND(IF(Metadata!F288="",FALSE,TRUE),exact(Metadata!F288,"air"))</f>
        <v>0</v>
      </c>
      <c r="Z288">
        <f>AND(IF(Metadata!G288="",FALSE,TRUE),exact(Metadata!G288,"air"))</f>
        <v>0</v>
      </c>
      <c r="AA288">
        <f>AND(IF(Metadata!H288="",FALSE,TRUE),exact(Metadata!H288,"air"))</f>
        <v>0</v>
      </c>
      <c r="AB288">
        <f>AND(IF(Metadata!I288="",FALSE,TRUE),exact(Metadata!I288,"air metagenome"))</f>
        <v>0</v>
      </c>
      <c r="AC288">
        <f>AND(IF(Metadata!J288="",FALSE,TRUE),exact(Metadata!J288,"655179"))</f>
        <v>0</v>
      </c>
    </row>
    <row r="289" spans="1:29">
      <c r="A289" s="5">
        <f>IF(B289=" "," ",HYPERLINK(CONCATENATE("#metadata!",ADDRESS(INDEX($P$2:$P$1001,MATCH(ROWS($N$2:N289),$N$2:$N$1001,0),0),1)),INDEX($S$2:$S$1001,MATCH(ROWS($N$2:N289),$N$2:$N$1001,0),0)))</f>
        <v>0</v>
      </c>
      <c r="B289" s="4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4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4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4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4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4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4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4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4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OR(AND(IF(Metadata!C289="",FALSE,TRUE),OR(exact(Metadata!C289,"not applicable"),exact(Metadata!C289,"not collected"),exact(Metadata!C289,"not provided"),exact(Metadata!C289,"restricted access"))),IF(Metadata!C289="",FALSE,ISNUMBER(VALUE(Metadata!C289))))</f>
        <v>0</v>
      </c>
      <c r="W289">
        <f>AND(IF(Metadata!D289="",FALSE,TRUE),exact(Metadata!D289,"m"))</f>
        <v>0</v>
      </c>
      <c r="X289">
        <f>AND(IF(Metadata!E289="",FALSE,TRUE),OR(exact(Metadata!E289,"aerosol (non-saline)"),exact(Metadata!E289,"aerosol (saline)")))</f>
        <v>0</v>
      </c>
      <c r="Y289">
        <f>AND(IF(Metadata!F289="",FALSE,TRUE),exact(Metadata!F289,"air"))</f>
        <v>0</v>
      </c>
      <c r="Z289">
        <f>AND(IF(Metadata!G289="",FALSE,TRUE),exact(Metadata!G289,"air"))</f>
        <v>0</v>
      </c>
      <c r="AA289">
        <f>AND(IF(Metadata!H289="",FALSE,TRUE),exact(Metadata!H289,"air"))</f>
        <v>0</v>
      </c>
      <c r="AB289">
        <f>AND(IF(Metadata!I289="",FALSE,TRUE),exact(Metadata!I289,"air metagenome"))</f>
        <v>0</v>
      </c>
      <c r="AC289">
        <f>AND(IF(Metadata!J289="",FALSE,TRUE),exact(Metadata!J289,"655179"))</f>
        <v>0</v>
      </c>
    </row>
    <row r="290" spans="1:29">
      <c r="A290" s="5">
        <f>IF(B290=" "," ",HYPERLINK(CONCATENATE("#metadata!",ADDRESS(INDEX($P$2:$P$1001,MATCH(ROWS($N$2:N290),$N$2:$N$1001,0),0),1)),INDEX($S$2:$S$1001,MATCH(ROWS($N$2:N290),$N$2:$N$1001,0),0)))</f>
        <v>0</v>
      </c>
      <c r="B290" s="4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4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4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4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4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4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4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4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4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OR(AND(IF(Metadata!C290="",FALSE,TRUE),OR(exact(Metadata!C290,"not applicable"),exact(Metadata!C290,"not collected"),exact(Metadata!C290,"not provided"),exact(Metadata!C290,"restricted access"))),IF(Metadata!C290="",FALSE,ISNUMBER(VALUE(Metadata!C290))))</f>
        <v>0</v>
      </c>
      <c r="W290">
        <f>AND(IF(Metadata!D290="",FALSE,TRUE),exact(Metadata!D290,"m"))</f>
        <v>0</v>
      </c>
      <c r="X290">
        <f>AND(IF(Metadata!E290="",FALSE,TRUE),OR(exact(Metadata!E290,"aerosol (non-saline)"),exact(Metadata!E290,"aerosol (saline)")))</f>
        <v>0</v>
      </c>
      <c r="Y290">
        <f>AND(IF(Metadata!F290="",FALSE,TRUE),exact(Metadata!F290,"air"))</f>
        <v>0</v>
      </c>
      <c r="Z290">
        <f>AND(IF(Metadata!G290="",FALSE,TRUE),exact(Metadata!G290,"air"))</f>
        <v>0</v>
      </c>
      <c r="AA290">
        <f>AND(IF(Metadata!H290="",FALSE,TRUE),exact(Metadata!H290,"air"))</f>
        <v>0</v>
      </c>
      <c r="AB290">
        <f>AND(IF(Metadata!I290="",FALSE,TRUE),exact(Metadata!I290,"air metagenome"))</f>
        <v>0</v>
      </c>
      <c r="AC290">
        <f>AND(IF(Metadata!J290="",FALSE,TRUE),exact(Metadata!J290,"655179"))</f>
        <v>0</v>
      </c>
    </row>
    <row r="291" spans="1:29">
      <c r="A291" s="5">
        <f>IF(B291=" "," ",HYPERLINK(CONCATENATE("#metadata!",ADDRESS(INDEX($P$2:$P$1001,MATCH(ROWS($N$2:N291),$N$2:$N$1001,0),0),1)),INDEX($S$2:$S$1001,MATCH(ROWS($N$2:N291),$N$2:$N$1001,0),0)))</f>
        <v>0</v>
      </c>
      <c r="B291" s="4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4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4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4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4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4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4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4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4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OR(AND(IF(Metadata!C291="",FALSE,TRUE),OR(exact(Metadata!C291,"not applicable"),exact(Metadata!C291,"not collected"),exact(Metadata!C291,"not provided"),exact(Metadata!C291,"restricted access"))),IF(Metadata!C291="",FALSE,ISNUMBER(VALUE(Metadata!C291))))</f>
        <v>0</v>
      </c>
      <c r="W291">
        <f>AND(IF(Metadata!D291="",FALSE,TRUE),exact(Metadata!D291,"m"))</f>
        <v>0</v>
      </c>
      <c r="X291">
        <f>AND(IF(Metadata!E291="",FALSE,TRUE),OR(exact(Metadata!E291,"aerosol (non-saline)"),exact(Metadata!E291,"aerosol (saline)")))</f>
        <v>0</v>
      </c>
      <c r="Y291">
        <f>AND(IF(Metadata!F291="",FALSE,TRUE),exact(Metadata!F291,"air"))</f>
        <v>0</v>
      </c>
      <c r="Z291">
        <f>AND(IF(Metadata!G291="",FALSE,TRUE),exact(Metadata!G291,"air"))</f>
        <v>0</v>
      </c>
      <c r="AA291">
        <f>AND(IF(Metadata!H291="",FALSE,TRUE),exact(Metadata!H291,"air"))</f>
        <v>0</v>
      </c>
      <c r="AB291">
        <f>AND(IF(Metadata!I291="",FALSE,TRUE),exact(Metadata!I291,"air metagenome"))</f>
        <v>0</v>
      </c>
      <c r="AC291">
        <f>AND(IF(Metadata!J291="",FALSE,TRUE),exact(Metadata!J291,"655179"))</f>
        <v>0</v>
      </c>
    </row>
    <row r="292" spans="1:29">
      <c r="A292" s="5">
        <f>IF(B292=" "," ",HYPERLINK(CONCATENATE("#metadata!",ADDRESS(INDEX($P$2:$P$1001,MATCH(ROWS($N$2:N292),$N$2:$N$1001,0),0),1)),INDEX($S$2:$S$1001,MATCH(ROWS($N$2:N292),$N$2:$N$1001,0),0)))</f>
        <v>0</v>
      </c>
      <c r="B292" s="4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4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4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4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4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4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4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4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4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OR(AND(IF(Metadata!C292="",FALSE,TRUE),OR(exact(Metadata!C292,"not applicable"),exact(Metadata!C292,"not collected"),exact(Metadata!C292,"not provided"),exact(Metadata!C292,"restricted access"))),IF(Metadata!C292="",FALSE,ISNUMBER(VALUE(Metadata!C292))))</f>
        <v>0</v>
      </c>
      <c r="W292">
        <f>AND(IF(Metadata!D292="",FALSE,TRUE),exact(Metadata!D292,"m"))</f>
        <v>0</v>
      </c>
      <c r="X292">
        <f>AND(IF(Metadata!E292="",FALSE,TRUE),OR(exact(Metadata!E292,"aerosol (non-saline)"),exact(Metadata!E292,"aerosol (saline)")))</f>
        <v>0</v>
      </c>
      <c r="Y292">
        <f>AND(IF(Metadata!F292="",FALSE,TRUE),exact(Metadata!F292,"air"))</f>
        <v>0</v>
      </c>
      <c r="Z292">
        <f>AND(IF(Metadata!G292="",FALSE,TRUE),exact(Metadata!G292,"air"))</f>
        <v>0</v>
      </c>
      <c r="AA292">
        <f>AND(IF(Metadata!H292="",FALSE,TRUE),exact(Metadata!H292,"air"))</f>
        <v>0</v>
      </c>
      <c r="AB292">
        <f>AND(IF(Metadata!I292="",FALSE,TRUE),exact(Metadata!I292,"air metagenome"))</f>
        <v>0</v>
      </c>
      <c r="AC292">
        <f>AND(IF(Metadata!J292="",FALSE,TRUE),exact(Metadata!J292,"655179"))</f>
        <v>0</v>
      </c>
    </row>
    <row r="293" spans="1:29">
      <c r="A293" s="5">
        <f>IF(B293=" "," ",HYPERLINK(CONCATENATE("#metadata!",ADDRESS(INDEX($P$2:$P$1001,MATCH(ROWS($N$2:N293),$N$2:$N$1001,0),0),1)),INDEX($S$2:$S$1001,MATCH(ROWS($N$2:N293),$N$2:$N$1001,0),0)))</f>
        <v>0</v>
      </c>
      <c r="B293" s="4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4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4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4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4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4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4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4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4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OR(AND(IF(Metadata!C293="",FALSE,TRUE),OR(exact(Metadata!C293,"not applicable"),exact(Metadata!C293,"not collected"),exact(Metadata!C293,"not provided"),exact(Metadata!C293,"restricted access"))),IF(Metadata!C293="",FALSE,ISNUMBER(VALUE(Metadata!C293))))</f>
        <v>0</v>
      </c>
      <c r="W293">
        <f>AND(IF(Metadata!D293="",FALSE,TRUE),exact(Metadata!D293,"m"))</f>
        <v>0</v>
      </c>
      <c r="X293">
        <f>AND(IF(Metadata!E293="",FALSE,TRUE),OR(exact(Metadata!E293,"aerosol (non-saline)"),exact(Metadata!E293,"aerosol (saline)")))</f>
        <v>0</v>
      </c>
      <c r="Y293">
        <f>AND(IF(Metadata!F293="",FALSE,TRUE),exact(Metadata!F293,"air"))</f>
        <v>0</v>
      </c>
      <c r="Z293">
        <f>AND(IF(Metadata!G293="",FALSE,TRUE),exact(Metadata!G293,"air"))</f>
        <v>0</v>
      </c>
      <c r="AA293">
        <f>AND(IF(Metadata!H293="",FALSE,TRUE),exact(Metadata!H293,"air"))</f>
        <v>0</v>
      </c>
      <c r="AB293">
        <f>AND(IF(Metadata!I293="",FALSE,TRUE),exact(Metadata!I293,"air metagenome"))</f>
        <v>0</v>
      </c>
      <c r="AC293">
        <f>AND(IF(Metadata!J293="",FALSE,TRUE),exact(Metadata!J293,"655179"))</f>
        <v>0</v>
      </c>
    </row>
    <row r="294" spans="1:29">
      <c r="A294" s="5">
        <f>IF(B294=" "," ",HYPERLINK(CONCATENATE("#metadata!",ADDRESS(INDEX($P$2:$P$1001,MATCH(ROWS($N$2:N294),$N$2:$N$1001,0),0),1)),INDEX($S$2:$S$1001,MATCH(ROWS($N$2:N294),$N$2:$N$1001,0),0)))</f>
        <v>0</v>
      </c>
      <c r="B294" s="4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4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4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4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4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4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4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4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4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OR(AND(IF(Metadata!C294="",FALSE,TRUE),OR(exact(Metadata!C294,"not applicable"),exact(Metadata!C294,"not collected"),exact(Metadata!C294,"not provided"),exact(Metadata!C294,"restricted access"))),IF(Metadata!C294="",FALSE,ISNUMBER(VALUE(Metadata!C294))))</f>
        <v>0</v>
      </c>
      <c r="W294">
        <f>AND(IF(Metadata!D294="",FALSE,TRUE),exact(Metadata!D294,"m"))</f>
        <v>0</v>
      </c>
      <c r="X294">
        <f>AND(IF(Metadata!E294="",FALSE,TRUE),OR(exact(Metadata!E294,"aerosol (non-saline)"),exact(Metadata!E294,"aerosol (saline)")))</f>
        <v>0</v>
      </c>
      <c r="Y294">
        <f>AND(IF(Metadata!F294="",FALSE,TRUE),exact(Metadata!F294,"air"))</f>
        <v>0</v>
      </c>
      <c r="Z294">
        <f>AND(IF(Metadata!G294="",FALSE,TRUE),exact(Metadata!G294,"air"))</f>
        <v>0</v>
      </c>
      <c r="AA294">
        <f>AND(IF(Metadata!H294="",FALSE,TRUE),exact(Metadata!H294,"air"))</f>
        <v>0</v>
      </c>
      <c r="AB294">
        <f>AND(IF(Metadata!I294="",FALSE,TRUE),exact(Metadata!I294,"air metagenome"))</f>
        <v>0</v>
      </c>
      <c r="AC294">
        <f>AND(IF(Metadata!J294="",FALSE,TRUE),exact(Metadata!J294,"655179"))</f>
        <v>0</v>
      </c>
    </row>
    <row r="295" spans="1:29">
      <c r="A295" s="5">
        <f>IF(B295=" "," ",HYPERLINK(CONCATENATE("#metadata!",ADDRESS(INDEX($P$2:$P$1001,MATCH(ROWS($N$2:N295),$N$2:$N$1001,0),0),1)),INDEX($S$2:$S$1001,MATCH(ROWS($N$2:N295),$N$2:$N$1001,0),0)))</f>
        <v>0</v>
      </c>
      <c r="B295" s="4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4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4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4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4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4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4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4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4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OR(AND(IF(Metadata!C295="",FALSE,TRUE),OR(exact(Metadata!C295,"not applicable"),exact(Metadata!C295,"not collected"),exact(Metadata!C295,"not provided"),exact(Metadata!C295,"restricted access"))),IF(Metadata!C295="",FALSE,ISNUMBER(VALUE(Metadata!C295))))</f>
        <v>0</v>
      </c>
      <c r="W295">
        <f>AND(IF(Metadata!D295="",FALSE,TRUE),exact(Metadata!D295,"m"))</f>
        <v>0</v>
      </c>
      <c r="X295">
        <f>AND(IF(Metadata!E295="",FALSE,TRUE),OR(exact(Metadata!E295,"aerosol (non-saline)"),exact(Metadata!E295,"aerosol (saline)")))</f>
        <v>0</v>
      </c>
      <c r="Y295">
        <f>AND(IF(Metadata!F295="",FALSE,TRUE),exact(Metadata!F295,"air"))</f>
        <v>0</v>
      </c>
      <c r="Z295">
        <f>AND(IF(Metadata!G295="",FALSE,TRUE),exact(Metadata!G295,"air"))</f>
        <v>0</v>
      </c>
      <c r="AA295">
        <f>AND(IF(Metadata!H295="",FALSE,TRUE),exact(Metadata!H295,"air"))</f>
        <v>0</v>
      </c>
      <c r="AB295">
        <f>AND(IF(Metadata!I295="",FALSE,TRUE),exact(Metadata!I295,"air metagenome"))</f>
        <v>0</v>
      </c>
      <c r="AC295">
        <f>AND(IF(Metadata!J295="",FALSE,TRUE),exact(Metadata!J295,"655179"))</f>
        <v>0</v>
      </c>
    </row>
    <row r="296" spans="1:29">
      <c r="A296" s="5">
        <f>IF(B296=" "," ",HYPERLINK(CONCATENATE("#metadata!",ADDRESS(INDEX($P$2:$P$1001,MATCH(ROWS($N$2:N296),$N$2:$N$1001,0),0),1)),INDEX($S$2:$S$1001,MATCH(ROWS($N$2:N296),$N$2:$N$1001,0),0)))</f>
        <v>0</v>
      </c>
      <c r="B296" s="4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4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4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4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4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4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4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4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4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OR(AND(IF(Metadata!C296="",FALSE,TRUE),OR(exact(Metadata!C296,"not applicable"),exact(Metadata!C296,"not collected"),exact(Metadata!C296,"not provided"),exact(Metadata!C296,"restricted access"))),IF(Metadata!C296="",FALSE,ISNUMBER(VALUE(Metadata!C296))))</f>
        <v>0</v>
      </c>
      <c r="W296">
        <f>AND(IF(Metadata!D296="",FALSE,TRUE),exact(Metadata!D296,"m"))</f>
        <v>0</v>
      </c>
      <c r="X296">
        <f>AND(IF(Metadata!E296="",FALSE,TRUE),OR(exact(Metadata!E296,"aerosol (non-saline)"),exact(Metadata!E296,"aerosol (saline)")))</f>
        <v>0</v>
      </c>
      <c r="Y296">
        <f>AND(IF(Metadata!F296="",FALSE,TRUE),exact(Metadata!F296,"air"))</f>
        <v>0</v>
      </c>
      <c r="Z296">
        <f>AND(IF(Metadata!G296="",FALSE,TRUE),exact(Metadata!G296,"air"))</f>
        <v>0</v>
      </c>
      <c r="AA296">
        <f>AND(IF(Metadata!H296="",FALSE,TRUE),exact(Metadata!H296,"air"))</f>
        <v>0</v>
      </c>
      <c r="AB296">
        <f>AND(IF(Metadata!I296="",FALSE,TRUE),exact(Metadata!I296,"air metagenome"))</f>
        <v>0</v>
      </c>
      <c r="AC296">
        <f>AND(IF(Metadata!J296="",FALSE,TRUE),exact(Metadata!J296,"655179"))</f>
        <v>0</v>
      </c>
    </row>
    <row r="297" spans="1:29">
      <c r="A297" s="5">
        <f>IF(B297=" "," ",HYPERLINK(CONCATENATE("#metadata!",ADDRESS(INDEX($P$2:$P$1001,MATCH(ROWS($N$2:N297),$N$2:$N$1001,0),0),1)),INDEX($S$2:$S$1001,MATCH(ROWS($N$2:N297),$N$2:$N$1001,0),0)))</f>
        <v>0</v>
      </c>
      <c r="B297" s="4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4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4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4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4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4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4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4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4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OR(AND(IF(Metadata!C297="",FALSE,TRUE),OR(exact(Metadata!C297,"not applicable"),exact(Metadata!C297,"not collected"),exact(Metadata!C297,"not provided"),exact(Metadata!C297,"restricted access"))),IF(Metadata!C297="",FALSE,ISNUMBER(VALUE(Metadata!C297))))</f>
        <v>0</v>
      </c>
      <c r="W297">
        <f>AND(IF(Metadata!D297="",FALSE,TRUE),exact(Metadata!D297,"m"))</f>
        <v>0</v>
      </c>
      <c r="X297">
        <f>AND(IF(Metadata!E297="",FALSE,TRUE),OR(exact(Metadata!E297,"aerosol (non-saline)"),exact(Metadata!E297,"aerosol (saline)")))</f>
        <v>0</v>
      </c>
      <c r="Y297">
        <f>AND(IF(Metadata!F297="",FALSE,TRUE),exact(Metadata!F297,"air"))</f>
        <v>0</v>
      </c>
      <c r="Z297">
        <f>AND(IF(Metadata!G297="",FALSE,TRUE),exact(Metadata!G297,"air"))</f>
        <v>0</v>
      </c>
      <c r="AA297">
        <f>AND(IF(Metadata!H297="",FALSE,TRUE),exact(Metadata!H297,"air"))</f>
        <v>0</v>
      </c>
      <c r="AB297">
        <f>AND(IF(Metadata!I297="",FALSE,TRUE),exact(Metadata!I297,"air metagenome"))</f>
        <v>0</v>
      </c>
      <c r="AC297">
        <f>AND(IF(Metadata!J297="",FALSE,TRUE),exact(Metadata!J297,"655179"))</f>
        <v>0</v>
      </c>
    </row>
    <row r="298" spans="1:29">
      <c r="A298" s="5">
        <f>IF(B298=" "," ",HYPERLINK(CONCATENATE("#metadata!",ADDRESS(INDEX($P$2:$P$1001,MATCH(ROWS($N$2:N298),$N$2:$N$1001,0),0),1)),INDEX($S$2:$S$1001,MATCH(ROWS($N$2:N298),$N$2:$N$1001,0),0)))</f>
        <v>0</v>
      </c>
      <c r="B298" s="4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4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4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4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4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4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4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4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4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OR(AND(IF(Metadata!C298="",FALSE,TRUE),OR(exact(Metadata!C298,"not applicable"),exact(Metadata!C298,"not collected"),exact(Metadata!C298,"not provided"),exact(Metadata!C298,"restricted access"))),IF(Metadata!C298="",FALSE,ISNUMBER(VALUE(Metadata!C298))))</f>
        <v>0</v>
      </c>
      <c r="W298">
        <f>AND(IF(Metadata!D298="",FALSE,TRUE),exact(Metadata!D298,"m"))</f>
        <v>0</v>
      </c>
      <c r="X298">
        <f>AND(IF(Metadata!E298="",FALSE,TRUE),OR(exact(Metadata!E298,"aerosol (non-saline)"),exact(Metadata!E298,"aerosol (saline)")))</f>
        <v>0</v>
      </c>
      <c r="Y298">
        <f>AND(IF(Metadata!F298="",FALSE,TRUE),exact(Metadata!F298,"air"))</f>
        <v>0</v>
      </c>
      <c r="Z298">
        <f>AND(IF(Metadata!G298="",FALSE,TRUE),exact(Metadata!G298,"air"))</f>
        <v>0</v>
      </c>
      <c r="AA298">
        <f>AND(IF(Metadata!H298="",FALSE,TRUE),exact(Metadata!H298,"air"))</f>
        <v>0</v>
      </c>
      <c r="AB298">
        <f>AND(IF(Metadata!I298="",FALSE,TRUE),exact(Metadata!I298,"air metagenome"))</f>
        <v>0</v>
      </c>
      <c r="AC298">
        <f>AND(IF(Metadata!J298="",FALSE,TRUE),exact(Metadata!J298,"655179"))</f>
        <v>0</v>
      </c>
    </row>
    <row r="299" spans="1:29">
      <c r="A299" s="5">
        <f>IF(B299=" "," ",HYPERLINK(CONCATENATE("#metadata!",ADDRESS(INDEX($P$2:$P$1001,MATCH(ROWS($N$2:N299),$N$2:$N$1001,0),0),1)),INDEX($S$2:$S$1001,MATCH(ROWS($N$2:N299),$N$2:$N$1001,0),0)))</f>
        <v>0</v>
      </c>
      <c r="B299" s="4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4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4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4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4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4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4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4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4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OR(AND(IF(Metadata!C299="",FALSE,TRUE),OR(exact(Metadata!C299,"not applicable"),exact(Metadata!C299,"not collected"),exact(Metadata!C299,"not provided"),exact(Metadata!C299,"restricted access"))),IF(Metadata!C299="",FALSE,ISNUMBER(VALUE(Metadata!C299))))</f>
        <v>0</v>
      </c>
      <c r="W299">
        <f>AND(IF(Metadata!D299="",FALSE,TRUE),exact(Metadata!D299,"m"))</f>
        <v>0</v>
      </c>
      <c r="X299">
        <f>AND(IF(Metadata!E299="",FALSE,TRUE),OR(exact(Metadata!E299,"aerosol (non-saline)"),exact(Metadata!E299,"aerosol (saline)")))</f>
        <v>0</v>
      </c>
      <c r="Y299">
        <f>AND(IF(Metadata!F299="",FALSE,TRUE),exact(Metadata!F299,"air"))</f>
        <v>0</v>
      </c>
      <c r="Z299">
        <f>AND(IF(Metadata!G299="",FALSE,TRUE),exact(Metadata!G299,"air"))</f>
        <v>0</v>
      </c>
      <c r="AA299">
        <f>AND(IF(Metadata!H299="",FALSE,TRUE),exact(Metadata!H299,"air"))</f>
        <v>0</v>
      </c>
      <c r="AB299">
        <f>AND(IF(Metadata!I299="",FALSE,TRUE),exact(Metadata!I299,"air metagenome"))</f>
        <v>0</v>
      </c>
      <c r="AC299">
        <f>AND(IF(Metadata!J299="",FALSE,TRUE),exact(Metadata!J299,"655179"))</f>
        <v>0</v>
      </c>
    </row>
    <row r="300" spans="1:29">
      <c r="A300" s="5">
        <f>IF(B300=" "," ",HYPERLINK(CONCATENATE("#metadata!",ADDRESS(INDEX($P$2:$P$1001,MATCH(ROWS($N$2:N300),$N$2:$N$1001,0),0),1)),INDEX($S$2:$S$1001,MATCH(ROWS($N$2:N300),$N$2:$N$1001,0),0)))</f>
        <v>0</v>
      </c>
      <c r="B300" s="4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4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4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4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4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4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4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4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4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OR(AND(IF(Metadata!C300="",FALSE,TRUE),OR(exact(Metadata!C300,"not applicable"),exact(Metadata!C300,"not collected"),exact(Metadata!C300,"not provided"),exact(Metadata!C300,"restricted access"))),IF(Metadata!C300="",FALSE,ISNUMBER(VALUE(Metadata!C300))))</f>
        <v>0</v>
      </c>
      <c r="W300">
        <f>AND(IF(Metadata!D300="",FALSE,TRUE),exact(Metadata!D300,"m"))</f>
        <v>0</v>
      </c>
      <c r="X300">
        <f>AND(IF(Metadata!E300="",FALSE,TRUE),OR(exact(Metadata!E300,"aerosol (non-saline)"),exact(Metadata!E300,"aerosol (saline)")))</f>
        <v>0</v>
      </c>
      <c r="Y300">
        <f>AND(IF(Metadata!F300="",FALSE,TRUE),exact(Metadata!F300,"air"))</f>
        <v>0</v>
      </c>
      <c r="Z300">
        <f>AND(IF(Metadata!G300="",FALSE,TRUE),exact(Metadata!G300,"air"))</f>
        <v>0</v>
      </c>
      <c r="AA300">
        <f>AND(IF(Metadata!H300="",FALSE,TRUE),exact(Metadata!H300,"air"))</f>
        <v>0</v>
      </c>
      <c r="AB300">
        <f>AND(IF(Metadata!I300="",FALSE,TRUE),exact(Metadata!I300,"air metagenome"))</f>
        <v>0</v>
      </c>
      <c r="AC300">
        <f>AND(IF(Metadata!J300="",FALSE,TRUE),exact(Metadata!J300,"655179"))</f>
        <v>0</v>
      </c>
    </row>
    <row r="301" spans="1:29">
      <c r="A301" s="5">
        <f>IF(B301=" "," ",HYPERLINK(CONCATENATE("#metadata!",ADDRESS(INDEX($P$2:$P$1001,MATCH(ROWS($N$2:N301),$N$2:$N$1001,0),0),1)),INDEX($S$2:$S$1001,MATCH(ROWS($N$2:N301),$N$2:$N$1001,0),0)))</f>
        <v>0</v>
      </c>
      <c r="B301" s="4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4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4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4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4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4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4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4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4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OR(AND(IF(Metadata!C301="",FALSE,TRUE),OR(exact(Metadata!C301,"not applicable"),exact(Metadata!C301,"not collected"),exact(Metadata!C301,"not provided"),exact(Metadata!C301,"restricted access"))),IF(Metadata!C301="",FALSE,ISNUMBER(VALUE(Metadata!C301))))</f>
        <v>0</v>
      </c>
      <c r="W301">
        <f>AND(IF(Metadata!D301="",FALSE,TRUE),exact(Metadata!D301,"m"))</f>
        <v>0</v>
      </c>
      <c r="X301">
        <f>AND(IF(Metadata!E301="",FALSE,TRUE),OR(exact(Metadata!E301,"aerosol (non-saline)"),exact(Metadata!E301,"aerosol (saline)")))</f>
        <v>0</v>
      </c>
      <c r="Y301">
        <f>AND(IF(Metadata!F301="",FALSE,TRUE),exact(Metadata!F301,"air"))</f>
        <v>0</v>
      </c>
      <c r="Z301">
        <f>AND(IF(Metadata!G301="",FALSE,TRUE),exact(Metadata!G301,"air"))</f>
        <v>0</v>
      </c>
      <c r="AA301">
        <f>AND(IF(Metadata!H301="",FALSE,TRUE),exact(Metadata!H301,"air"))</f>
        <v>0</v>
      </c>
      <c r="AB301">
        <f>AND(IF(Metadata!I301="",FALSE,TRUE),exact(Metadata!I301,"air metagenome"))</f>
        <v>0</v>
      </c>
      <c r="AC301">
        <f>AND(IF(Metadata!J301="",FALSE,TRUE),exact(Metadata!J301,"655179"))</f>
        <v>0</v>
      </c>
    </row>
    <row r="302" spans="1:29">
      <c r="A302" s="5">
        <f>IF(B302=" "," ",HYPERLINK(CONCATENATE("#metadata!",ADDRESS(INDEX($P$2:$P$1001,MATCH(ROWS($N$2:N302),$N$2:$N$1001,0),0),1)),INDEX($S$2:$S$1001,MATCH(ROWS($N$2:N302),$N$2:$N$1001,0),0)))</f>
        <v>0</v>
      </c>
      <c r="B302" s="4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4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4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4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4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4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4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4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4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OR(AND(IF(Metadata!C302="",FALSE,TRUE),OR(exact(Metadata!C302,"not applicable"),exact(Metadata!C302,"not collected"),exact(Metadata!C302,"not provided"),exact(Metadata!C302,"restricted access"))),IF(Metadata!C302="",FALSE,ISNUMBER(VALUE(Metadata!C302))))</f>
        <v>0</v>
      </c>
      <c r="W302">
        <f>AND(IF(Metadata!D302="",FALSE,TRUE),exact(Metadata!D302,"m"))</f>
        <v>0</v>
      </c>
      <c r="X302">
        <f>AND(IF(Metadata!E302="",FALSE,TRUE),OR(exact(Metadata!E302,"aerosol (non-saline)"),exact(Metadata!E302,"aerosol (saline)")))</f>
        <v>0</v>
      </c>
      <c r="Y302">
        <f>AND(IF(Metadata!F302="",FALSE,TRUE),exact(Metadata!F302,"air"))</f>
        <v>0</v>
      </c>
      <c r="Z302">
        <f>AND(IF(Metadata!G302="",FALSE,TRUE),exact(Metadata!G302,"air"))</f>
        <v>0</v>
      </c>
      <c r="AA302">
        <f>AND(IF(Metadata!H302="",FALSE,TRUE),exact(Metadata!H302,"air"))</f>
        <v>0</v>
      </c>
      <c r="AB302">
        <f>AND(IF(Metadata!I302="",FALSE,TRUE),exact(Metadata!I302,"air metagenome"))</f>
        <v>0</v>
      </c>
      <c r="AC302">
        <f>AND(IF(Metadata!J302="",FALSE,TRUE),exact(Metadata!J302,"655179"))</f>
        <v>0</v>
      </c>
    </row>
    <row r="303" spans="1:29">
      <c r="A303" s="5">
        <f>IF(B303=" "," ",HYPERLINK(CONCATENATE("#metadata!",ADDRESS(INDEX($P$2:$P$1001,MATCH(ROWS($N$2:N303),$N$2:$N$1001,0),0),1)),INDEX($S$2:$S$1001,MATCH(ROWS($N$2:N303),$N$2:$N$1001,0),0)))</f>
        <v>0</v>
      </c>
      <c r="B303" s="4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4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4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4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4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4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4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4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4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OR(AND(IF(Metadata!C303="",FALSE,TRUE),OR(exact(Metadata!C303,"not applicable"),exact(Metadata!C303,"not collected"),exact(Metadata!C303,"not provided"),exact(Metadata!C303,"restricted access"))),IF(Metadata!C303="",FALSE,ISNUMBER(VALUE(Metadata!C303))))</f>
        <v>0</v>
      </c>
      <c r="W303">
        <f>AND(IF(Metadata!D303="",FALSE,TRUE),exact(Metadata!D303,"m"))</f>
        <v>0</v>
      </c>
      <c r="X303">
        <f>AND(IF(Metadata!E303="",FALSE,TRUE),OR(exact(Metadata!E303,"aerosol (non-saline)"),exact(Metadata!E303,"aerosol (saline)")))</f>
        <v>0</v>
      </c>
      <c r="Y303">
        <f>AND(IF(Metadata!F303="",FALSE,TRUE),exact(Metadata!F303,"air"))</f>
        <v>0</v>
      </c>
      <c r="Z303">
        <f>AND(IF(Metadata!G303="",FALSE,TRUE),exact(Metadata!G303,"air"))</f>
        <v>0</v>
      </c>
      <c r="AA303">
        <f>AND(IF(Metadata!H303="",FALSE,TRUE),exact(Metadata!H303,"air"))</f>
        <v>0</v>
      </c>
      <c r="AB303">
        <f>AND(IF(Metadata!I303="",FALSE,TRUE),exact(Metadata!I303,"air metagenome"))</f>
        <v>0</v>
      </c>
      <c r="AC303">
        <f>AND(IF(Metadata!J303="",FALSE,TRUE),exact(Metadata!J303,"655179"))</f>
        <v>0</v>
      </c>
    </row>
    <row r="304" spans="1:29">
      <c r="A304" s="5">
        <f>IF(B304=" "," ",HYPERLINK(CONCATENATE("#metadata!",ADDRESS(INDEX($P$2:$P$1001,MATCH(ROWS($N$2:N304),$N$2:$N$1001,0),0),1)),INDEX($S$2:$S$1001,MATCH(ROWS($N$2:N304),$N$2:$N$1001,0),0)))</f>
        <v>0</v>
      </c>
      <c r="B304" s="4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4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4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4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4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4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4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4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4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OR(AND(IF(Metadata!C304="",FALSE,TRUE),OR(exact(Metadata!C304,"not applicable"),exact(Metadata!C304,"not collected"),exact(Metadata!C304,"not provided"),exact(Metadata!C304,"restricted access"))),IF(Metadata!C304="",FALSE,ISNUMBER(VALUE(Metadata!C304))))</f>
        <v>0</v>
      </c>
      <c r="W304">
        <f>AND(IF(Metadata!D304="",FALSE,TRUE),exact(Metadata!D304,"m"))</f>
        <v>0</v>
      </c>
      <c r="X304">
        <f>AND(IF(Metadata!E304="",FALSE,TRUE),OR(exact(Metadata!E304,"aerosol (non-saline)"),exact(Metadata!E304,"aerosol (saline)")))</f>
        <v>0</v>
      </c>
      <c r="Y304">
        <f>AND(IF(Metadata!F304="",FALSE,TRUE),exact(Metadata!F304,"air"))</f>
        <v>0</v>
      </c>
      <c r="Z304">
        <f>AND(IF(Metadata!G304="",FALSE,TRUE),exact(Metadata!G304,"air"))</f>
        <v>0</v>
      </c>
      <c r="AA304">
        <f>AND(IF(Metadata!H304="",FALSE,TRUE),exact(Metadata!H304,"air"))</f>
        <v>0</v>
      </c>
      <c r="AB304">
        <f>AND(IF(Metadata!I304="",FALSE,TRUE),exact(Metadata!I304,"air metagenome"))</f>
        <v>0</v>
      </c>
      <c r="AC304">
        <f>AND(IF(Metadata!J304="",FALSE,TRUE),exact(Metadata!J304,"655179"))</f>
        <v>0</v>
      </c>
    </row>
    <row r="305" spans="1:29">
      <c r="A305" s="5">
        <f>IF(B305=" "," ",HYPERLINK(CONCATENATE("#metadata!",ADDRESS(INDEX($P$2:$P$1001,MATCH(ROWS($N$2:N305),$N$2:$N$1001,0),0),1)),INDEX($S$2:$S$1001,MATCH(ROWS($N$2:N305),$N$2:$N$1001,0),0)))</f>
        <v>0</v>
      </c>
      <c r="B305" s="4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4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4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4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4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4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4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4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4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OR(AND(IF(Metadata!C305="",FALSE,TRUE),OR(exact(Metadata!C305,"not applicable"),exact(Metadata!C305,"not collected"),exact(Metadata!C305,"not provided"),exact(Metadata!C305,"restricted access"))),IF(Metadata!C305="",FALSE,ISNUMBER(VALUE(Metadata!C305))))</f>
        <v>0</v>
      </c>
      <c r="W305">
        <f>AND(IF(Metadata!D305="",FALSE,TRUE),exact(Metadata!D305,"m"))</f>
        <v>0</v>
      </c>
      <c r="X305">
        <f>AND(IF(Metadata!E305="",FALSE,TRUE),OR(exact(Metadata!E305,"aerosol (non-saline)"),exact(Metadata!E305,"aerosol (saline)")))</f>
        <v>0</v>
      </c>
      <c r="Y305">
        <f>AND(IF(Metadata!F305="",FALSE,TRUE),exact(Metadata!F305,"air"))</f>
        <v>0</v>
      </c>
      <c r="Z305">
        <f>AND(IF(Metadata!G305="",FALSE,TRUE),exact(Metadata!G305,"air"))</f>
        <v>0</v>
      </c>
      <c r="AA305">
        <f>AND(IF(Metadata!H305="",FALSE,TRUE),exact(Metadata!H305,"air"))</f>
        <v>0</v>
      </c>
      <c r="AB305">
        <f>AND(IF(Metadata!I305="",FALSE,TRUE),exact(Metadata!I305,"air metagenome"))</f>
        <v>0</v>
      </c>
      <c r="AC305">
        <f>AND(IF(Metadata!J305="",FALSE,TRUE),exact(Metadata!J305,"655179"))</f>
        <v>0</v>
      </c>
    </row>
    <row r="306" spans="1:29">
      <c r="A306" s="5">
        <f>IF(B306=" "," ",HYPERLINK(CONCATENATE("#metadata!",ADDRESS(INDEX($P$2:$P$1001,MATCH(ROWS($N$2:N306),$N$2:$N$1001,0),0),1)),INDEX($S$2:$S$1001,MATCH(ROWS($N$2:N306),$N$2:$N$1001,0),0)))</f>
        <v>0</v>
      </c>
      <c r="B306" s="4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4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4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4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4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4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4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4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4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OR(AND(IF(Metadata!C306="",FALSE,TRUE),OR(exact(Metadata!C306,"not applicable"),exact(Metadata!C306,"not collected"),exact(Metadata!C306,"not provided"),exact(Metadata!C306,"restricted access"))),IF(Metadata!C306="",FALSE,ISNUMBER(VALUE(Metadata!C306))))</f>
        <v>0</v>
      </c>
      <c r="W306">
        <f>AND(IF(Metadata!D306="",FALSE,TRUE),exact(Metadata!D306,"m"))</f>
        <v>0</v>
      </c>
      <c r="X306">
        <f>AND(IF(Metadata!E306="",FALSE,TRUE),OR(exact(Metadata!E306,"aerosol (non-saline)"),exact(Metadata!E306,"aerosol (saline)")))</f>
        <v>0</v>
      </c>
      <c r="Y306">
        <f>AND(IF(Metadata!F306="",FALSE,TRUE),exact(Metadata!F306,"air"))</f>
        <v>0</v>
      </c>
      <c r="Z306">
        <f>AND(IF(Metadata!G306="",FALSE,TRUE),exact(Metadata!G306,"air"))</f>
        <v>0</v>
      </c>
      <c r="AA306">
        <f>AND(IF(Metadata!H306="",FALSE,TRUE),exact(Metadata!H306,"air"))</f>
        <v>0</v>
      </c>
      <c r="AB306">
        <f>AND(IF(Metadata!I306="",FALSE,TRUE),exact(Metadata!I306,"air metagenome"))</f>
        <v>0</v>
      </c>
      <c r="AC306">
        <f>AND(IF(Metadata!J306="",FALSE,TRUE),exact(Metadata!J306,"655179"))</f>
        <v>0</v>
      </c>
    </row>
    <row r="307" spans="1:29">
      <c r="A307" s="5">
        <f>IF(B307=" "," ",HYPERLINK(CONCATENATE("#metadata!",ADDRESS(INDEX($P$2:$P$1001,MATCH(ROWS($N$2:N307),$N$2:$N$1001,0),0),1)),INDEX($S$2:$S$1001,MATCH(ROWS($N$2:N307),$N$2:$N$1001,0),0)))</f>
        <v>0</v>
      </c>
      <c r="B307" s="4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4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4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4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4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4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4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4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4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OR(AND(IF(Metadata!C307="",FALSE,TRUE),OR(exact(Metadata!C307,"not applicable"),exact(Metadata!C307,"not collected"),exact(Metadata!C307,"not provided"),exact(Metadata!C307,"restricted access"))),IF(Metadata!C307="",FALSE,ISNUMBER(VALUE(Metadata!C307))))</f>
        <v>0</v>
      </c>
      <c r="W307">
        <f>AND(IF(Metadata!D307="",FALSE,TRUE),exact(Metadata!D307,"m"))</f>
        <v>0</v>
      </c>
      <c r="X307">
        <f>AND(IF(Metadata!E307="",FALSE,TRUE),OR(exact(Metadata!E307,"aerosol (non-saline)"),exact(Metadata!E307,"aerosol (saline)")))</f>
        <v>0</v>
      </c>
      <c r="Y307">
        <f>AND(IF(Metadata!F307="",FALSE,TRUE),exact(Metadata!F307,"air"))</f>
        <v>0</v>
      </c>
      <c r="Z307">
        <f>AND(IF(Metadata!G307="",FALSE,TRUE),exact(Metadata!G307,"air"))</f>
        <v>0</v>
      </c>
      <c r="AA307">
        <f>AND(IF(Metadata!H307="",FALSE,TRUE),exact(Metadata!H307,"air"))</f>
        <v>0</v>
      </c>
      <c r="AB307">
        <f>AND(IF(Metadata!I307="",FALSE,TRUE),exact(Metadata!I307,"air metagenome"))</f>
        <v>0</v>
      </c>
      <c r="AC307">
        <f>AND(IF(Metadata!J307="",FALSE,TRUE),exact(Metadata!J307,"655179"))</f>
        <v>0</v>
      </c>
    </row>
    <row r="308" spans="1:29">
      <c r="A308" s="5">
        <f>IF(B308=" "," ",HYPERLINK(CONCATENATE("#metadata!",ADDRESS(INDEX($P$2:$P$1001,MATCH(ROWS($N$2:N308),$N$2:$N$1001,0),0),1)),INDEX($S$2:$S$1001,MATCH(ROWS($N$2:N308),$N$2:$N$1001,0),0)))</f>
        <v>0</v>
      </c>
      <c r="B308" s="4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4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4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4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4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4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4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4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4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OR(AND(IF(Metadata!C308="",FALSE,TRUE),OR(exact(Metadata!C308,"not applicable"),exact(Metadata!C308,"not collected"),exact(Metadata!C308,"not provided"),exact(Metadata!C308,"restricted access"))),IF(Metadata!C308="",FALSE,ISNUMBER(VALUE(Metadata!C308))))</f>
        <v>0</v>
      </c>
      <c r="W308">
        <f>AND(IF(Metadata!D308="",FALSE,TRUE),exact(Metadata!D308,"m"))</f>
        <v>0</v>
      </c>
      <c r="X308">
        <f>AND(IF(Metadata!E308="",FALSE,TRUE),OR(exact(Metadata!E308,"aerosol (non-saline)"),exact(Metadata!E308,"aerosol (saline)")))</f>
        <v>0</v>
      </c>
      <c r="Y308">
        <f>AND(IF(Metadata!F308="",FALSE,TRUE),exact(Metadata!F308,"air"))</f>
        <v>0</v>
      </c>
      <c r="Z308">
        <f>AND(IF(Metadata!G308="",FALSE,TRUE),exact(Metadata!G308,"air"))</f>
        <v>0</v>
      </c>
      <c r="AA308">
        <f>AND(IF(Metadata!H308="",FALSE,TRUE),exact(Metadata!H308,"air"))</f>
        <v>0</v>
      </c>
      <c r="AB308">
        <f>AND(IF(Metadata!I308="",FALSE,TRUE),exact(Metadata!I308,"air metagenome"))</f>
        <v>0</v>
      </c>
      <c r="AC308">
        <f>AND(IF(Metadata!J308="",FALSE,TRUE),exact(Metadata!J308,"655179"))</f>
        <v>0</v>
      </c>
    </row>
    <row r="309" spans="1:29">
      <c r="A309" s="5">
        <f>IF(B309=" "," ",HYPERLINK(CONCATENATE("#metadata!",ADDRESS(INDEX($P$2:$P$1001,MATCH(ROWS($N$2:N309),$N$2:$N$1001,0),0),1)),INDEX($S$2:$S$1001,MATCH(ROWS($N$2:N309),$N$2:$N$1001,0),0)))</f>
        <v>0</v>
      </c>
      <c r="B309" s="4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4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4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4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4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4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4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4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4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OR(AND(IF(Metadata!C309="",FALSE,TRUE),OR(exact(Metadata!C309,"not applicable"),exact(Metadata!C309,"not collected"),exact(Metadata!C309,"not provided"),exact(Metadata!C309,"restricted access"))),IF(Metadata!C309="",FALSE,ISNUMBER(VALUE(Metadata!C309))))</f>
        <v>0</v>
      </c>
      <c r="W309">
        <f>AND(IF(Metadata!D309="",FALSE,TRUE),exact(Metadata!D309,"m"))</f>
        <v>0</v>
      </c>
      <c r="X309">
        <f>AND(IF(Metadata!E309="",FALSE,TRUE),OR(exact(Metadata!E309,"aerosol (non-saline)"),exact(Metadata!E309,"aerosol (saline)")))</f>
        <v>0</v>
      </c>
      <c r="Y309">
        <f>AND(IF(Metadata!F309="",FALSE,TRUE),exact(Metadata!F309,"air"))</f>
        <v>0</v>
      </c>
      <c r="Z309">
        <f>AND(IF(Metadata!G309="",FALSE,TRUE),exact(Metadata!G309,"air"))</f>
        <v>0</v>
      </c>
      <c r="AA309">
        <f>AND(IF(Metadata!H309="",FALSE,TRUE),exact(Metadata!H309,"air"))</f>
        <v>0</v>
      </c>
      <c r="AB309">
        <f>AND(IF(Metadata!I309="",FALSE,TRUE),exact(Metadata!I309,"air metagenome"))</f>
        <v>0</v>
      </c>
      <c r="AC309">
        <f>AND(IF(Metadata!J309="",FALSE,TRUE),exact(Metadata!J309,"655179"))</f>
        <v>0</v>
      </c>
    </row>
    <row r="310" spans="1:29">
      <c r="A310" s="5">
        <f>IF(B310=" "," ",HYPERLINK(CONCATENATE("#metadata!",ADDRESS(INDEX($P$2:$P$1001,MATCH(ROWS($N$2:N310),$N$2:$N$1001,0),0),1)),INDEX($S$2:$S$1001,MATCH(ROWS($N$2:N310),$N$2:$N$1001,0),0)))</f>
        <v>0</v>
      </c>
      <c r="B310" s="4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4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4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4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4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4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4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4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4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OR(AND(IF(Metadata!C310="",FALSE,TRUE),OR(exact(Metadata!C310,"not applicable"),exact(Metadata!C310,"not collected"),exact(Metadata!C310,"not provided"),exact(Metadata!C310,"restricted access"))),IF(Metadata!C310="",FALSE,ISNUMBER(VALUE(Metadata!C310))))</f>
        <v>0</v>
      </c>
      <c r="W310">
        <f>AND(IF(Metadata!D310="",FALSE,TRUE),exact(Metadata!D310,"m"))</f>
        <v>0</v>
      </c>
      <c r="X310">
        <f>AND(IF(Metadata!E310="",FALSE,TRUE),OR(exact(Metadata!E310,"aerosol (non-saline)"),exact(Metadata!E310,"aerosol (saline)")))</f>
        <v>0</v>
      </c>
      <c r="Y310">
        <f>AND(IF(Metadata!F310="",FALSE,TRUE),exact(Metadata!F310,"air"))</f>
        <v>0</v>
      </c>
      <c r="Z310">
        <f>AND(IF(Metadata!G310="",FALSE,TRUE),exact(Metadata!G310,"air"))</f>
        <v>0</v>
      </c>
      <c r="AA310">
        <f>AND(IF(Metadata!H310="",FALSE,TRUE),exact(Metadata!H310,"air"))</f>
        <v>0</v>
      </c>
      <c r="AB310">
        <f>AND(IF(Metadata!I310="",FALSE,TRUE),exact(Metadata!I310,"air metagenome"))</f>
        <v>0</v>
      </c>
      <c r="AC310">
        <f>AND(IF(Metadata!J310="",FALSE,TRUE),exact(Metadata!J310,"655179"))</f>
        <v>0</v>
      </c>
    </row>
    <row r="311" spans="1:29">
      <c r="A311" s="5">
        <f>IF(B311=" "," ",HYPERLINK(CONCATENATE("#metadata!",ADDRESS(INDEX($P$2:$P$1001,MATCH(ROWS($N$2:N311),$N$2:$N$1001,0),0),1)),INDEX($S$2:$S$1001,MATCH(ROWS($N$2:N311),$N$2:$N$1001,0),0)))</f>
        <v>0</v>
      </c>
      <c r="B311" s="4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4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4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4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4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4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4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4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4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OR(AND(IF(Metadata!C311="",FALSE,TRUE),OR(exact(Metadata!C311,"not applicable"),exact(Metadata!C311,"not collected"),exact(Metadata!C311,"not provided"),exact(Metadata!C311,"restricted access"))),IF(Metadata!C311="",FALSE,ISNUMBER(VALUE(Metadata!C311))))</f>
        <v>0</v>
      </c>
      <c r="W311">
        <f>AND(IF(Metadata!D311="",FALSE,TRUE),exact(Metadata!D311,"m"))</f>
        <v>0</v>
      </c>
      <c r="X311">
        <f>AND(IF(Metadata!E311="",FALSE,TRUE),OR(exact(Metadata!E311,"aerosol (non-saline)"),exact(Metadata!E311,"aerosol (saline)")))</f>
        <v>0</v>
      </c>
      <c r="Y311">
        <f>AND(IF(Metadata!F311="",FALSE,TRUE),exact(Metadata!F311,"air"))</f>
        <v>0</v>
      </c>
      <c r="Z311">
        <f>AND(IF(Metadata!G311="",FALSE,TRUE),exact(Metadata!G311,"air"))</f>
        <v>0</v>
      </c>
      <c r="AA311">
        <f>AND(IF(Metadata!H311="",FALSE,TRUE),exact(Metadata!H311,"air"))</f>
        <v>0</v>
      </c>
      <c r="AB311">
        <f>AND(IF(Metadata!I311="",FALSE,TRUE),exact(Metadata!I311,"air metagenome"))</f>
        <v>0</v>
      </c>
      <c r="AC311">
        <f>AND(IF(Metadata!J311="",FALSE,TRUE),exact(Metadata!J311,"655179"))</f>
        <v>0</v>
      </c>
    </row>
    <row r="312" spans="1:29">
      <c r="A312" s="5">
        <f>IF(B312=" "," ",HYPERLINK(CONCATENATE("#metadata!",ADDRESS(INDEX($P$2:$P$1001,MATCH(ROWS($N$2:N312),$N$2:$N$1001,0),0),1)),INDEX($S$2:$S$1001,MATCH(ROWS($N$2:N312),$N$2:$N$1001,0),0)))</f>
        <v>0</v>
      </c>
      <c r="B312" s="4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4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4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4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4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4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4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4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4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OR(AND(IF(Metadata!C312="",FALSE,TRUE),OR(exact(Metadata!C312,"not applicable"),exact(Metadata!C312,"not collected"),exact(Metadata!C312,"not provided"),exact(Metadata!C312,"restricted access"))),IF(Metadata!C312="",FALSE,ISNUMBER(VALUE(Metadata!C312))))</f>
        <v>0</v>
      </c>
      <c r="W312">
        <f>AND(IF(Metadata!D312="",FALSE,TRUE),exact(Metadata!D312,"m"))</f>
        <v>0</v>
      </c>
      <c r="X312">
        <f>AND(IF(Metadata!E312="",FALSE,TRUE),OR(exact(Metadata!E312,"aerosol (non-saline)"),exact(Metadata!E312,"aerosol (saline)")))</f>
        <v>0</v>
      </c>
      <c r="Y312">
        <f>AND(IF(Metadata!F312="",FALSE,TRUE),exact(Metadata!F312,"air"))</f>
        <v>0</v>
      </c>
      <c r="Z312">
        <f>AND(IF(Metadata!G312="",FALSE,TRUE),exact(Metadata!G312,"air"))</f>
        <v>0</v>
      </c>
      <c r="AA312">
        <f>AND(IF(Metadata!H312="",FALSE,TRUE),exact(Metadata!H312,"air"))</f>
        <v>0</v>
      </c>
      <c r="AB312">
        <f>AND(IF(Metadata!I312="",FALSE,TRUE),exact(Metadata!I312,"air metagenome"))</f>
        <v>0</v>
      </c>
      <c r="AC312">
        <f>AND(IF(Metadata!J312="",FALSE,TRUE),exact(Metadata!J312,"655179"))</f>
        <v>0</v>
      </c>
    </row>
    <row r="313" spans="1:29">
      <c r="A313" s="5">
        <f>IF(B313=" "," ",HYPERLINK(CONCATENATE("#metadata!",ADDRESS(INDEX($P$2:$P$1001,MATCH(ROWS($N$2:N313),$N$2:$N$1001,0),0),1)),INDEX($S$2:$S$1001,MATCH(ROWS($N$2:N313),$N$2:$N$1001,0),0)))</f>
        <v>0</v>
      </c>
      <c r="B313" s="4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4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4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4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4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4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4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4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4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OR(AND(IF(Metadata!C313="",FALSE,TRUE),OR(exact(Metadata!C313,"not applicable"),exact(Metadata!C313,"not collected"),exact(Metadata!C313,"not provided"),exact(Metadata!C313,"restricted access"))),IF(Metadata!C313="",FALSE,ISNUMBER(VALUE(Metadata!C313))))</f>
        <v>0</v>
      </c>
      <c r="W313">
        <f>AND(IF(Metadata!D313="",FALSE,TRUE),exact(Metadata!D313,"m"))</f>
        <v>0</v>
      </c>
      <c r="X313">
        <f>AND(IF(Metadata!E313="",FALSE,TRUE),OR(exact(Metadata!E313,"aerosol (non-saline)"),exact(Metadata!E313,"aerosol (saline)")))</f>
        <v>0</v>
      </c>
      <c r="Y313">
        <f>AND(IF(Metadata!F313="",FALSE,TRUE),exact(Metadata!F313,"air"))</f>
        <v>0</v>
      </c>
      <c r="Z313">
        <f>AND(IF(Metadata!G313="",FALSE,TRUE),exact(Metadata!G313,"air"))</f>
        <v>0</v>
      </c>
      <c r="AA313">
        <f>AND(IF(Metadata!H313="",FALSE,TRUE),exact(Metadata!H313,"air"))</f>
        <v>0</v>
      </c>
      <c r="AB313">
        <f>AND(IF(Metadata!I313="",FALSE,TRUE),exact(Metadata!I313,"air metagenome"))</f>
        <v>0</v>
      </c>
      <c r="AC313">
        <f>AND(IF(Metadata!J313="",FALSE,TRUE),exact(Metadata!J313,"655179"))</f>
        <v>0</v>
      </c>
    </row>
    <row r="314" spans="1:29">
      <c r="A314" s="5">
        <f>IF(B314=" "," ",HYPERLINK(CONCATENATE("#metadata!",ADDRESS(INDEX($P$2:$P$1001,MATCH(ROWS($N$2:N314),$N$2:$N$1001,0),0),1)),INDEX($S$2:$S$1001,MATCH(ROWS($N$2:N314),$N$2:$N$1001,0),0)))</f>
        <v>0</v>
      </c>
      <c r="B314" s="4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4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4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4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4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4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4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4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4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OR(AND(IF(Metadata!C314="",FALSE,TRUE),OR(exact(Metadata!C314,"not applicable"),exact(Metadata!C314,"not collected"),exact(Metadata!C314,"not provided"),exact(Metadata!C314,"restricted access"))),IF(Metadata!C314="",FALSE,ISNUMBER(VALUE(Metadata!C314))))</f>
        <v>0</v>
      </c>
      <c r="W314">
        <f>AND(IF(Metadata!D314="",FALSE,TRUE),exact(Metadata!D314,"m"))</f>
        <v>0</v>
      </c>
      <c r="X314">
        <f>AND(IF(Metadata!E314="",FALSE,TRUE),OR(exact(Metadata!E314,"aerosol (non-saline)"),exact(Metadata!E314,"aerosol (saline)")))</f>
        <v>0</v>
      </c>
      <c r="Y314">
        <f>AND(IF(Metadata!F314="",FALSE,TRUE),exact(Metadata!F314,"air"))</f>
        <v>0</v>
      </c>
      <c r="Z314">
        <f>AND(IF(Metadata!G314="",FALSE,TRUE),exact(Metadata!G314,"air"))</f>
        <v>0</v>
      </c>
      <c r="AA314">
        <f>AND(IF(Metadata!H314="",FALSE,TRUE),exact(Metadata!H314,"air"))</f>
        <v>0</v>
      </c>
      <c r="AB314">
        <f>AND(IF(Metadata!I314="",FALSE,TRUE),exact(Metadata!I314,"air metagenome"))</f>
        <v>0</v>
      </c>
      <c r="AC314">
        <f>AND(IF(Metadata!J314="",FALSE,TRUE),exact(Metadata!J314,"655179"))</f>
        <v>0</v>
      </c>
    </row>
    <row r="315" spans="1:29">
      <c r="A315" s="5">
        <f>IF(B315=" "," ",HYPERLINK(CONCATENATE("#metadata!",ADDRESS(INDEX($P$2:$P$1001,MATCH(ROWS($N$2:N315),$N$2:$N$1001,0),0),1)),INDEX($S$2:$S$1001,MATCH(ROWS($N$2:N315),$N$2:$N$1001,0),0)))</f>
        <v>0</v>
      </c>
      <c r="B315" s="4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4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4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4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4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4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4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4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4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OR(AND(IF(Metadata!C315="",FALSE,TRUE),OR(exact(Metadata!C315,"not applicable"),exact(Metadata!C315,"not collected"),exact(Metadata!C315,"not provided"),exact(Metadata!C315,"restricted access"))),IF(Metadata!C315="",FALSE,ISNUMBER(VALUE(Metadata!C315))))</f>
        <v>0</v>
      </c>
      <c r="W315">
        <f>AND(IF(Metadata!D315="",FALSE,TRUE),exact(Metadata!D315,"m"))</f>
        <v>0</v>
      </c>
      <c r="X315">
        <f>AND(IF(Metadata!E315="",FALSE,TRUE),OR(exact(Metadata!E315,"aerosol (non-saline)"),exact(Metadata!E315,"aerosol (saline)")))</f>
        <v>0</v>
      </c>
      <c r="Y315">
        <f>AND(IF(Metadata!F315="",FALSE,TRUE),exact(Metadata!F315,"air"))</f>
        <v>0</v>
      </c>
      <c r="Z315">
        <f>AND(IF(Metadata!G315="",FALSE,TRUE),exact(Metadata!G315,"air"))</f>
        <v>0</v>
      </c>
      <c r="AA315">
        <f>AND(IF(Metadata!H315="",FALSE,TRUE),exact(Metadata!H315,"air"))</f>
        <v>0</v>
      </c>
      <c r="AB315">
        <f>AND(IF(Metadata!I315="",FALSE,TRUE),exact(Metadata!I315,"air metagenome"))</f>
        <v>0</v>
      </c>
      <c r="AC315">
        <f>AND(IF(Metadata!J315="",FALSE,TRUE),exact(Metadata!J315,"655179"))</f>
        <v>0</v>
      </c>
    </row>
    <row r="316" spans="1:29">
      <c r="A316" s="5">
        <f>IF(B316=" "," ",HYPERLINK(CONCATENATE("#metadata!",ADDRESS(INDEX($P$2:$P$1001,MATCH(ROWS($N$2:N316),$N$2:$N$1001,0),0),1)),INDEX($S$2:$S$1001,MATCH(ROWS($N$2:N316),$N$2:$N$1001,0),0)))</f>
        <v>0</v>
      </c>
      <c r="B316" s="4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4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4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4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4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4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4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4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4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OR(AND(IF(Metadata!C316="",FALSE,TRUE),OR(exact(Metadata!C316,"not applicable"),exact(Metadata!C316,"not collected"),exact(Metadata!C316,"not provided"),exact(Metadata!C316,"restricted access"))),IF(Metadata!C316="",FALSE,ISNUMBER(VALUE(Metadata!C316))))</f>
        <v>0</v>
      </c>
      <c r="W316">
        <f>AND(IF(Metadata!D316="",FALSE,TRUE),exact(Metadata!D316,"m"))</f>
        <v>0</v>
      </c>
      <c r="X316">
        <f>AND(IF(Metadata!E316="",FALSE,TRUE),OR(exact(Metadata!E316,"aerosol (non-saline)"),exact(Metadata!E316,"aerosol (saline)")))</f>
        <v>0</v>
      </c>
      <c r="Y316">
        <f>AND(IF(Metadata!F316="",FALSE,TRUE),exact(Metadata!F316,"air"))</f>
        <v>0</v>
      </c>
      <c r="Z316">
        <f>AND(IF(Metadata!G316="",FALSE,TRUE),exact(Metadata!G316,"air"))</f>
        <v>0</v>
      </c>
      <c r="AA316">
        <f>AND(IF(Metadata!H316="",FALSE,TRUE),exact(Metadata!H316,"air"))</f>
        <v>0</v>
      </c>
      <c r="AB316">
        <f>AND(IF(Metadata!I316="",FALSE,TRUE),exact(Metadata!I316,"air metagenome"))</f>
        <v>0</v>
      </c>
      <c r="AC316">
        <f>AND(IF(Metadata!J316="",FALSE,TRUE),exact(Metadata!J316,"655179"))</f>
        <v>0</v>
      </c>
    </row>
    <row r="317" spans="1:29">
      <c r="A317" s="5">
        <f>IF(B317=" "," ",HYPERLINK(CONCATENATE("#metadata!",ADDRESS(INDEX($P$2:$P$1001,MATCH(ROWS($N$2:N317),$N$2:$N$1001,0),0),1)),INDEX($S$2:$S$1001,MATCH(ROWS($N$2:N317),$N$2:$N$1001,0),0)))</f>
        <v>0</v>
      </c>
      <c r="B317" s="4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4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4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4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4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4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4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4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4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OR(AND(IF(Metadata!C317="",FALSE,TRUE),OR(exact(Metadata!C317,"not applicable"),exact(Metadata!C317,"not collected"),exact(Metadata!C317,"not provided"),exact(Metadata!C317,"restricted access"))),IF(Metadata!C317="",FALSE,ISNUMBER(VALUE(Metadata!C317))))</f>
        <v>0</v>
      </c>
      <c r="W317">
        <f>AND(IF(Metadata!D317="",FALSE,TRUE),exact(Metadata!D317,"m"))</f>
        <v>0</v>
      </c>
      <c r="X317">
        <f>AND(IF(Metadata!E317="",FALSE,TRUE),OR(exact(Metadata!E317,"aerosol (non-saline)"),exact(Metadata!E317,"aerosol (saline)")))</f>
        <v>0</v>
      </c>
      <c r="Y317">
        <f>AND(IF(Metadata!F317="",FALSE,TRUE),exact(Metadata!F317,"air"))</f>
        <v>0</v>
      </c>
      <c r="Z317">
        <f>AND(IF(Metadata!G317="",FALSE,TRUE),exact(Metadata!G317,"air"))</f>
        <v>0</v>
      </c>
      <c r="AA317">
        <f>AND(IF(Metadata!H317="",FALSE,TRUE),exact(Metadata!H317,"air"))</f>
        <v>0</v>
      </c>
      <c r="AB317">
        <f>AND(IF(Metadata!I317="",FALSE,TRUE),exact(Metadata!I317,"air metagenome"))</f>
        <v>0</v>
      </c>
      <c r="AC317">
        <f>AND(IF(Metadata!J317="",FALSE,TRUE),exact(Metadata!J317,"655179"))</f>
        <v>0</v>
      </c>
    </row>
    <row r="318" spans="1:29">
      <c r="A318" s="5">
        <f>IF(B318=" "," ",HYPERLINK(CONCATENATE("#metadata!",ADDRESS(INDEX($P$2:$P$1001,MATCH(ROWS($N$2:N318),$N$2:$N$1001,0),0),1)),INDEX($S$2:$S$1001,MATCH(ROWS($N$2:N318),$N$2:$N$1001,0),0)))</f>
        <v>0</v>
      </c>
      <c r="B318" s="4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4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4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4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4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4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4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4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4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OR(AND(IF(Metadata!C318="",FALSE,TRUE),OR(exact(Metadata!C318,"not applicable"),exact(Metadata!C318,"not collected"),exact(Metadata!C318,"not provided"),exact(Metadata!C318,"restricted access"))),IF(Metadata!C318="",FALSE,ISNUMBER(VALUE(Metadata!C318))))</f>
        <v>0</v>
      </c>
      <c r="W318">
        <f>AND(IF(Metadata!D318="",FALSE,TRUE),exact(Metadata!D318,"m"))</f>
        <v>0</v>
      </c>
      <c r="X318">
        <f>AND(IF(Metadata!E318="",FALSE,TRUE),OR(exact(Metadata!E318,"aerosol (non-saline)"),exact(Metadata!E318,"aerosol (saline)")))</f>
        <v>0</v>
      </c>
      <c r="Y318">
        <f>AND(IF(Metadata!F318="",FALSE,TRUE),exact(Metadata!F318,"air"))</f>
        <v>0</v>
      </c>
      <c r="Z318">
        <f>AND(IF(Metadata!G318="",FALSE,TRUE),exact(Metadata!G318,"air"))</f>
        <v>0</v>
      </c>
      <c r="AA318">
        <f>AND(IF(Metadata!H318="",FALSE,TRUE),exact(Metadata!H318,"air"))</f>
        <v>0</v>
      </c>
      <c r="AB318">
        <f>AND(IF(Metadata!I318="",FALSE,TRUE),exact(Metadata!I318,"air metagenome"))</f>
        <v>0</v>
      </c>
      <c r="AC318">
        <f>AND(IF(Metadata!J318="",FALSE,TRUE),exact(Metadata!J318,"655179"))</f>
        <v>0</v>
      </c>
    </row>
    <row r="319" spans="1:29">
      <c r="A319" s="5">
        <f>IF(B319=" "," ",HYPERLINK(CONCATENATE("#metadata!",ADDRESS(INDEX($P$2:$P$1001,MATCH(ROWS($N$2:N319),$N$2:$N$1001,0),0),1)),INDEX($S$2:$S$1001,MATCH(ROWS($N$2:N319),$N$2:$N$1001,0),0)))</f>
        <v>0</v>
      </c>
      <c r="B319" s="4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4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4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4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4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4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4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4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4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OR(AND(IF(Metadata!C319="",FALSE,TRUE),OR(exact(Metadata!C319,"not applicable"),exact(Metadata!C319,"not collected"),exact(Metadata!C319,"not provided"),exact(Metadata!C319,"restricted access"))),IF(Metadata!C319="",FALSE,ISNUMBER(VALUE(Metadata!C319))))</f>
        <v>0</v>
      </c>
      <c r="W319">
        <f>AND(IF(Metadata!D319="",FALSE,TRUE),exact(Metadata!D319,"m"))</f>
        <v>0</v>
      </c>
      <c r="X319">
        <f>AND(IF(Metadata!E319="",FALSE,TRUE),OR(exact(Metadata!E319,"aerosol (non-saline)"),exact(Metadata!E319,"aerosol (saline)")))</f>
        <v>0</v>
      </c>
      <c r="Y319">
        <f>AND(IF(Metadata!F319="",FALSE,TRUE),exact(Metadata!F319,"air"))</f>
        <v>0</v>
      </c>
      <c r="Z319">
        <f>AND(IF(Metadata!G319="",FALSE,TRUE),exact(Metadata!G319,"air"))</f>
        <v>0</v>
      </c>
      <c r="AA319">
        <f>AND(IF(Metadata!H319="",FALSE,TRUE),exact(Metadata!H319,"air"))</f>
        <v>0</v>
      </c>
      <c r="AB319">
        <f>AND(IF(Metadata!I319="",FALSE,TRUE),exact(Metadata!I319,"air metagenome"))</f>
        <v>0</v>
      </c>
      <c r="AC319">
        <f>AND(IF(Metadata!J319="",FALSE,TRUE),exact(Metadata!J319,"655179"))</f>
        <v>0</v>
      </c>
    </row>
    <row r="320" spans="1:29">
      <c r="A320" s="5">
        <f>IF(B320=" "," ",HYPERLINK(CONCATENATE("#metadata!",ADDRESS(INDEX($P$2:$P$1001,MATCH(ROWS($N$2:N320),$N$2:$N$1001,0),0),1)),INDEX($S$2:$S$1001,MATCH(ROWS($N$2:N320),$N$2:$N$1001,0),0)))</f>
        <v>0</v>
      </c>
      <c r="B320" s="4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4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4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4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4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4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4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4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4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OR(AND(IF(Metadata!C320="",FALSE,TRUE),OR(exact(Metadata!C320,"not applicable"),exact(Metadata!C320,"not collected"),exact(Metadata!C320,"not provided"),exact(Metadata!C320,"restricted access"))),IF(Metadata!C320="",FALSE,ISNUMBER(VALUE(Metadata!C320))))</f>
        <v>0</v>
      </c>
      <c r="W320">
        <f>AND(IF(Metadata!D320="",FALSE,TRUE),exact(Metadata!D320,"m"))</f>
        <v>0</v>
      </c>
      <c r="X320">
        <f>AND(IF(Metadata!E320="",FALSE,TRUE),OR(exact(Metadata!E320,"aerosol (non-saline)"),exact(Metadata!E320,"aerosol (saline)")))</f>
        <v>0</v>
      </c>
      <c r="Y320">
        <f>AND(IF(Metadata!F320="",FALSE,TRUE),exact(Metadata!F320,"air"))</f>
        <v>0</v>
      </c>
      <c r="Z320">
        <f>AND(IF(Metadata!G320="",FALSE,TRUE),exact(Metadata!G320,"air"))</f>
        <v>0</v>
      </c>
      <c r="AA320">
        <f>AND(IF(Metadata!H320="",FALSE,TRUE),exact(Metadata!H320,"air"))</f>
        <v>0</v>
      </c>
      <c r="AB320">
        <f>AND(IF(Metadata!I320="",FALSE,TRUE),exact(Metadata!I320,"air metagenome"))</f>
        <v>0</v>
      </c>
      <c r="AC320">
        <f>AND(IF(Metadata!J320="",FALSE,TRUE),exact(Metadata!J320,"655179"))</f>
        <v>0</v>
      </c>
    </row>
    <row r="321" spans="1:29">
      <c r="A321" s="5">
        <f>IF(B321=" "," ",HYPERLINK(CONCATENATE("#metadata!",ADDRESS(INDEX($P$2:$P$1001,MATCH(ROWS($N$2:N321),$N$2:$N$1001,0),0),1)),INDEX($S$2:$S$1001,MATCH(ROWS($N$2:N321),$N$2:$N$1001,0),0)))</f>
        <v>0</v>
      </c>
      <c r="B321" s="4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4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4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4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4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4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4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4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4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OR(AND(IF(Metadata!C321="",FALSE,TRUE),OR(exact(Metadata!C321,"not applicable"),exact(Metadata!C321,"not collected"),exact(Metadata!C321,"not provided"),exact(Metadata!C321,"restricted access"))),IF(Metadata!C321="",FALSE,ISNUMBER(VALUE(Metadata!C321))))</f>
        <v>0</v>
      </c>
      <c r="W321">
        <f>AND(IF(Metadata!D321="",FALSE,TRUE),exact(Metadata!D321,"m"))</f>
        <v>0</v>
      </c>
      <c r="X321">
        <f>AND(IF(Metadata!E321="",FALSE,TRUE),OR(exact(Metadata!E321,"aerosol (non-saline)"),exact(Metadata!E321,"aerosol (saline)")))</f>
        <v>0</v>
      </c>
      <c r="Y321">
        <f>AND(IF(Metadata!F321="",FALSE,TRUE),exact(Metadata!F321,"air"))</f>
        <v>0</v>
      </c>
      <c r="Z321">
        <f>AND(IF(Metadata!G321="",FALSE,TRUE),exact(Metadata!G321,"air"))</f>
        <v>0</v>
      </c>
      <c r="AA321">
        <f>AND(IF(Metadata!H321="",FALSE,TRUE),exact(Metadata!H321,"air"))</f>
        <v>0</v>
      </c>
      <c r="AB321">
        <f>AND(IF(Metadata!I321="",FALSE,TRUE),exact(Metadata!I321,"air metagenome"))</f>
        <v>0</v>
      </c>
      <c r="AC321">
        <f>AND(IF(Metadata!J321="",FALSE,TRUE),exact(Metadata!J321,"655179"))</f>
        <v>0</v>
      </c>
    </row>
    <row r="322" spans="1:29">
      <c r="A322" s="5">
        <f>IF(B322=" "," ",HYPERLINK(CONCATENATE("#metadata!",ADDRESS(INDEX($P$2:$P$1001,MATCH(ROWS($N$2:N322),$N$2:$N$1001,0),0),1)),INDEX($S$2:$S$1001,MATCH(ROWS($N$2:N322),$N$2:$N$1001,0),0)))</f>
        <v>0</v>
      </c>
      <c r="B322" s="4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4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4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4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4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4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4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4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4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OR(AND(IF(Metadata!C322="",FALSE,TRUE),OR(exact(Metadata!C322,"not applicable"),exact(Metadata!C322,"not collected"),exact(Metadata!C322,"not provided"),exact(Metadata!C322,"restricted access"))),IF(Metadata!C322="",FALSE,ISNUMBER(VALUE(Metadata!C322))))</f>
        <v>0</v>
      </c>
      <c r="W322">
        <f>AND(IF(Metadata!D322="",FALSE,TRUE),exact(Metadata!D322,"m"))</f>
        <v>0</v>
      </c>
      <c r="X322">
        <f>AND(IF(Metadata!E322="",FALSE,TRUE),OR(exact(Metadata!E322,"aerosol (non-saline)"),exact(Metadata!E322,"aerosol (saline)")))</f>
        <v>0</v>
      </c>
      <c r="Y322">
        <f>AND(IF(Metadata!F322="",FALSE,TRUE),exact(Metadata!F322,"air"))</f>
        <v>0</v>
      </c>
      <c r="Z322">
        <f>AND(IF(Metadata!G322="",FALSE,TRUE),exact(Metadata!G322,"air"))</f>
        <v>0</v>
      </c>
      <c r="AA322">
        <f>AND(IF(Metadata!H322="",FALSE,TRUE),exact(Metadata!H322,"air"))</f>
        <v>0</v>
      </c>
      <c r="AB322">
        <f>AND(IF(Metadata!I322="",FALSE,TRUE),exact(Metadata!I322,"air metagenome"))</f>
        <v>0</v>
      </c>
      <c r="AC322">
        <f>AND(IF(Metadata!J322="",FALSE,TRUE),exact(Metadata!J322,"655179"))</f>
        <v>0</v>
      </c>
    </row>
    <row r="323" spans="1:29">
      <c r="A323" s="5">
        <f>IF(B323=" "," ",HYPERLINK(CONCATENATE("#metadata!",ADDRESS(INDEX($P$2:$P$1001,MATCH(ROWS($N$2:N323),$N$2:$N$1001,0),0),1)),INDEX($S$2:$S$1001,MATCH(ROWS($N$2:N323),$N$2:$N$1001,0),0)))</f>
        <v>0</v>
      </c>
      <c r="B323" s="4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4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4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4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4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4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4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4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4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OR(AND(IF(Metadata!C323="",FALSE,TRUE),OR(exact(Metadata!C323,"not applicable"),exact(Metadata!C323,"not collected"),exact(Metadata!C323,"not provided"),exact(Metadata!C323,"restricted access"))),IF(Metadata!C323="",FALSE,ISNUMBER(VALUE(Metadata!C323))))</f>
        <v>0</v>
      </c>
      <c r="W323">
        <f>AND(IF(Metadata!D323="",FALSE,TRUE),exact(Metadata!D323,"m"))</f>
        <v>0</v>
      </c>
      <c r="X323">
        <f>AND(IF(Metadata!E323="",FALSE,TRUE),OR(exact(Metadata!E323,"aerosol (non-saline)"),exact(Metadata!E323,"aerosol (saline)")))</f>
        <v>0</v>
      </c>
      <c r="Y323">
        <f>AND(IF(Metadata!F323="",FALSE,TRUE),exact(Metadata!F323,"air"))</f>
        <v>0</v>
      </c>
      <c r="Z323">
        <f>AND(IF(Metadata!G323="",FALSE,TRUE),exact(Metadata!G323,"air"))</f>
        <v>0</v>
      </c>
      <c r="AA323">
        <f>AND(IF(Metadata!H323="",FALSE,TRUE),exact(Metadata!H323,"air"))</f>
        <v>0</v>
      </c>
      <c r="AB323">
        <f>AND(IF(Metadata!I323="",FALSE,TRUE),exact(Metadata!I323,"air metagenome"))</f>
        <v>0</v>
      </c>
      <c r="AC323">
        <f>AND(IF(Metadata!J323="",FALSE,TRUE),exact(Metadata!J323,"655179"))</f>
        <v>0</v>
      </c>
    </row>
    <row r="324" spans="1:29">
      <c r="A324" s="5">
        <f>IF(B324=" "," ",HYPERLINK(CONCATENATE("#metadata!",ADDRESS(INDEX($P$2:$P$1001,MATCH(ROWS($N$2:N324),$N$2:$N$1001,0),0),1)),INDEX($S$2:$S$1001,MATCH(ROWS($N$2:N324),$N$2:$N$1001,0),0)))</f>
        <v>0</v>
      </c>
      <c r="B324" s="4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4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4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4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4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4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4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4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4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OR(AND(IF(Metadata!C324="",FALSE,TRUE),OR(exact(Metadata!C324,"not applicable"),exact(Metadata!C324,"not collected"),exact(Metadata!C324,"not provided"),exact(Metadata!C324,"restricted access"))),IF(Metadata!C324="",FALSE,ISNUMBER(VALUE(Metadata!C324))))</f>
        <v>0</v>
      </c>
      <c r="W324">
        <f>AND(IF(Metadata!D324="",FALSE,TRUE),exact(Metadata!D324,"m"))</f>
        <v>0</v>
      </c>
      <c r="X324">
        <f>AND(IF(Metadata!E324="",FALSE,TRUE),OR(exact(Metadata!E324,"aerosol (non-saline)"),exact(Metadata!E324,"aerosol (saline)")))</f>
        <v>0</v>
      </c>
      <c r="Y324">
        <f>AND(IF(Metadata!F324="",FALSE,TRUE),exact(Metadata!F324,"air"))</f>
        <v>0</v>
      </c>
      <c r="Z324">
        <f>AND(IF(Metadata!G324="",FALSE,TRUE),exact(Metadata!G324,"air"))</f>
        <v>0</v>
      </c>
      <c r="AA324">
        <f>AND(IF(Metadata!H324="",FALSE,TRUE),exact(Metadata!H324,"air"))</f>
        <v>0</v>
      </c>
      <c r="AB324">
        <f>AND(IF(Metadata!I324="",FALSE,TRUE),exact(Metadata!I324,"air metagenome"))</f>
        <v>0</v>
      </c>
      <c r="AC324">
        <f>AND(IF(Metadata!J324="",FALSE,TRUE),exact(Metadata!J324,"655179"))</f>
        <v>0</v>
      </c>
    </row>
    <row r="325" spans="1:29">
      <c r="A325" s="5">
        <f>IF(B325=" "," ",HYPERLINK(CONCATENATE("#metadata!",ADDRESS(INDEX($P$2:$P$1001,MATCH(ROWS($N$2:N325),$N$2:$N$1001,0),0),1)),INDEX($S$2:$S$1001,MATCH(ROWS($N$2:N325),$N$2:$N$1001,0),0)))</f>
        <v>0</v>
      </c>
      <c r="B325" s="4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4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4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4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4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4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4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4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4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OR(AND(IF(Metadata!C325="",FALSE,TRUE),OR(exact(Metadata!C325,"not applicable"),exact(Metadata!C325,"not collected"),exact(Metadata!C325,"not provided"),exact(Metadata!C325,"restricted access"))),IF(Metadata!C325="",FALSE,ISNUMBER(VALUE(Metadata!C325))))</f>
        <v>0</v>
      </c>
      <c r="W325">
        <f>AND(IF(Metadata!D325="",FALSE,TRUE),exact(Metadata!D325,"m"))</f>
        <v>0</v>
      </c>
      <c r="X325">
        <f>AND(IF(Metadata!E325="",FALSE,TRUE),OR(exact(Metadata!E325,"aerosol (non-saline)"),exact(Metadata!E325,"aerosol (saline)")))</f>
        <v>0</v>
      </c>
      <c r="Y325">
        <f>AND(IF(Metadata!F325="",FALSE,TRUE),exact(Metadata!F325,"air"))</f>
        <v>0</v>
      </c>
      <c r="Z325">
        <f>AND(IF(Metadata!G325="",FALSE,TRUE),exact(Metadata!G325,"air"))</f>
        <v>0</v>
      </c>
      <c r="AA325">
        <f>AND(IF(Metadata!H325="",FALSE,TRUE),exact(Metadata!H325,"air"))</f>
        <v>0</v>
      </c>
      <c r="AB325">
        <f>AND(IF(Metadata!I325="",FALSE,TRUE),exact(Metadata!I325,"air metagenome"))</f>
        <v>0</v>
      </c>
      <c r="AC325">
        <f>AND(IF(Metadata!J325="",FALSE,TRUE),exact(Metadata!J325,"655179"))</f>
        <v>0</v>
      </c>
    </row>
    <row r="326" spans="1:29">
      <c r="A326" s="5">
        <f>IF(B326=" "," ",HYPERLINK(CONCATENATE("#metadata!",ADDRESS(INDEX($P$2:$P$1001,MATCH(ROWS($N$2:N326),$N$2:$N$1001,0),0),1)),INDEX($S$2:$S$1001,MATCH(ROWS($N$2:N326),$N$2:$N$1001,0),0)))</f>
        <v>0</v>
      </c>
      <c r="B326" s="4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4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4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4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4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4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4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4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4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OR(AND(IF(Metadata!C326="",FALSE,TRUE),OR(exact(Metadata!C326,"not applicable"),exact(Metadata!C326,"not collected"),exact(Metadata!C326,"not provided"),exact(Metadata!C326,"restricted access"))),IF(Metadata!C326="",FALSE,ISNUMBER(VALUE(Metadata!C326))))</f>
        <v>0</v>
      </c>
      <c r="W326">
        <f>AND(IF(Metadata!D326="",FALSE,TRUE),exact(Metadata!D326,"m"))</f>
        <v>0</v>
      </c>
      <c r="X326">
        <f>AND(IF(Metadata!E326="",FALSE,TRUE),OR(exact(Metadata!E326,"aerosol (non-saline)"),exact(Metadata!E326,"aerosol (saline)")))</f>
        <v>0</v>
      </c>
      <c r="Y326">
        <f>AND(IF(Metadata!F326="",FALSE,TRUE),exact(Metadata!F326,"air"))</f>
        <v>0</v>
      </c>
      <c r="Z326">
        <f>AND(IF(Metadata!G326="",FALSE,TRUE),exact(Metadata!G326,"air"))</f>
        <v>0</v>
      </c>
      <c r="AA326">
        <f>AND(IF(Metadata!H326="",FALSE,TRUE),exact(Metadata!H326,"air"))</f>
        <v>0</v>
      </c>
      <c r="AB326">
        <f>AND(IF(Metadata!I326="",FALSE,TRUE),exact(Metadata!I326,"air metagenome"))</f>
        <v>0</v>
      </c>
      <c r="AC326">
        <f>AND(IF(Metadata!J326="",FALSE,TRUE),exact(Metadata!J326,"655179"))</f>
        <v>0</v>
      </c>
    </row>
    <row r="327" spans="1:29">
      <c r="A327" s="5">
        <f>IF(B327=" "," ",HYPERLINK(CONCATENATE("#metadata!",ADDRESS(INDEX($P$2:$P$1001,MATCH(ROWS($N$2:N327),$N$2:$N$1001,0),0),1)),INDEX($S$2:$S$1001,MATCH(ROWS($N$2:N327),$N$2:$N$1001,0),0)))</f>
        <v>0</v>
      </c>
      <c r="B327" s="4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4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4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4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4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4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4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4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4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OR(AND(IF(Metadata!C327="",FALSE,TRUE),OR(exact(Metadata!C327,"not applicable"),exact(Metadata!C327,"not collected"),exact(Metadata!C327,"not provided"),exact(Metadata!C327,"restricted access"))),IF(Metadata!C327="",FALSE,ISNUMBER(VALUE(Metadata!C327))))</f>
        <v>0</v>
      </c>
      <c r="W327">
        <f>AND(IF(Metadata!D327="",FALSE,TRUE),exact(Metadata!D327,"m"))</f>
        <v>0</v>
      </c>
      <c r="X327">
        <f>AND(IF(Metadata!E327="",FALSE,TRUE),OR(exact(Metadata!E327,"aerosol (non-saline)"),exact(Metadata!E327,"aerosol (saline)")))</f>
        <v>0</v>
      </c>
      <c r="Y327">
        <f>AND(IF(Metadata!F327="",FALSE,TRUE),exact(Metadata!F327,"air"))</f>
        <v>0</v>
      </c>
      <c r="Z327">
        <f>AND(IF(Metadata!G327="",FALSE,TRUE),exact(Metadata!G327,"air"))</f>
        <v>0</v>
      </c>
      <c r="AA327">
        <f>AND(IF(Metadata!H327="",FALSE,TRUE),exact(Metadata!H327,"air"))</f>
        <v>0</v>
      </c>
      <c r="AB327">
        <f>AND(IF(Metadata!I327="",FALSE,TRUE),exact(Metadata!I327,"air metagenome"))</f>
        <v>0</v>
      </c>
      <c r="AC327">
        <f>AND(IF(Metadata!J327="",FALSE,TRUE),exact(Metadata!J327,"655179"))</f>
        <v>0</v>
      </c>
    </row>
    <row r="328" spans="1:29">
      <c r="A328" s="5">
        <f>IF(B328=" "," ",HYPERLINK(CONCATENATE("#metadata!",ADDRESS(INDEX($P$2:$P$1001,MATCH(ROWS($N$2:N328),$N$2:$N$1001,0),0),1)),INDEX($S$2:$S$1001,MATCH(ROWS($N$2:N328),$N$2:$N$1001,0),0)))</f>
        <v>0</v>
      </c>
      <c r="B328" s="4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4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4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4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4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4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4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4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4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OR(AND(IF(Metadata!C328="",FALSE,TRUE),OR(exact(Metadata!C328,"not applicable"),exact(Metadata!C328,"not collected"),exact(Metadata!C328,"not provided"),exact(Metadata!C328,"restricted access"))),IF(Metadata!C328="",FALSE,ISNUMBER(VALUE(Metadata!C328))))</f>
        <v>0</v>
      </c>
      <c r="W328">
        <f>AND(IF(Metadata!D328="",FALSE,TRUE),exact(Metadata!D328,"m"))</f>
        <v>0</v>
      </c>
      <c r="X328">
        <f>AND(IF(Metadata!E328="",FALSE,TRUE),OR(exact(Metadata!E328,"aerosol (non-saline)"),exact(Metadata!E328,"aerosol (saline)")))</f>
        <v>0</v>
      </c>
      <c r="Y328">
        <f>AND(IF(Metadata!F328="",FALSE,TRUE),exact(Metadata!F328,"air"))</f>
        <v>0</v>
      </c>
      <c r="Z328">
        <f>AND(IF(Metadata!G328="",FALSE,TRUE),exact(Metadata!G328,"air"))</f>
        <v>0</v>
      </c>
      <c r="AA328">
        <f>AND(IF(Metadata!H328="",FALSE,TRUE),exact(Metadata!H328,"air"))</f>
        <v>0</v>
      </c>
      <c r="AB328">
        <f>AND(IF(Metadata!I328="",FALSE,TRUE),exact(Metadata!I328,"air metagenome"))</f>
        <v>0</v>
      </c>
      <c r="AC328">
        <f>AND(IF(Metadata!J328="",FALSE,TRUE),exact(Metadata!J328,"655179"))</f>
        <v>0</v>
      </c>
    </row>
    <row r="329" spans="1:29">
      <c r="A329" s="5">
        <f>IF(B329=" "," ",HYPERLINK(CONCATENATE("#metadata!",ADDRESS(INDEX($P$2:$P$1001,MATCH(ROWS($N$2:N329),$N$2:$N$1001,0),0),1)),INDEX($S$2:$S$1001,MATCH(ROWS($N$2:N329),$N$2:$N$1001,0),0)))</f>
        <v>0</v>
      </c>
      <c r="B329" s="4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4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4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4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4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4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4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4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4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OR(AND(IF(Metadata!C329="",FALSE,TRUE),OR(exact(Metadata!C329,"not applicable"),exact(Metadata!C329,"not collected"),exact(Metadata!C329,"not provided"),exact(Metadata!C329,"restricted access"))),IF(Metadata!C329="",FALSE,ISNUMBER(VALUE(Metadata!C329))))</f>
        <v>0</v>
      </c>
      <c r="W329">
        <f>AND(IF(Metadata!D329="",FALSE,TRUE),exact(Metadata!D329,"m"))</f>
        <v>0</v>
      </c>
      <c r="X329">
        <f>AND(IF(Metadata!E329="",FALSE,TRUE),OR(exact(Metadata!E329,"aerosol (non-saline)"),exact(Metadata!E329,"aerosol (saline)")))</f>
        <v>0</v>
      </c>
      <c r="Y329">
        <f>AND(IF(Metadata!F329="",FALSE,TRUE),exact(Metadata!F329,"air"))</f>
        <v>0</v>
      </c>
      <c r="Z329">
        <f>AND(IF(Metadata!G329="",FALSE,TRUE),exact(Metadata!G329,"air"))</f>
        <v>0</v>
      </c>
      <c r="AA329">
        <f>AND(IF(Metadata!H329="",FALSE,TRUE),exact(Metadata!H329,"air"))</f>
        <v>0</v>
      </c>
      <c r="AB329">
        <f>AND(IF(Metadata!I329="",FALSE,TRUE),exact(Metadata!I329,"air metagenome"))</f>
        <v>0</v>
      </c>
      <c r="AC329">
        <f>AND(IF(Metadata!J329="",FALSE,TRUE),exact(Metadata!J329,"655179"))</f>
        <v>0</v>
      </c>
    </row>
    <row r="330" spans="1:29">
      <c r="A330" s="5">
        <f>IF(B330=" "," ",HYPERLINK(CONCATENATE("#metadata!",ADDRESS(INDEX($P$2:$P$1001,MATCH(ROWS($N$2:N330),$N$2:$N$1001,0),0),1)),INDEX($S$2:$S$1001,MATCH(ROWS($N$2:N330),$N$2:$N$1001,0),0)))</f>
        <v>0</v>
      </c>
      <c r="B330" s="4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4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4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4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4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4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4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4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4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OR(AND(IF(Metadata!C330="",FALSE,TRUE),OR(exact(Metadata!C330,"not applicable"),exact(Metadata!C330,"not collected"),exact(Metadata!C330,"not provided"),exact(Metadata!C330,"restricted access"))),IF(Metadata!C330="",FALSE,ISNUMBER(VALUE(Metadata!C330))))</f>
        <v>0</v>
      </c>
      <c r="W330">
        <f>AND(IF(Metadata!D330="",FALSE,TRUE),exact(Metadata!D330,"m"))</f>
        <v>0</v>
      </c>
      <c r="X330">
        <f>AND(IF(Metadata!E330="",FALSE,TRUE),OR(exact(Metadata!E330,"aerosol (non-saline)"),exact(Metadata!E330,"aerosol (saline)")))</f>
        <v>0</v>
      </c>
      <c r="Y330">
        <f>AND(IF(Metadata!F330="",FALSE,TRUE),exact(Metadata!F330,"air"))</f>
        <v>0</v>
      </c>
      <c r="Z330">
        <f>AND(IF(Metadata!G330="",FALSE,TRUE),exact(Metadata!G330,"air"))</f>
        <v>0</v>
      </c>
      <c r="AA330">
        <f>AND(IF(Metadata!H330="",FALSE,TRUE),exact(Metadata!H330,"air"))</f>
        <v>0</v>
      </c>
      <c r="AB330">
        <f>AND(IF(Metadata!I330="",FALSE,TRUE),exact(Metadata!I330,"air metagenome"))</f>
        <v>0</v>
      </c>
      <c r="AC330">
        <f>AND(IF(Metadata!J330="",FALSE,TRUE),exact(Metadata!J330,"655179"))</f>
        <v>0</v>
      </c>
    </row>
    <row r="331" spans="1:29">
      <c r="A331" s="5">
        <f>IF(B331=" "," ",HYPERLINK(CONCATENATE("#metadata!",ADDRESS(INDEX($P$2:$P$1001,MATCH(ROWS($N$2:N331),$N$2:$N$1001,0),0),1)),INDEX($S$2:$S$1001,MATCH(ROWS($N$2:N331),$N$2:$N$1001,0),0)))</f>
        <v>0</v>
      </c>
      <c r="B331" s="4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4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4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4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4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4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4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4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4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OR(AND(IF(Metadata!C331="",FALSE,TRUE),OR(exact(Metadata!C331,"not applicable"),exact(Metadata!C331,"not collected"),exact(Metadata!C331,"not provided"),exact(Metadata!C331,"restricted access"))),IF(Metadata!C331="",FALSE,ISNUMBER(VALUE(Metadata!C331))))</f>
        <v>0</v>
      </c>
      <c r="W331">
        <f>AND(IF(Metadata!D331="",FALSE,TRUE),exact(Metadata!D331,"m"))</f>
        <v>0</v>
      </c>
      <c r="X331">
        <f>AND(IF(Metadata!E331="",FALSE,TRUE),OR(exact(Metadata!E331,"aerosol (non-saline)"),exact(Metadata!E331,"aerosol (saline)")))</f>
        <v>0</v>
      </c>
      <c r="Y331">
        <f>AND(IF(Metadata!F331="",FALSE,TRUE),exact(Metadata!F331,"air"))</f>
        <v>0</v>
      </c>
      <c r="Z331">
        <f>AND(IF(Metadata!G331="",FALSE,TRUE),exact(Metadata!G331,"air"))</f>
        <v>0</v>
      </c>
      <c r="AA331">
        <f>AND(IF(Metadata!H331="",FALSE,TRUE),exact(Metadata!H331,"air"))</f>
        <v>0</v>
      </c>
      <c r="AB331">
        <f>AND(IF(Metadata!I331="",FALSE,TRUE),exact(Metadata!I331,"air metagenome"))</f>
        <v>0</v>
      </c>
      <c r="AC331">
        <f>AND(IF(Metadata!J331="",FALSE,TRUE),exact(Metadata!J331,"655179"))</f>
        <v>0</v>
      </c>
    </row>
    <row r="332" spans="1:29">
      <c r="A332" s="5">
        <f>IF(B332=" "," ",HYPERLINK(CONCATENATE("#metadata!",ADDRESS(INDEX($P$2:$P$1001,MATCH(ROWS($N$2:N332),$N$2:$N$1001,0),0),1)),INDEX($S$2:$S$1001,MATCH(ROWS($N$2:N332),$N$2:$N$1001,0),0)))</f>
        <v>0</v>
      </c>
      <c r="B332" s="4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4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4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4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4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4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4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4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4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OR(AND(IF(Metadata!C332="",FALSE,TRUE),OR(exact(Metadata!C332,"not applicable"),exact(Metadata!C332,"not collected"),exact(Metadata!C332,"not provided"),exact(Metadata!C332,"restricted access"))),IF(Metadata!C332="",FALSE,ISNUMBER(VALUE(Metadata!C332))))</f>
        <v>0</v>
      </c>
      <c r="W332">
        <f>AND(IF(Metadata!D332="",FALSE,TRUE),exact(Metadata!D332,"m"))</f>
        <v>0</v>
      </c>
      <c r="X332">
        <f>AND(IF(Metadata!E332="",FALSE,TRUE),OR(exact(Metadata!E332,"aerosol (non-saline)"),exact(Metadata!E332,"aerosol (saline)")))</f>
        <v>0</v>
      </c>
      <c r="Y332">
        <f>AND(IF(Metadata!F332="",FALSE,TRUE),exact(Metadata!F332,"air"))</f>
        <v>0</v>
      </c>
      <c r="Z332">
        <f>AND(IF(Metadata!G332="",FALSE,TRUE),exact(Metadata!G332,"air"))</f>
        <v>0</v>
      </c>
      <c r="AA332">
        <f>AND(IF(Metadata!H332="",FALSE,TRUE),exact(Metadata!H332,"air"))</f>
        <v>0</v>
      </c>
      <c r="AB332">
        <f>AND(IF(Metadata!I332="",FALSE,TRUE),exact(Metadata!I332,"air metagenome"))</f>
        <v>0</v>
      </c>
      <c r="AC332">
        <f>AND(IF(Metadata!J332="",FALSE,TRUE),exact(Metadata!J332,"655179"))</f>
        <v>0</v>
      </c>
    </row>
    <row r="333" spans="1:29">
      <c r="A333" s="5">
        <f>IF(B333=" "," ",HYPERLINK(CONCATENATE("#metadata!",ADDRESS(INDEX($P$2:$P$1001,MATCH(ROWS($N$2:N333),$N$2:$N$1001,0),0),1)),INDEX($S$2:$S$1001,MATCH(ROWS($N$2:N333),$N$2:$N$1001,0),0)))</f>
        <v>0</v>
      </c>
      <c r="B333" s="4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4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4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4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4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4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4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4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4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OR(AND(IF(Metadata!C333="",FALSE,TRUE),OR(exact(Metadata!C333,"not applicable"),exact(Metadata!C333,"not collected"),exact(Metadata!C333,"not provided"),exact(Metadata!C333,"restricted access"))),IF(Metadata!C333="",FALSE,ISNUMBER(VALUE(Metadata!C333))))</f>
        <v>0</v>
      </c>
      <c r="W333">
        <f>AND(IF(Metadata!D333="",FALSE,TRUE),exact(Metadata!D333,"m"))</f>
        <v>0</v>
      </c>
      <c r="X333">
        <f>AND(IF(Metadata!E333="",FALSE,TRUE),OR(exact(Metadata!E333,"aerosol (non-saline)"),exact(Metadata!E333,"aerosol (saline)")))</f>
        <v>0</v>
      </c>
      <c r="Y333">
        <f>AND(IF(Metadata!F333="",FALSE,TRUE),exact(Metadata!F333,"air"))</f>
        <v>0</v>
      </c>
      <c r="Z333">
        <f>AND(IF(Metadata!G333="",FALSE,TRUE),exact(Metadata!G333,"air"))</f>
        <v>0</v>
      </c>
      <c r="AA333">
        <f>AND(IF(Metadata!H333="",FALSE,TRUE),exact(Metadata!H333,"air"))</f>
        <v>0</v>
      </c>
      <c r="AB333">
        <f>AND(IF(Metadata!I333="",FALSE,TRUE),exact(Metadata!I333,"air metagenome"))</f>
        <v>0</v>
      </c>
      <c r="AC333">
        <f>AND(IF(Metadata!J333="",FALSE,TRUE),exact(Metadata!J333,"655179"))</f>
        <v>0</v>
      </c>
    </row>
    <row r="334" spans="1:29">
      <c r="A334" s="5">
        <f>IF(B334=" "," ",HYPERLINK(CONCATENATE("#metadata!",ADDRESS(INDEX($P$2:$P$1001,MATCH(ROWS($N$2:N334),$N$2:$N$1001,0),0),1)),INDEX($S$2:$S$1001,MATCH(ROWS($N$2:N334),$N$2:$N$1001,0),0)))</f>
        <v>0</v>
      </c>
      <c r="B334" s="4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4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4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4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4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4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4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4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4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OR(AND(IF(Metadata!C334="",FALSE,TRUE),OR(exact(Metadata!C334,"not applicable"),exact(Metadata!C334,"not collected"),exact(Metadata!C334,"not provided"),exact(Metadata!C334,"restricted access"))),IF(Metadata!C334="",FALSE,ISNUMBER(VALUE(Metadata!C334))))</f>
        <v>0</v>
      </c>
      <c r="W334">
        <f>AND(IF(Metadata!D334="",FALSE,TRUE),exact(Metadata!D334,"m"))</f>
        <v>0</v>
      </c>
      <c r="X334">
        <f>AND(IF(Metadata!E334="",FALSE,TRUE),OR(exact(Metadata!E334,"aerosol (non-saline)"),exact(Metadata!E334,"aerosol (saline)")))</f>
        <v>0</v>
      </c>
      <c r="Y334">
        <f>AND(IF(Metadata!F334="",FALSE,TRUE),exact(Metadata!F334,"air"))</f>
        <v>0</v>
      </c>
      <c r="Z334">
        <f>AND(IF(Metadata!G334="",FALSE,TRUE),exact(Metadata!G334,"air"))</f>
        <v>0</v>
      </c>
      <c r="AA334">
        <f>AND(IF(Metadata!H334="",FALSE,TRUE),exact(Metadata!H334,"air"))</f>
        <v>0</v>
      </c>
      <c r="AB334">
        <f>AND(IF(Metadata!I334="",FALSE,TRUE),exact(Metadata!I334,"air metagenome"))</f>
        <v>0</v>
      </c>
      <c r="AC334">
        <f>AND(IF(Metadata!J334="",FALSE,TRUE),exact(Metadata!J334,"655179"))</f>
        <v>0</v>
      </c>
    </row>
    <row r="335" spans="1:29">
      <c r="A335" s="5">
        <f>IF(B335=" "," ",HYPERLINK(CONCATENATE("#metadata!",ADDRESS(INDEX($P$2:$P$1001,MATCH(ROWS($N$2:N335),$N$2:$N$1001,0),0),1)),INDEX($S$2:$S$1001,MATCH(ROWS($N$2:N335),$N$2:$N$1001,0),0)))</f>
        <v>0</v>
      </c>
      <c r="B335" s="4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4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4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4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4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4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4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4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4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OR(AND(IF(Metadata!C335="",FALSE,TRUE),OR(exact(Metadata!C335,"not applicable"),exact(Metadata!C335,"not collected"),exact(Metadata!C335,"not provided"),exact(Metadata!C335,"restricted access"))),IF(Metadata!C335="",FALSE,ISNUMBER(VALUE(Metadata!C335))))</f>
        <v>0</v>
      </c>
      <c r="W335">
        <f>AND(IF(Metadata!D335="",FALSE,TRUE),exact(Metadata!D335,"m"))</f>
        <v>0</v>
      </c>
      <c r="X335">
        <f>AND(IF(Metadata!E335="",FALSE,TRUE),OR(exact(Metadata!E335,"aerosol (non-saline)"),exact(Metadata!E335,"aerosol (saline)")))</f>
        <v>0</v>
      </c>
      <c r="Y335">
        <f>AND(IF(Metadata!F335="",FALSE,TRUE),exact(Metadata!F335,"air"))</f>
        <v>0</v>
      </c>
      <c r="Z335">
        <f>AND(IF(Metadata!G335="",FALSE,TRUE),exact(Metadata!G335,"air"))</f>
        <v>0</v>
      </c>
      <c r="AA335">
        <f>AND(IF(Metadata!H335="",FALSE,TRUE),exact(Metadata!H335,"air"))</f>
        <v>0</v>
      </c>
      <c r="AB335">
        <f>AND(IF(Metadata!I335="",FALSE,TRUE),exact(Metadata!I335,"air metagenome"))</f>
        <v>0</v>
      </c>
      <c r="AC335">
        <f>AND(IF(Metadata!J335="",FALSE,TRUE),exact(Metadata!J335,"655179"))</f>
        <v>0</v>
      </c>
    </row>
    <row r="336" spans="1:29">
      <c r="A336" s="5">
        <f>IF(B336=" "," ",HYPERLINK(CONCATENATE("#metadata!",ADDRESS(INDEX($P$2:$P$1001,MATCH(ROWS($N$2:N336),$N$2:$N$1001,0),0),1)),INDEX($S$2:$S$1001,MATCH(ROWS($N$2:N336),$N$2:$N$1001,0),0)))</f>
        <v>0</v>
      </c>
      <c r="B336" s="4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4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4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4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4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4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4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4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4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OR(AND(IF(Metadata!C336="",FALSE,TRUE),OR(exact(Metadata!C336,"not applicable"),exact(Metadata!C336,"not collected"),exact(Metadata!C336,"not provided"),exact(Metadata!C336,"restricted access"))),IF(Metadata!C336="",FALSE,ISNUMBER(VALUE(Metadata!C336))))</f>
        <v>0</v>
      </c>
      <c r="W336">
        <f>AND(IF(Metadata!D336="",FALSE,TRUE),exact(Metadata!D336,"m"))</f>
        <v>0</v>
      </c>
      <c r="X336">
        <f>AND(IF(Metadata!E336="",FALSE,TRUE),OR(exact(Metadata!E336,"aerosol (non-saline)"),exact(Metadata!E336,"aerosol (saline)")))</f>
        <v>0</v>
      </c>
      <c r="Y336">
        <f>AND(IF(Metadata!F336="",FALSE,TRUE),exact(Metadata!F336,"air"))</f>
        <v>0</v>
      </c>
      <c r="Z336">
        <f>AND(IF(Metadata!G336="",FALSE,TRUE),exact(Metadata!G336,"air"))</f>
        <v>0</v>
      </c>
      <c r="AA336">
        <f>AND(IF(Metadata!H336="",FALSE,TRUE),exact(Metadata!H336,"air"))</f>
        <v>0</v>
      </c>
      <c r="AB336">
        <f>AND(IF(Metadata!I336="",FALSE,TRUE),exact(Metadata!I336,"air metagenome"))</f>
        <v>0</v>
      </c>
      <c r="AC336">
        <f>AND(IF(Metadata!J336="",FALSE,TRUE),exact(Metadata!J336,"655179"))</f>
        <v>0</v>
      </c>
    </row>
    <row r="337" spans="1:29">
      <c r="A337" s="5">
        <f>IF(B337=" "," ",HYPERLINK(CONCATENATE("#metadata!",ADDRESS(INDEX($P$2:$P$1001,MATCH(ROWS($N$2:N337),$N$2:$N$1001,0),0),1)),INDEX($S$2:$S$1001,MATCH(ROWS($N$2:N337),$N$2:$N$1001,0),0)))</f>
        <v>0</v>
      </c>
      <c r="B337" s="4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4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4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4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4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4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4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4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4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OR(AND(IF(Metadata!C337="",FALSE,TRUE),OR(exact(Metadata!C337,"not applicable"),exact(Metadata!C337,"not collected"),exact(Metadata!C337,"not provided"),exact(Metadata!C337,"restricted access"))),IF(Metadata!C337="",FALSE,ISNUMBER(VALUE(Metadata!C337))))</f>
        <v>0</v>
      </c>
      <c r="W337">
        <f>AND(IF(Metadata!D337="",FALSE,TRUE),exact(Metadata!D337,"m"))</f>
        <v>0</v>
      </c>
      <c r="X337">
        <f>AND(IF(Metadata!E337="",FALSE,TRUE),OR(exact(Metadata!E337,"aerosol (non-saline)"),exact(Metadata!E337,"aerosol (saline)")))</f>
        <v>0</v>
      </c>
      <c r="Y337">
        <f>AND(IF(Metadata!F337="",FALSE,TRUE),exact(Metadata!F337,"air"))</f>
        <v>0</v>
      </c>
      <c r="Z337">
        <f>AND(IF(Metadata!G337="",FALSE,TRUE),exact(Metadata!G337,"air"))</f>
        <v>0</v>
      </c>
      <c r="AA337">
        <f>AND(IF(Metadata!H337="",FALSE,TRUE),exact(Metadata!H337,"air"))</f>
        <v>0</v>
      </c>
      <c r="AB337">
        <f>AND(IF(Metadata!I337="",FALSE,TRUE),exact(Metadata!I337,"air metagenome"))</f>
        <v>0</v>
      </c>
      <c r="AC337">
        <f>AND(IF(Metadata!J337="",FALSE,TRUE),exact(Metadata!J337,"655179"))</f>
        <v>0</v>
      </c>
    </row>
    <row r="338" spans="1:29">
      <c r="A338" s="5">
        <f>IF(B338=" "," ",HYPERLINK(CONCATENATE("#metadata!",ADDRESS(INDEX($P$2:$P$1001,MATCH(ROWS($N$2:N338),$N$2:$N$1001,0),0),1)),INDEX($S$2:$S$1001,MATCH(ROWS($N$2:N338),$N$2:$N$1001,0),0)))</f>
        <v>0</v>
      </c>
      <c r="B338" s="4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4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4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4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4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4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4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4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4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OR(AND(IF(Metadata!C338="",FALSE,TRUE),OR(exact(Metadata!C338,"not applicable"),exact(Metadata!C338,"not collected"),exact(Metadata!C338,"not provided"),exact(Metadata!C338,"restricted access"))),IF(Metadata!C338="",FALSE,ISNUMBER(VALUE(Metadata!C338))))</f>
        <v>0</v>
      </c>
      <c r="W338">
        <f>AND(IF(Metadata!D338="",FALSE,TRUE),exact(Metadata!D338,"m"))</f>
        <v>0</v>
      </c>
      <c r="X338">
        <f>AND(IF(Metadata!E338="",FALSE,TRUE),OR(exact(Metadata!E338,"aerosol (non-saline)"),exact(Metadata!E338,"aerosol (saline)")))</f>
        <v>0</v>
      </c>
      <c r="Y338">
        <f>AND(IF(Metadata!F338="",FALSE,TRUE),exact(Metadata!F338,"air"))</f>
        <v>0</v>
      </c>
      <c r="Z338">
        <f>AND(IF(Metadata!G338="",FALSE,TRUE),exact(Metadata!G338,"air"))</f>
        <v>0</v>
      </c>
      <c r="AA338">
        <f>AND(IF(Metadata!H338="",FALSE,TRUE),exact(Metadata!H338,"air"))</f>
        <v>0</v>
      </c>
      <c r="AB338">
        <f>AND(IF(Metadata!I338="",FALSE,TRUE),exact(Metadata!I338,"air metagenome"))</f>
        <v>0</v>
      </c>
      <c r="AC338">
        <f>AND(IF(Metadata!J338="",FALSE,TRUE),exact(Metadata!J338,"655179"))</f>
        <v>0</v>
      </c>
    </row>
    <row r="339" spans="1:29">
      <c r="A339" s="5">
        <f>IF(B339=" "," ",HYPERLINK(CONCATENATE("#metadata!",ADDRESS(INDEX($P$2:$P$1001,MATCH(ROWS($N$2:N339),$N$2:$N$1001,0),0),1)),INDEX($S$2:$S$1001,MATCH(ROWS($N$2:N339),$N$2:$N$1001,0),0)))</f>
        <v>0</v>
      </c>
      <c r="B339" s="4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4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4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4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4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4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4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4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4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OR(AND(IF(Metadata!C339="",FALSE,TRUE),OR(exact(Metadata!C339,"not applicable"),exact(Metadata!C339,"not collected"),exact(Metadata!C339,"not provided"),exact(Metadata!C339,"restricted access"))),IF(Metadata!C339="",FALSE,ISNUMBER(VALUE(Metadata!C339))))</f>
        <v>0</v>
      </c>
      <c r="W339">
        <f>AND(IF(Metadata!D339="",FALSE,TRUE),exact(Metadata!D339,"m"))</f>
        <v>0</v>
      </c>
      <c r="X339">
        <f>AND(IF(Metadata!E339="",FALSE,TRUE),OR(exact(Metadata!E339,"aerosol (non-saline)"),exact(Metadata!E339,"aerosol (saline)")))</f>
        <v>0</v>
      </c>
      <c r="Y339">
        <f>AND(IF(Metadata!F339="",FALSE,TRUE),exact(Metadata!F339,"air"))</f>
        <v>0</v>
      </c>
      <c r="Z339">
        <f>AND(IF(Metadata!G339="",FALSE,TRUE),exact(Metadata!G339,"air"))</f>
        <v>0</v>
      </c>
      <c r="AA339">
        <f>AND(IF(Metadata!H339="",FALSE,TRUE),exact(Metadata!H339,"air"))</f>
        <v>0</v>
      </c>
      <c r="AB339">
        <f>AND(IF(Metadata!I339="",FALSE,TRUE),exact(Metadata!I339,"air metagenome"))</f>
        <v>0</v>
      </c>
      <c r="AC339">
        <f>AND(IF(Metadata!J339="",FALSE,TRUE),exact(Metadata!J339,"655179"))</f>
        <v>0</v>
      </c>
    </row>
    <row r="340" spans="1:29">
      <c r="A340" s="5">
        <f>IF(B340=" "," ",HYPERLINK(CONCATENATE("#metadata!",ADDRESS(INDEX($P$2:$P$1001,MATCH(ROWS($N$2:N340),$N$2:$N$1001,0),0),1)),INDEX($S$2:$S$1001,MATCH(ROWS($N$2:N340),$N$2:$N$1001,0),0)))</f>
        <v>0</v>
      </c>
      <c r="B340" s="4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4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4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4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4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4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4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4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4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OR(AND(IF(Metadata!C340="",FALSE,TRUE),OR(exact(Metadata!C340,"not applicable"),exact(Metadata!C340,"not collected"),exact(Metadata!C340,"not provided"),exact(Metadata!C340,"restricted access"))),IF(Metadata!C340="",FALSE,ISNUMBER(VALUE(Metadata!C340))))</f>
        <v>0</v>
      </c>
      <c r="W340">
        <f>AND(IF(Metadata!D340="",FALSE,TRUE),exact(Metadata!D340,"m"))</f>
        <v>0</v>
      </c>
      <c r="X340">
        <f>AND(IF(Metadata!E340="",FALSE,TRUE),OR(exact(Metadata!E340,"aerosol (non-saline)"),exact(Metadata!E340,"aerosol (saline)")))</f>
        <v>0</v>
      </c>
      <c r="Y340">
        <f>AND(IF(Metadata!F340="",FALSE,TRUE),exact(Metadata!F340,"air"))</f>
        <v>0</v>
      </c>
      <c r="Z340">
        <f>AND(IF(Metadata!G340="",FALSE,TRUE),exact(Metadata!G340,"air"))</f>
        <v>0</v>
      </c>
      <c r="AA340">
        <f>AND(IF(Metadata!H340="",FALSE,TRUE),exact(Metadata!H340,"air"))</f>
        <v>0</v>
      </c>
      <c r="AB340">
        <f>AND(IF(Metadata!I340="",FALSE,TRUE),exact(Metadata!I340,"air metagenome"))</f>
        <v>0</v>
      </c>
      <c r="AC340">
        <f>AND(IF(Metadata!J340="",FALSE,TRUE),exact(Metadata!J340,"655179"))</f>
        <v>0</v>
      </c>
    </row>
    <row r="341" spans="1:29">
      <c r="A341" s="5">
        <f>IF(B341=" "," ",HYPERLINK(CONCATENATE("#metadata!",ADDRESS(INDEX($P$2:$P$1001,MATCH(ROWS($N$2:N341),$N$2:$N$1001,0),0),1)),INDEX($S$2:$S$1001,MATCH(ROWS($N$2:N341),$N$2:$N$1001,0),0)))</f>
        <v>0</v>
      </c>
      <c r="B341" s="4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4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4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4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4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4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4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4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4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OR(AND(IF(Metadata!C341="",FALSE,TRUE),OR(exact(Metadata!C341,"not applicable"),exact(Metadata!C341,"not collected"),exact(Metadata!C341,"not provided"),exact(Metadata!C341,"restricted access"))),IF(Metadata!C341="",FALSE,ISNUMBER(VALUE(Metadata!C341))))</f>
        <v>0</v>
      </c>
      <c r="W341">
        <f>AND(IF(Metadata!D341="",FALSE,TRUE),exact(Metadata!D341,"m"))</f>
        <v>0</v>
      </c>
      <c r="X341">
        <f>AND(IF(Metadata!E341="",FALSE,TRUE),OR(exact(Metadata!E341,"aerosol (non-saline)"),exact(Metadata!E341,"aerosol (saline)")))</f>
        <v>0</v>
      </c>
      <c r="Y341">
        <f>AND(IF(Metadata!F341="",FALSE,TRUE),exact(Metadata!F341,"air"))</f>
        <v>0</v>
      </c>
      <c r="Z341">
        <f>AND(IF(Metadata!G341="",FALSE,TRUE),exact(Metadata!G341,"air"))</f>
        <v>0</v>
      </c>
      <c r="AA341">
        <f>AND(IF(Metadata!H341="",FALSE,TRUE),exact(Metadata!H341,"air"))</f>
        <v>0</v>
      </c>
      <c r="AB341">
        <f>AND(IF(Metadata!I341="",FALSE,TRUE),exact(Metadata!I341,"air metagenome"))</f>
        <v>0</v>
      </c>
      <c r="AC341">
        <f>AND(IF(Metadata!J341="",FALSE,TRUE),exact(Metadata!J341,"655179"))</f>
        <v>0</v>
      </c>
    </row>
    <row r="342" spans="1:29">
      <c r="A342" s="5">
        <f>IF(B342=" "," ",HYPERLINK(CONCATENATE("#metadata!",ADDRESS(INDEX($P$2:$P$1001,MATCH(ROWS($N$2:N342),$N$2:$N$1001,0),0),1)),INDEX($S$2:$S$1001,MATCH(ROWS($N$2:N342),$N$2:$N$1001,0),0)))</f>
        <v>0</v>
      </c>
      <c r="B342" s="4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4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4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4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4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4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4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4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4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OR(AND(IF(Metadata!C342="",FALSE,TRUE),OR(exact(Metadata!C342,"not applicable"),exact(Metadata!C342,"not collected"),exact(Metadata!C342,"not provided"),exact(Metadata!C342,"restricted access"))),IF(Metadata!C342="",FALSE,ISNUMBER(VALUE(Metadata!C342))))</f>
        <v>0</v>
      </c>
      <c r="W342">
        <f>AND(IF(Metadata!D342="",FALSE,TRUE),exact(Metadata!D342,"m"))</f>
        <v>0</v>
      </c>
      <c r="X342">
        <f>AND(IF(Metadata!E342="",FALSE,TRUE),OR(exact(Metadata!E342,"aerosol (non-saline)"),exact(Metadata!E342,"aerosol (saline)")))</f>
        <v>0</v>
      </c>
      <c r="Y342">
        <f>AND(IF(Metadata!F342="",FALSE,TRUE),exact(Metadata!F342,"air"))</f>
        <v>0</v>
      </c>
      <c r="Z342">
        <f>AND(IF(Metadata!G342="",FALSE,TRUE),exact(Metadata!G342,"air"))</f>
        <v>0</v>
      </c>
      <c r="AA342">
        <f>AND(IF(Metadata!H342="",FALSE,TRUE),exact(Metadata!H342,"air"))</f>
        <v>0</v>
      </c>
      <c r="AB342">
        <f>AND(IF(Metadata!I342="",FALSE,TRUE),exact(Metadata!I342,"air metagenome"))</f>
        <v>0</v>
      </c>
      <c r="AC342">
        <f>AND(IF(Metadata!J342="",FALSE,TRUE),exact(Metadata!J342,"655179"))</f>
        <v>0</v>
      </c>
    </row>
    <row r="343" spans="1:29">
      <c r="A343" s="5">
        <f>IF(B343=" "," ",HYPERLINK(CONCATENATE("#metadata!",ADDRESS(INDEX($P$2:$P$1001,MATCH(ROWS($N$2:N343),$N$2:$N$1001,0),0),1)),INDEX($S$2:$S$1001,MATCH(ROWS($N$2:N343),$N$2:$N$1001,0),0)))</f>
        <v>0</v>
      </c>
      <c r="B343" s="4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4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4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4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4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4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4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4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4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OR(AND(IF(Metadata!C343="",FALSE,TRUE),OR(exact(Metadata!C343,"not applicable"),exact(Metadata!C343,"not collected"),exact(Metadata!C343,"not provided"),exact(Metadata!C343,"restricted access"))),IF(Metadata!C343="",FALSE,ISNUMBER(VALUE(Metadata!C343))))</f>
        <v>0</v>
      </c>
      <c r="W343">
        <f>AND(IF(Metadata!D343="",FALSE,TRUE),exact(Metadata!D343,"m"))</f>
        <v>0</v>
      </c>
      <c r="X343">
        <f>AND(IF(Metadata!E343="",FALSE,TRUE),OR(exact(Metadata!E343,"aerosol (non-saline)"),exact(Metadata!E343,"aerosol (saline)")))</f>
        <v>0</v>
      </c>
      <c r="Y343">
        <f>AND(IF(Metadata!F343="",FALSE,TRUE),exact(Metadata!F343,"air"))</f>
        <v>0</v>
      </c>
      <c r="Z343">
        <f>AND(IF(Metadata!G343="",FALSE,TRUE),exact(Metadata!G343,"air"))</f>
        <v>0</v>
      </c>
      <c r="AA343">
        <f>AND(IF(Metadata!H343="",FALSE,TRUE),exact(Metadata!H343,"air"))</f>
        <v>0</v>
      </c>
      <c r="AB343">
        <f>AND(IF(Metadata!I343="",FALSE,TRUE),exact(Metadata!I343,"air metagenome"))</f>
        <v>0</v>
      </c>
      <c r="AC343">
        <f>AND(IF(Metadata!J343="",FALSE,TRUE),exact(Metadata!J343,"655179"))</f>
        <v>0</v>
      </c>
    </row>
    <row r="344" spans="1:29">
      <c r="A344" s="5">
        <f>IF(B344=" "," ",HYPERLINK(CONCATENATE("#metadata!",ADDRESS(INDEX($P$2:$P$1001,MATCH(ROWS($N$2:N344),$N$2:$N$1001,0),0),1)),INDEX($S$2:$S$1001,MATCH(ROWS($N$2:N344),$N$2:$N$1001,0),0)))</f>
        <v>0</v>
      </c>
      <c r="B344" s="4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4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4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4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4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4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4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4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4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OR(AND(IF(Metadata!C344="",FALSE,TRUE),OR(exact(Metadata!C344,"not applicable"),exact(Metadata!C344,"not collected"),exact(Metadata!C344,"not provided"),exact(Metadata!C344,"restricted access"))),IF(Metadata!C344="",FALSE,ISNUMBER(VALUE(Metadata!C344))))</f>
        <v>0</v>
      </c>
      <c r="W344">
        <f>AND(IF(Metadata!D344="",FALSE,TRUE),exact(Metadata!D344,"m"))</f>
        <v>0</v>
      </c>
      <c r="X344">
        <f>AND(IF(Metadata!E344="",FALSE,TRUE),OR(exact(Metadata!E344,"aerosol (non-saline)"),exact(Metadata!E344,"aerosol (saline)")))</f>
        <v>0</v>
      </c>
      <c r="Y344">
        <f>AND(IF(Metadata!F344="",FALSE,TRUE),exact(Metadata!F344,"air"))</f>
        <v>0</v>
      </c>
      <c r="Z344">
        <f>AND(IF(Metadata!G344="",FALSE,TRUE),exact(Metadata!G344,"air"))</f>
        <v>0</v>
      </c>
      <c r="AA344">
        <f>AND(IF(Metadata!H344="",FALSE,TRUE),exact(Metadata!H344,"air"))</f>
        <v>0</v>
      </c>
      <c r="AB344">
        <f>AND(IF(Metadata!I344="",FALSE,TRUE),exact(Metadata!I344,"air metagenome"))</f>
        <v>0</v>
      </c>
      <c r="AC344">
        <f>AND(IF(Metadata!J344="",FALSE,TRUE),exact(Metadata!J344,"655179"))</f>
        <v>0</v>
      </c>
    </row>
    <row r="345" spans="1:29">
      <c r="A345" s="5">
        <f>IF(B345=" "," ",HYPERLINK(CONCATENATE("#metadata!",ADDRESS(INDEX($P$2:$P$1001,MATCH(ROWS($N$2:N345),$N$2:$N$1001,0),0),1)),INDEX($S$2:$S$1001,MATCH(ROWS($N$2:N345),$N$2:$N$1001,0),0)))</f>
        <v>0</v>
      </c>
      <c r="B345" s="4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4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4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4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4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4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4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4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4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OR(AND(IF(Metadata!C345="",FALSE,TRUE),OR(exact(Metadata!C345,"not applicable"),exact(Metadata!C345,"not collected"),exact(Metadata!C345,"not provided"),exact(Metadata!C345,"restricted access"))),IF(Metadata!C345="",FALSE,ISNUMBER(VALUE(Metadata!C345))))</f>
        <v>0</v>
      </c>
      <c r="W345">
        <f>AND(IF(Metadata!D345="",FALSE,TRUE),exact(Metadata!D345,"m"))</f>
        <v>0</v>
      </c>
      <c r="X345">
        <f>AND(IF(Metadata!E345="",FALSE,TRUE),OR(exact(Metadata!E345,"aerosol (non-saline)"),exact(Metadata!E345,"aerosol (saline)")))</f>
        <v>0</v>
      </c>
      <c r="Y345">
        <f>AND(IF(Metadata!F345="",FALSE,TRUE),exact(Metadata!F345,"air"))</f>
        <v>0</v>
      </c>
      <c r="Z345">
        <f>AND(IF(Metadata!G345="",FALSE,TRUE),exact(Metadata!G345,"air"))</f>
        <v>0</v>
      </c>
      <c r="AA345">
        <f>AND(IF(Metadata!H345="",FALSE,TRUE),exact(Metadata!H345,"air"))</f>
        <v>0</v>
      </c>
      <c r="AB345">
        <f>AND(IF(Metadata!I345="",FALSE,TRUE),exact(Metadata!I345,"air metagenome"))</f>
        <v>0</v>
      </c>
      <c r="AC345">
        <f>AND(IF(Metadata!J345="",FALSE,TRUE),exact(Metadata!J345,"655179"))</f>
        <v>0</v>
      </c>
    </row>
    <row r="346" spans="1:29">
      <c r="A346" s="5">
        <f>IF(B346=" "," ",HYPERLINK(CONCATENATE("#metadata!",ADDRESS(INDEX($P$2:$P$1001,MATCH(ROWS($N$2:N346),$N$2:$N$1001,0),0),1)),INDEX($S$2:$S$1001,MATCH(ROWS($N$2:N346),$N$2:$N$1001,0),0)))</f>
        <v>0</v>
      </c>
      <c r="B346" s="4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4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4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4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4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4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4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4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4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OR(AND(IF(Metadata!C346="",FALSE,TRUE),OR(exact(Metadata!C346,"not applicable"),exact(Metadata!C346,"not collected"),exact(Metadata!C346,"not provided"),exact(Metadata!C346,"restricted access"))),IF(Metadata!C346="",FALSE,ISNUMBER(VALUE(Metadata!C346))))</f>
        <v>0</v>
      </c>
      <c r="W346">
        <f>AND(IF(Metadata!D346="",FALSE,TRUE),exact(Metadata!D346,"m"))</f>
        <v>0</v>
      </c>
      <c r="X346">
        <f>AND(IF(Metadata!E346="",FALSE,TRUE),OR(exact(Metadata!E346,"aerosol (non-saline)"),exact(Metadata!E346,"aerosol (saline)")))</f>
        <v>0</v>
      </c>
      <c r="Y346">
        <f>AND(IF(Metadata!F346="",FALSE,TRUE),exact(Metadata!F346,"air"))</f>
        <v>0</v>
      </c>
      <c r="Z346">
        <f>AND(IF(Metadata!G346="",FALSE,TRUE),exact(Metadata!G346,"air"))</f>
        <v>0</v>
      </c>
      <c r="AA346">
        <f>AND(IF(Metadata!H346="",FALSE,TRUE),exact(Metadata!H346,"air"))</f>
        <v>0</v>
      </c>
      <c r="AB346">
        <f>AND(IF(Metadata!I346="",FALSE,TRUE),exact(Metadata!I346,"air metagenome"))</f>
        <v>0</v>
      </c>
      <c r="AC346">
        <f>AND(IF(Metadata!J346="",FALSE,TRUE),exact(Metadata!J346,"655179"))</f>
        <v>0</v>
      </c>
    </row>
    <row r="347" spans="1:29">
      <c r="A347" s="5">
        <f>IF(B347=" "," ",HYPERLINK(CONCATENATE("#metadata!",ADDRESS(INDEX($P$2:$P$1001,MATCH(ROWS($N$2:N347),$N$2:$N$1001,0),0),1)),INDEX($S$2:$S$1001,MATCH(ROWS($N$2:N347),$N$2:$N$1001,0),0)))</f>
        <v>0</v>
      </c>
      <c r="B347" s="4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4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4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4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4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4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4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4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4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OR(AND(IF(Metadata!C347="",FALSE,TRUE),OR(exact(Metadata!C347,"not applicable"),exact(Metadata!C347,"not collected"),exact(Metadata!C347,"not provided"),exact(Metadata!C347,"restricted access"))),IF(Metadata!C347="",FALSE,ISNUMBER(VALUE(Metadata!C347))))</f>
        <v>0</v>
      </c>
      <c r="W347">
        <f>AND(IF(Metadata!D347="",FALSE,TRUE),exact(Metadata!D347,"m"))</f>
        <v>0</v>
      </c>
      <c r="X347">
        <f>AND(IF(Metadata!E347="",FALSE,TRUE),OR(exact(Metadata!E347,"aerosol (non-saline)"),exact(Metadata!E347,"aerosol (saline)")))</f>
        <v>0</v>
      </c>
      <c r="Y347">
        <f>AND(IF(Metadata!F347="",FALSE,TRUE),exact(Metadata!F347,"air"))</f>
        <v>0</v>
      </c>
      <c r="Z347">
        <f>AND(IF(Metadata!G347="",FALSE,TRUE),exact(Metadata!G347,"air"))</f>
        <v>0</v>
      </c>
      <c r="AA347">
        <f>AND(IF(Metadata!H347="",FALSE,TRUE),exact(Metadata!H347,"air"))</f>
        <v>0</v>
      </c>
      <c r="AB347">
        <f>AND(IF(Metadata!I347="",FALSE,TRUE),exact(Metadata!I347,"air metagenome"))</f>
        <v>0</v>
      </c>
      <c r="AC347">
        <f>AND(IF(Metadata!J347="",FALSE,TRUE),exact(Metadata!J347,"655179"))</f>
        <v>0</v>
      </c>
    </row>
    <row r="348" spans="1:29">
      <c r="A348" s="5">
        <f>IF(B348=" "," ",HYPERLINK(CONCATENATE("#metadata!",ADDRESS(INDEX($P$2:$P$1001,MATCH(ROWS($N$2:N348),$N$2:$N$1001,0),0),1)),INDEX($S$2:$S$1001,MATCH(ROWS($N$2:N348),$N$2:$N$1001,0),0)))</f>
        <v>0</v>
      </c>
      <c r="B348" s="4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4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4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4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4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4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4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4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4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OR(AND(IF(Metadata!C348="",FALSE,TRUE),OR(exact(Metadata!C348,"not applicable"),exact(Metadata!C348,"not collected"),exact(Metadata!C348,"not provided"),exact(Metadata!C348,"restricted access"))),IF(Metadata!C348="",FALSE,ISNUMBER(VALUE(Metadata!C348))))</f>
        <v>0</v>
      </c>
      <c r="W348">
        <f>AND(IF(Metadata!D348="",FALSE,TRUE),exact(Metadata!D348,"m"))</f>
        <v>0</v>
      </c>
      <c r="X348">
        <f>AND(IF(Metadata!E348="",FALSE,TRUE),OR(exact(Metadata!E348,"aerosol (non-saline)"),exact(Metadata!E348,"aerosol (saline)")))</f>
        <v>0</v>
      </c>
      <c r="Y348">
        <f>AND(IF(Metadata!F348="",FALSE,TRUE),exact(Metadata!F348,"air"))</f>
        <v>0</v>
      </c>
      <c r="Z348">
        <f>AND(IF(Metadata!G348="",FALSE,TRUE),exact(Metadata!G348,"air"))</f>
        <v>0</v>
      </c>
      <c r="AA348">
        <f>AND(IF(Metadata!H348="",FALSE,TRUE),exact(Metadata!H348,"air"))</f>
        <v>0</v>
      </c>
      <c r="AB348">
        <f>AND(IF(Metadata!I348="",FALSE,TRUE),exact(Metadata!I348,"air metagenome"))</f>
        <v>0</v>
      </c>
      <c r="AC348">
        <f>AND(IF(Metadata!J348="",FALSE,TRUE),exact(Metadata!J348,"655179"))</f>
        <v>0</v>
      </c>
    </row>
    <row r="349" spans="1:29">
      <c r="A349" s="5">
        <f>IF(B349=" "," ",HYPERLINK(CONCATENATE("#metadata!",ADDRESS(INDEX($P$2:$P$1001,MATCH(ROWS($N$2:N349),$N$2:$N$1001,0),0),1)),INDEX($S$2:$S$1001,MATCH(ROWS($N$2:N349),$N$2:$N$1001,0),0)))</f>
        <v>0</v>
      </c>
      <c r="B349" s="4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4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4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4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4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4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4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4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4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OR(AND(IF(Metadata!C349="",FALSE,TRUE),OR(exact(Metadata!C349,"not applicable"),exact(Metadata!C349,"not collected"),exact(Metadata!C349,"not provided"),exact(Metadata!C349,"restricted access"))),IF(Metadata!C349="",FALSE,ISNUMBER(VALUE(Metadata!C349))))</f>
        <v>0</v>
      </c>
      <c r="W349">
        <f>AND(IF(Metadata!D349="",FALSE,TRUE),exact(Metadata!D349,"m"))</f>
        <v>0</v>
      </c>
      <c r="X349">
        <f>AND(IF(Metadata!E349="",FALSE,TRUE),OR(exact(Metadata!E349,"aerosol (non-saline)"),exact(Metadata!E349,"aerosol (saline)")))</f>
        <v>0</v>
      </c>
      <c r="Y349">
        <f>AND(IF(Metadata!F349="",FALSE,TRUE),exact(Metadata!F349,"air"))</f>
        <v>0</v>
      </c>
      <c r="Z349">
        <f>AND(IF(Metadata!G349="",FALSE,TRUE),exact(Metadata!G349,"air"))</f>
        <v>0</v>
      </c>
      <c r="AA349">
        <f>AND(IF(Metadata!H349="",FALSE,TRUE),exact(Metadata!H349,"air"))</f>
        <v>0</v>
      </c>
      <c r="AB349">
        <f>AND(IF(Metadata!I349="",FALSE,TRUE),exact(Metadata!I349,"air metagenome"))</f>
        <v>0</v>
      </c>
      <c r="AC349">
        <f>AND(IF(Metadata!J349="",FALSE,TRUE),exact(Metadata!J349,"655179"))</f>
        <v>0</v>
      </c>
    </row>
    <row r="350" spans="1:29">
      <c r="A350" s="5">
        <f>IF(B350=" "," ",HYPERLINK(CONCATENATE("#metadata!",ADDRESS(INDEX($P$2:$P$1001,MATCH(ROWS($N$2:N350),$N$2:$N$1001,0),0),1)),INDEX($S$2:$S$1001,MATCH(ROWS($N$2:N350),$N$2:$N$1001,0),0)))</f>
        <v>0</v>
      </c>
      <c r="B350" s="4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4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4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4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4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4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4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4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4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OR(AND(IF(Metadata!C350="",FALSE,TRUE),OR(exact(Metadata!C350,"not applicable"),exact(Metadata!C350,"not collected"),exact(Metadata!C350,"not provided"),exact(Metadata!C350,"restricted access"))),IF(Metadata!C350="",FALSE,ISNUMBER(VALUE(Metadata!C350))))</f>
        <v>0</v>
      </c>
      <c r="W350">
        <f>AND(IF(Metadata!D350="",FALSE,TRUE),exact(Metadata!D350,"m"))</f>
        <v>0</v>
      </c>
      <c r="X350">
        <f>AND(IF(Metadata!E350="",FALSE,TRUE),OR(exact(Metadata!E350,"aerosol (non-saline)"),exact(Metadata!E350,"aerosol (saline)")))</f>
        <v>0</v>
      </c>
      <c r="Y350">
        <f>AND(IF(Metadata!F350="",FALSE,TRUE),exact(Metadata!F350,"air"))</f>
        <v>0</v>
      </c>
      <c r="Z350">
        <f>AND(IF(Metadata!G350="",FALSE,TRUE),exact(Metadata!G350,"air"))</f>
        <v>0</v>
      </c>
      <c r="AA350">
        <f>AND(IF(Metadata!H350="",FALSE,TRUE),exact(Metadata!H350,"air"))</f>
        <v>0</v>
      </c>
      <c r="AB350">
        <f>AND(IF(Metadata!I350="",FALSE,TRUE),exact(Metadata!I350,"air metagenome"))</f>
        <v>0</v>
      </c>
      <c r="AC350">
        <f>AND(IF(Metadata!J350="",FALSE,TRUE),exact(Metadata!J350,"655179"))</f>
        <v>0</v>
      </c>
    </row>
    <row r="351" spans="1:29">
      <c r="A351" s="5">
        <f>IF(B351=" "," ",HYPERLINK(CONCATENATE("#metadata!",ADDRESS(INDEX($P$2:$P$1001,MATCH(ROWS($N$2:N351),$N$2:$N$1001,0),0),1)),INDEX($S$2:$S$1001,MATCH(ROWS($N$2:N351),$N$2:$N$1001,0),0)))</f>
        <v>0</v>
      </c>
      <c r="B351" s="4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4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4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4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4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4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4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4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4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OR(AND(IF(Metadata!C351="",FALSE,TRUE),OR(exact(Metadata!C351,"not applicable"),exact(Metadata!C351,"not collected"),exact(Metadata!C351,"not provided"),exact(Metadata!C351,"restricted access"))),IF(Metadata!C351="",FALSE,ISNUMBER(VALUE(Metadata!C351))))</f>
        <v>0</v>
      </c>
      <c r="W351">
        <f>AND(IF(Metadata!D351="",FALSE,TRUE),exact(Metadata!D351,"m"))</f>
        <v>0</v>
      </c>
      <c r="X351">
        <f>AND(IF(Metadata!E351="",FALSE,TRUE),OR(exact(Metadata!E351,"aerosol (non-saline)"),exact(Metadata!E351,"aerosol (saline)")))</f>
        <v>0</v>
      </c>
      <c r="Y351">
        <f>AND(IF(Metadata!F351="",FALSE,TRUE),exact(Metadata!F351,"air"))</f>
        <v>0</v>
      </c>
      <c r="Z351">
        <f>AND(IF(Metadata!G351="",FALSE,TRUE),exact(Metadata!G351,"air"))</f>
        <v>0</v>
      </c>
      <c r="AA351">
        <f>AND(IF(Metadata!H351="",FALSE,TRUE),exact(Metadata!H351,"air"))</f>
        <v>0</v>
      </c>
      <c r="AB351">
        <f>AND(IF(Metadata!I351="",FALSE,TRUE),exact(Metadata!I351,"air metagenome"))</f>
        <v>0</v>
      </c>
      <c r="AC351">
        <f>AND(IF(Metadata!J351="",FALSE,TRUE),exact(Metadata!J351,"655179"))</f>
        <v>0</v>
      </c>
    </row>
    <row r="352" spans="1:29">
      <c r="A352" s="5">
        <f>IF(B352=" "," ",HYPERLINK(CONCATENATE("#metadata!",ADDRESS(INDEX($P$2:$P$1001,MATCH(ROWS($N$2:N352),$N$2:$N$1001,0),0),1)),INDEX($S$2:$S$1001,MATCH(ROWS($N$2:N352),$N$2:$N$1001,0),0)))</f>
        <v>0</v>
      </c>
      <c r="B352" s="4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4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4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4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4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4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4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4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4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OR(AND(IF(Metadata!C352="",FALSE,TRUE),OR(exact(Metadata!C352,"not applicable"),exact(Metadata!C352,"not collected"),exact(Metadata!C352,"not provided"),exact(Metadata!C352,"restricted access"))),IF(Metadata!C352="",FALSE,ISNUMBER(VALUE(Metadata!C352))))</f>
        <v>0</v>
      </c>
      <c r="W352">
        <f>AND(IF(Metadata!D352="",FALSE,TRUE),exact(Metadata!D352,"m"))</f>
        <v>0</v>
      </c>
      <c r="X352">
        <f>AND(IF(Metadata!E352="",FALSE,TRUE),OR(exact(Metadata!E352,"aerosol (non-saline)"),exact(Metadata!E352,"aerosol (saline)")))</f>
        <v>0</v>
      </c>
      <c r="Y352">
        <f>AND(IF(Metadata!F352="",FALSE,TRUE),exact(Metadata!F352,"air"))</f>
        <v>0</v>
      </c>
      <c r="Z352">
        <f>AND(IF(Metadata!G352="",FALSE,TRUE),exact(Metadata!G352,"air"))</f>
        <v>0</v>
      </c>
      <c r="AA352">
        <f>AND(IF(Metadata!H352="",FALSE,TRUE),exact(Metadata!H352,"air"))</f>
        <v>0</v>
      </c>
      <c r="AB352">
        <f>AND(IF(Metadata!I352="",FALSE,TRUE),exact(Metadata!I352,"air metagenome"))</f>
        <v>0</v>
      </c>
      <c r="AC352">
        <f>AND(IF(Metadata!J352="",FALSE,TRUE),exact(Metadata!J352,"655179"))</f>
        <v>0</v>
      </c>
    </row>
    <row r="353" spans="1:29">
      <c r="A353" s="5">
        <f>IF(B353=" "," ",HYPERLINK(CONCATENATE("#metadata!",ADDRESS(INDEX($P$2:$P$1001,MATCH(ROWS($N$2:N353),$N$2:$N$1001,0),0),1)),INDEX($S$2:$S$1001,MATCH(ROWS($N$2:N353),$N$2:$N$1001,0),0)))</f>
        <v>0</v>
      </c>
      <c r="B353" s="4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4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4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4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4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4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4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4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4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OR(AND(IF(Metadata!C353="",FALSE,TRUE),OR(exact(Metadata!C353,"not applicable"),exact(Metadata!C353,"not collected"),exact(Metadata!C353,"not provided"),exact(Metadata!C353,"restricted access"))),IF(Metadata!C353="",FALSE,ISNUMBER(VALUE(Metadata!C353))))</f>
        <v>0</v>
      </c>
      <c r="W353">
        <f>AND(IF(Metadata!D353="",FALSE,TRUE),exact(Metadata!D353,"m"))</f>
        <v>0</v>
      </c>
      <c r="X353">
        <f>AND(IF(Metadata!E353="",FALSE,TRUE),OR(exact(Metadata!E353,"aerosol (non-saline)"),exact(Metadata!E353,"aerosol (saline)")))</f>
        <v>0</v>
      </c>
      <c r="Y353">
        <f>AND(IF(Metadata!F353="",FALSE,TRUE),exact(Metadata!F353,"air"))</f>
        <v>0</v>
      </c>
      <c r="Z353">
        <f>AND(IF(Metadata!G353="",FALSE,TRUE),exact(Metadata!G353,"air"))</f>
        <v>0</v>
      </c>
      <c r="AA353">
        <f>AND(IF(Metadata!H353="",FALSE,TRUE),exact(Metadata!H353,"air"))</f>
        <v>0</v>
      </c>
      <c r="AB353">
        <f>AND(IF(Metadata!I353="",FALSE,TRUE),exact(Metadata!I353,"air metagenome"))</f>
        <v>0</v>
      </c>
      <c r="AC353">
        <f>AND(IF(Metadata!J353="",FALSE,TRUE),exact(Metadata!J353,"655179"))</f>
        <v>0</v>
      </c>
    </row>
    <row r="354" spans="1:29">
      <c r="A354" s="5">
        <f>IF(B354=" "," ",HYPERLINK(CONCATENATE("#metadata!",ADDRESS(INDEX($P$2:$P$1001,MATCH(ROWS($N$2:N354),$N$2:$N$1001,0),0),1)),INDEX($S$2:$S$1001,MATCH(ROWS($N$2:N354),$N$2:$N$1001,0),0)))</f>
        <v>0</v>
      </c>
      <c r="B354" s="4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4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4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4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4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4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4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4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4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OR(AND(IF(Metadata!C354="",FALSE,TRUE),OR(exact(Metadata!C354,"not applicable"),exact(Metadata!C354,"not collected"),exact(Metadata!C354,"not provided"),exact(Metadata!C354,"restricted access"))),IF(Metadata!C354="",FALSE,ISNUMBER(VALUE(Metadata!C354))))</f>
        <v>0</v>
      </c>
      <c r="W354">
        <f>AND(IF(Metadata!D354="",FALSE,TRUE),exact(Metadata!D354,"m"))</f>
        <v>0</v>
      </c>
      <c r="X354">
        <f>AND(IF(Metadata!E354="",FALSE,TRUE),OR(exact(Metadata!E354,"aerosol (non-saline)"),exact(Metadata!E354,"aerosol (saline)")))</f>
        <v>0</v>
      </c>
      <c r="Y354">
        <f>AND(IF(Metadata!F354="",FALSE,TRUE),exact(Metadata!F354,"air"))</f>
        <v>0</v>
      </c>
      <c r="Z354">
        <f>AND(IF(Metadata!G354="",FALSE,TRUE),exact(Metadata!G354,"air"))</f>
        <v>0</v>
      </c>
      <c r="AA354">
        <f>AND(IF(Metadata!H354="",FALSE,TRUE),exact(Metadata!H354,"air"))</f>
        <v>0</v>
      </c>
      <c r="AB354">
        <f>AND(IF(Metadata!I354="",FALSE,TRUE),exact(Metadata!I354,"air metagenome"))</f>
        <v>0</v>
      </c>
      <c r="AC354">
        <f>AND(IF(Metadata!J354="",FALSE,TRUE),exact(Metadata!J354,"655179"))</f>
        <v>0</v>
      </c>
    </row>
    <row r="355" spans="1:29">
      <c r="A355" s="5">
        <f>IF(B355=" "," ",HYPERLINK(CONCATENATE("#metadata!",ADDRESS(INDEX($P$2:$P$1001,MATCH(ROWS($N$2:N355),$N$2:$N$1001,0),0),1)),INDEX($S$2:$S$1001,MATCH(ROWS($N$2:N355),$N$2:$N$1001,0),0)))</f>
        <v>0</v>
      </c>
      <c r="B355" s="4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4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4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4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4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4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4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4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4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OR(AND(IF(Metadata!C355="",FALSE,TRUE),OR(exact(Metadata!C355,"not applicable"),exact(Metadata!C355,"not collected"),exact(Metadata!C355,"not provided"),exact(Metadata!C355,"restricted access"))),IF(Metadata!C355="",FALSE,ISNUMBER(VALUE(Metadata!C355))))</f>
        <v>0</v>
      </c>
      <c r="W355">
        <f>AND(IF(Metadata!D355="",FALSE,TRUE),exact(Metadata!D355,"m"))</f>
        <v>0</v>
      </c>
      <c r="X355">
        <f>AND(IF(Metadata!E355="",FALSE,TRUE),OR(exact(Metadata!E355,"aerosol (non-saline)"),exact(Metadata!E355,"aerosol (saline)")))</f>
        <v>0</v>
      </c>
      <c r="Y355">
        <f>AND(IF(Metadata!F355="",FALSE,TRUE),exact(Metadata!F355,"air"))</f>
        <v>0</v>
      </c>
      <c r="Z355">
        <f>AND(IF(Metadata!G355="",FALSE,TRUE),exact(Metadata!G355,"air"))</f>
        <v>0</v>
      </c>
      <c r="AA355">
        <f>AND(IF(Metadata!H355="",FALSE,TRUE),exact(Metadata!H355,"air"))</f>
        <v>0</v>
      </c>
      <c r="AB355">
        <f>AND(IF(Metadata!I355="",FALSE,TRUE),exact(Metadata!I355,"air metagenome"))</f>
        <v>0</v>
      </c>
      <c r="AC355">
        <f>AND(IF(Metadata!J355="",FALSE,TRUE),exact(Metadata!J355,"655179"))</f>
        <v>0</v>
      </c>
    </row>
    <row r="356" spans="1:29">
      <c r="A356" s="5">
        <f>IF(B356=" "," ",HYPERLINK(CONCATENATE("#metadata!",ADDRESS(INDEX($P$2:$P$1001,MATCH(ROWS($N$2:N356),$N$2:$N$1001,0),0),1)),INDEX($S$2:$S$1001,MATCH(ROWS($N$2:N356),$N$2:$N$1001,0),0)))</f>
        <v>0</v>
      </c>
      <c r="B356" s="4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4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4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4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4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4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4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4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4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OR(AND(IF(Metadata!C356="",FALSE,TRUE),OR(exact(Metadata!C356,"not applicable"),exact(Metadata!C356,"not collected"),exact(Metadata!C356,"not provided"),exact(Metadata!C356,"restricted access"))),IF(Metadata!C356="",FALSE,ISNUMBER(VALUE(Metadata!C356))))</f>
        <v>0</v>
      </c>
      <c r="W356">
        <f>AND(IF(Metadata!D356="",FALSE,TRUE),exact(Metadata!D356,"m"))</f>
        <v>0</v>
      </c>
      <c r="X356">
        <f>AND(IF(Metadata!E356="",FALSE,TRUE),OR(exact(Metadata!E356,"aerosol (non-saline)"),exact(Metadata!E356,"aerosol (saline)")))</f>
        <v>0</v>
      </c>
      <c r="Y356">
        <f>AND(IF(Metadata!F356="",FALSE,TRUE),exact(Metadata!F356,"air"))</f>
        <v>0</v>
      </c>
      <c r="Z356">
        <f>AND(IF(Metadata!G356="",FALSE,TRUE),exact(Metadata!G356,"air"))</f>
        <v>0</v>
      </c>
      <c r="AA356">
        <f>AND(IF(Metadata!H356="",FALSE,TRUE),exact(Metadata!H356,"air"))</f>
        <v>0</v>
      </c>
      <c r="AB356">
        <f>AND(IF(Metadata!I356="",FALSE,TRUE),exact(Metadata!I356,"air metagenome"))</f>
        <v>0</v>
      </c>
      <c r="AC356">
        <f>AND(IF(Metadata!J356="",FALSE,TRUE),exact(Metadata!J356,"655179"))</f>
        <v>0</v>
      </c>
    </row>
    <row r="357" spans="1:29">
      <c r="A357" s="5">
        <f>IF(B357=" "," ",HYPERLINK(CONCATENATE("#metadata!",ADDRESS(INDEX($P$2:$P$1001,MATCH(ROWS($N$2:N357),$N$2:$N$1001,0),0),1)),INDEX($S$2:$S$1001,MATCH(ROWS($N$2:N357),$N$2:$N$1001,0),0)))</f>
        <v>0</v>
      </c>
      <c r="B357" s="4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4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4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4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4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4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4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4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4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OR(AND(IF(Metadata!C357="",FALSE,TRUE),OR(exact(Metadata!C357,"not applicable"),exact(Metadata!C357,"not collected"),exact(Metadata!C357,"not provided"),exact(Metadata!C357,"restricted access"))),IF(Metadata!C357="",FALSE,ISNUMBER(VALUE(Metadata!C357))))</f>
        <v>0</v>
      </c>
      <c r="W357">
        <f>AND(IF(Metadata!D357="",FALSE,TRUE),exact(Metadata!D357,"m"))</f>
        <v>0</v>
      </c>
      <c r="X357">
        <f>AND(IF(Metadata!E357="",FALSE,TRUE),OR(exact(Metadata!E357,"aerosol (non-saline)"),exact(Metadata!E357,"aerosol (saline)")))</f>
        <v>0</v>
      </c>
      <c r="Y357">
        <f>AND(IF(Metadata!F357="",FALSE,TRUE),exact(Metadata!F357,"air"))</f>
        <v>0</v>
      </c>
      <c r="Z357">
        <f>AND(IF(Metadata!G357="",FALSE,TRUE),exact(Metadata!G357,"air"))</f>
        <v>0</v>
      </c>
      <c r="AA357">
        <f>AND(IF(Metadata!H357="",FALSE,TRUE),exact(Metadata!H357,"air"))</f>
        <v>0</v>
      </c>
      <c r="AB357">
        <f>AND(IF(Metadata!I357="",FALSE,TRUE),exact(Metadata!I357,"air metagenome"))</f>
        <v>0</v>
      </c>
      <c r="AC357">
        <f>AND(IF(Metadata!J357="",FALSE,TRUE),exact(Metadata!J357,"655179"))</f>
        <v>0</v>
      </c>
    </row>
    <row r="358" spans="1:29">
      <c r="A358" s="5">
        <f>IF(B358=" "," ",HYPERLINK(CONCATENATE("#metadata!",ADDRESS(INDEX($P$2:$P$1001,MATCH(ROWS($N$2:N358),$N$2:$N$1001,0),0),1)),INDEX($S$2:$S$1001,MATCH(ROWS($N$2:N358),$N$2:$N$1001,0),0)))</f>
        <v>0</v>
      </c>
      <c r="B358" s="4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4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4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4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4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4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4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4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4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OR(AND(IF(Metadata!C358="",FALSE,TRUE),OR(exact(Metadata!C358,"not applicable"),exact(Metadata!C358,"not collected"),exact(Metadata!C358,"not provided"),exact(Metadata!C358,"restricted access"))),IF(Metadata!C358="",FALSE,ISNUMBER(VALUE(Metadata!C358))))</f>
        <v>0</v>
      </c>
      <c r="W358">
        <f>AND(IF(Metadata!D358="",FALSE,TRUE),exact(Metadata!D358,"m"))</f>
        <v>0</v>
      </c>
      <c r="X358">
        <f>AND(IF(Metadata!E358="",FALSE,TRUE),OR(exact(Metadata!E358,"aerosol (non-saline)"),exact(Metadata!E358,"aerosol (saline)")))</f>
        <v>0</v>
      </c>
      <c r="Y358">
        <f>AND(IF(Metadata!F358="",FALSE,TRUE),exact(Metadata!F358,"air"))</f>
        <v>0</v>
      </c>
      <c r="Z358">
        <f>AND(IF(Metadata!G358="",FALSE,TRUE),exact(Metadata!G358,"air"))</f>
        <v>0</v>
      </c>
      <c r="AA358">
        <f>AND(IF(Metadata!H358="",FALSE,TRUE),exact(Metadata!H358,"air"))</f>
        <v>0</v>
      </c>
      <c r="AB358">
        <f>AND(IF(Metadata!I358="",FALSE,TRUE),exact(Metadata!I358,"air metagenome"))</f>
        <v>0</v>
      </c>
      <c r="AC358">
        <f>AND(IF(Metadata!J358="",FALSE,TRUE),exact(Metadata!J358,"655179"))</f>
        <v>0</v>
      </c>
    </row>
    <row r="359" spans="1:29">
      <c r="A359" s="5">
        <f>IF(B359=" "," ",HYPERLINK(CONCATENATE("#metadata!",ADDRESS(INDEX($P$2:$P$1001,MATCH(ROWS($N$2:N359),$N$2:$N$1001,0),0),1)),INDEX($S$2:$S$1001,MATCH(ROWS($N$2:N359),$N$2:$N$1001,0),0)))</f>
        <v>0</v>
      </c>
      <c r="B359" s="4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4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4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4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4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4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4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4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4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OR(AND(IF(Metadata!C359="",FALSE,TRUE),OR(exact(Metadata!C359,"not applicable"),exact(Metadata!C359,"not collected"),exact(Metadata!C359,"not provided"),exact(Metadata!C359,"restricted access"))),IF(Metadata!C359="",FALSE,ISNUMBER(VALUE(Metadata!C359))))</f>
        <v>0</v>
      </c>
      <c r="W359">
        <f>AND(IF(Metadata!D359="",FALSE,TRUE),exact(Metadata!D359,"m"))</f>
        <v>0</v>
      </c>
      <c r="X359">
        <f>AND(IF(Metadata!E359="",FALSE,TRUE),OR(exact(Metadata!E359,"aerosol (non-saline)"),exact(Metadata!E359,"aerosol (saline)")))</f>
        <v>0</v>
      </c>
      <c r="Y359">
        <f>AND(IF(Metadata!F359="",FALSE,TRUE),exact(Metadata!F359,"air"))</f>
        <v>0</v>
      </c>
      <c r="Z359">
        <f>AND(IF(Metadata!G359="",FALSE,TRUE),exact(Metadata!G359,"air"))</f>
        <v>0</v>
      </c>
      <c r="AA359">
        <f>AND(IF(Metadata!H359="",FALSE,TRUE),exact(Metadata!H359,"air"))</f>
        <v>0</v>
      </c>
      <c r="AB359">
        <f>AND(IF(Metadata!I359="",FALSE,TRUE),exact(Metadata!I359,"air metagenome"))</f>
        <v>0</v>
      </c>
      <c r="AC359">
        <f>AND(IF(Metadata!J359="",FALSE,TRUE),exact(Metadata!J359,"655179"))</f>
        <v>0</v>
      </c>
    </row>
    <row r="360" spans="1:29">
      <c r="A360" s="5">
        <f>IF(B360=" "," ",HYPERLINK(CONCATENATE("#metadata!",ADDRESS(INDEX($P$2:$P$1001,MATCH(ROWS($N$2:N360),$N$2:$N$1001,0),0),1)),INDEX($S$2:$S$1001,MATCH(ROWS($N$2:N360),$N$2:$N$1001,0),0)))</f>
        <v>0</v>
      </c>
      <c r="B360" s="4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4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4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4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4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4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4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4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4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OR(AND(IF(Metadata!C360="",FALSE,TRUE),OR(exact(Metadata!C360,"not applicable"),exact(Metadata!C360,"not collected"),exact(Metadata!C360,"not provided"),exact(Metadata!C360,"restricted access"))),IF(Metadata!C360="",FALSE,ISNUMBER(VALUE(Metadata!C360))))</f>
        <v>0</v>
      </c>
      <c r="W360">
        <f>AND(IF(Metadata!D360="",FALSE,TRUE),exact(Metadata!D360,"m"))</f>
        <v>0</v>
      </c>
      <c r="X360">
        <f>AND(IF(Metadata!E360="",FALSE,TRUE),OR(exact(Metadata!E360,"aerosol (non-saline)"),exact(Metadata!E360,"aerosol (saline)")))</f>
        <v>0</v>
      </c>
      <c r="Y360">
        <f>AND(IF(Metadata!F360="",FALSE,TRUE),exact(Metadata!F360,"air"))</f>
        <v>0</v>
      </c>
      <c r="Z360">
        <f>AND(IF(Metadata!G360="",FALSE,TRUE),exact(Metadata!G360,"air"))</f>
        <v>0</v>
      </c>
      <c r="AA360">
        <f>AND(IF(Metadata!H360="",FALSE,TRUE),exact(Metadata!H360,"air"))</f>
        <v>0</v>
      </c>
      <c r="AB360">
        <f>AND(IF(Metadata!I360="",FALSE,TRUE),exact(Metadata!I360,"air metagenome"))</f>
        <v>0</v>
      </c>
      <c r="AC360">
        <f>AND(IF(Metadata!J360="",FALSE,TRUE),exact(Metadata!J360,"655179"))</f>
        <v>0</v>
      </c>
    </row>
    <row r="361" spans="1:29">
      <c r="A361" s="5">
        <f>IF(B361=" "," ",HYPERLINK(CONCATENATE("#metadata!",ADDRESS(INDEX($P$2:$P$1001,MATCH(ROWS($N$2:N361),$N$2:$N$1001,0),0),1)),INDEX($S$2:$S$1001,MATCH(ROWS($N$2:N361),$N$2:$N$1001,0),0)))</f>
        <v>0</v>
      </c>
      <c r="B361" s="4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4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4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4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4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4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4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4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4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OR(AND(IF(Metadata!C361="",FALSE,TRUE),OR(exact(Metadata!C361,"not applicable"),exact(Metadata!C361,"not collected"),exact(Metadata!C361,"not provided"),exact(Metadata!C361,"restricted access"))),IF(Metadata!C361="",FALSE,ISNUMBER(VALUE(Metadata!C361))))</f>
        <v>0</v>
      </c>
      <c r="W361">
        <f>AND(IF(Metadata!D361="",FALSE,TRUE),exact(Metadata!D361,"m"))</f>
        <v>0</v>
      </c>
      <c r="X361">
        <f>AND(IF(Metadata!E361="",FALSE,TRUE),OR(exact(Metadata!E361,"aerosol (non-saline)"),exact(Metadata!E361,"aerosol (saline)")))</f>
        <v>0</v>
      </c>
      <c r="Y361">
        <f>AND(IF(Metadata!F361="",FALSE,TRUE),exact(Metadata!F361,"air"))</f>
        <v>0</v>
      </c>
      <c r="Z361">
        <f>AND(IF(Metadata!G361="",FALSE,TRUE),exact(Metadata!G361,"air"))</f>
        <v>0</v>
      </c>
      <c r="AA361">
        <f>AND(IF(Metadata!H361="",FALSE,TRUE),exact(Metadata!H361,"air"))</f>
        <v>0</v>
      </c>
      <c r="AB361">
        <f>AND(IF(Metadata!I361="",FALSE,TRUE),exact(Metadata!I361,"air metagenome"))</f>
        <v>0</v>
      </c>
      <c r="AC361">
        <f>AND(IF(Metadata!J361="",FALSE,TRUE),exact(Metadata!J361,"655179"))</f>
        <v>0</v>
      </c>
    </row>
    <row r="362" spans="1:29">
      <c r="A362" s="5">
        <f>IF(B362=" "," ",HYPERLINK(CONCATENATE("#metadata!",ADDRESS(INDEX($P$2:$P$1001,MATCH(ROWS($N$2:N362),$N$2:$N$1001,0),0),1)),INDEX($S$2:$S$1001,MATCH(ROWS($N$2:N362),$N$2:$N$1001,0),0)))</f>
        <v>0</v>
      </c>
      <c r="B362" s="4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4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4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4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4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4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4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4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4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OR(AND(IF(Metadata!C362="",FALSE,TRUE),OR(exact(Metadata!C362,"not applicable"),exact(Metadata!C362,"not collected"),exact(Metadata!C362,"not provided"),exact(Metadata!C362,"restricted access"))),IF(Metadata!C362="",FALSE,ISNUMBER(VALUE(Metadata!C362))))</f>
        <v>0</v>
      </c>
      <c r="W362">
        <f>AND(IF(Metadata!D362="",FALSE,TRUE),exact(Metadata!D362,"m"))</f>
        <v>0</v>
      </c>
      <c r="X362">
        <f>AND(IF(Metadata!E362="",FALSE,TRUE),OR(exact(Metadata!E362,"aerosol (non-saline)"),exact(Metadata!E362,"aerosol (saline)")))</f>
        <v>0</v>
      </c>
      <c r="Y362">
        <f>AND(IF(Metadata!F362="",FALSE,TRUE),exact(Metadata!F362,"air"))</f>
        <v>0</v>
      </c>
      <c r="Z362">
        <f>AND(IF(Metadata!G362="",FALSE,TRUE),exact(Metadata!G362,"air"))</f>
        <v>0</v>
      </c>
      <c r="AA362">
        <f>AND(IF(Metadata!H362="",FALSE,TRUE),exact(Metadata!H362,"air"))</f>
        <v>0</v>
      </c>
      <c r="AB362">
        <f>AND(IF(Metadata!I362="",FALSE,TRUE),exact(Metadata!I362,"air metagenome"))</f>
        <v>0</v>
      </c>
      <c r="AC362">
        <f>AND(IF(Metadata!J362="",FALSE,TRUE),exact(Metadata!J362,"655179"))</f>
        <v>0</v>
      </c>
    </row>
    <row r="363" spans="1:29">
      <c r="A363" s="5">
        <f>IF(B363=" "," ",HYPERLINK(CONCATENATE("#metadata!",ADDRESS(INDEX($P$2:$P$1001,MATCH(ROWS($N$2:N363),$N$2:$N$1001,0),0),1)),INDEX($S$2:$S$1001,MATCH(ROWS($N$2:N363),$N$2:$N$1001,0),0)))</f>
        <v>0</v>
      </c>
      <c r="B363" s="4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4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4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4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4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4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4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4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4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OR(AND(IF(Metadata!C363="",FALSE,TRUE),OR(exact(Metadata!C363,"not applicable"),exact(Metadata!C363,"not collected"),exact(Metadata!C363,"not provided"),exact(Metadata!C363,"restricted access"))),IF(Metadata!C363="",FALSE,ISNUMBER(VALUE(Metadata!C363))))</f>
        <v>0</v>
      </c>
      <c r="W363">
        <f>AND(IF(Metadata!D363="",FALSE,TRUE),exact(Metadata!D363,"m"))</f>
        <v>0</v>
      </c>
      <c r="X363">
        <f>AND(IF(Metadata!E363="",FALSE,TRUE),OR(exact(Metadata!E363,"aerosol (non-saline)"),exact(Metadata!E363,"aerosol (saline)")))</f>
        <v>0</v>
      </c>
      <c r="Y363">
        <f>AND(IF(Metadata!F363="",FALSE,TRUE),exact(Metadata!F363,"air"))</f>
        <v>0</v>
      </c>
      <c r="Z363">
        <f>AND(IF(Metadata!G363="",FALSE,TRUE),exact(Metadata!G363,"air"))</f>
        <v>0</v>
      </c>
      <c r="AA363">
        <f>AND(IF(Metadata!H363="",FALSE,TRUE),exact(Metadata!H363,"air"))</f>
        <v>0</v>
      </c>
      <c r="AB363">
        <f>AND(IF(Metadata!I363="",FALSE,TRUE),exact(Metadata!I363,"air metagenome"))</f>
        <v>0</v>
      </c>
      <c r="AC363">
        <f>AND(IF(Metadata!J363="",FALSE,TRUE),exact(Metadata!J363,"655179"))</f>
        <v>0</v>
      </c>
    </row>
    <row r="364" spans="1:29">
      <c r="A364" s="5">
        <f>IF(B364=" "," ",HYPERLINK(CONCATENATE("#metadata!",ADDRESS(INDEX($P$2:$P$1001,MATCH(ROWS($N$2:N364),$N$2:$N$1001,0),0),1)),INDEX($S$2:$S$1001,MATCH(ROWS($N$2:N364),$N$2:$N$1001,0),0)))</f>
        <v>0</v>
      </c>
      <c r="B364" s="4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4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4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4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4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4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4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4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4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OR(AND(IF(Metadata!C364="",FALSE,TRUE),OR(exact(Metadata!C364,"not applicable"),exact(Metadata!C364,"not collected"),exact(Metadata!C364,"not provided"),exact(Metadata!C364,"restricted access"))),IF(Metadata!C364="",FALSE,ISNUMBER(VALUE(Metadata!C364))))</f>
        <v>0</v>
      </c>
      <c r="W364">
        <f>AND(IF(Metadata!D364="",FALSE,TRUE),exact(Metadata!D364,"m"))</f>
        <v>0</v>
      </c>
      <c r="X364">
        <f>AND(IF(Metadata!E364="",FALSE,TRUE),OR(exact(Metadata!E364,"aerosol (non-saline)"),exact(Metadata!E364,"aerosol (saline)")))</f>
        <v>0</v>
      </c>
      <c r="Y364">
        <f>AND(IF(Metadata!F364="",FALSE,TRUE),exact(Metadata!F364,"air"))</f>
        <v>0</v>
      </c>
      <c r="Z364">
        <f>AND(IF(Metadata!G364="",FALSE,TRUE),exact(Metadata!G364,"air"))</f>
        <v>0</v>
      </c>
      <c r="AA364">
        <f>AND(IF(Metadata!H364="",FALSE,TRUE),exact(Metadata!H364,"air"))</f>
        <v>0</v>
      </c>
      <c r="AB364">
        <f>AND(IF(Metadata!I364="",FALSE,TRUE),exact(Metadata!I364,"air metagenome"))</f>
        <v>0</v>
      </c>
      <c r="AC364">
        <f>AND(IF(Metadata!J364="",FALSE,TRUE),exact(Metadata!J364,"655179"))</f>
        <v>0</v>
      </c>
    </row>
    <row r="365" spans="1:29">
      <c r="A365" s="5">
        <f>IF(B365=" "," ",HYPERLINK(CONCATENATE("#metadata!",ADDRESS(INDEX($P$2:$P$1001,MATCH(ROWS($N$2:N365),$N$2:$N$1001,0),0),1)),INDEX($S$2:$S$1001,MATCH(ROWS($N$2:N365),$N$2:$N$1001,0),0)))</f>
        <v>0</v>
      </c>
      <c r="B365" s="4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4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4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4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4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4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4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4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4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OR(AND(IF(Metadata!C365="",FALSE,TRUE),OR(exact(Metadata!C365,"not applicable"),exact(Metadata!C365,"not collected"),exact(Metadata!C365,"not provided"),exact(Metadata!C365,"restricted access"))),IF(Metadata!C365="",FALSE,ISNUMBER(VALUE(Metadata!C365))))</f>
        <v>0</v>
      </c>
      <c r="W365">
        <f>AND(IF(Metadata!D365="",FALSE,TRUE),exact(Metadata!D365,"m"))</f>
        <v>0</v>
      </c>
      <c r="X365">
        <f>AND(IF(Metadata!E365="",FALSE,TRUE),OR(exact(Metadata!E365,"aerosol (non-saline)"),exact(Metadata!E365,"aerosol (saline)")))</f>
        <v>0</v>
      </c>
      <c r="Y365">
        <f>AND(IF(Metadata!F365="",FALSE,TRUE),exact(Metadata!F365,"air"))</f>
        <v>0</v>
      </c>
      <c r="Z365">
        <f>AND(IF(Metadata!G365="",FALSE,TRUE),exact(Metadata!G365,"air"))</f>
        <v>0</v>
      </c>
      <c r="AA365">
        <f>AND(IF(Metadata!H365="",FALSE,TRUE),exact(Metadata!H365,"air"))</f>
        <v>0</v>
      </c>
      <c r="AB365">
        <f>AND(IF(Metadata!I365="",FALSE,TRUE),exact(Metadata!I365,"air metagenome"))</f>
        <v>0</v>
      </c>
      <c r="AC365">
        <f>AND(IF(Metadata!J365="",FALSE,TRUE),exact(Metadata!J365,"655179"))</f>
        <v>0</v>
      </c>
    </row>
    <row r="366" spans="1:29">
      <c r="A366" s="5">
        <f>IF(B366=" "," ",HYPERLINK(CONCATENATE("#metadata!",ADDRESS(INDEX($P$2:$P$1001,MATCH(ROWS($N$2:N366),$N$2:$N$1001,0),0),1)),INDEX($S$2:$S$1001,MATCH(ROWS($N$2:N366),$N$2:$N$1001,0),0)))</f>
        <v>0</v>
      </c>
      <c r="B366" s="4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4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4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4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4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4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4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4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4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OR(AND(IF(Metadata!C366="",FALSE,TRUE),OR(exact(Metadata!C366,"not applicable"),exact(Metadata!C366,"not collected"),exact(Metadata!C366,"not provided"),exact(Metadata!C366,"restricted access"))),IF(Metadata!C366="",FALSE,ISNUMBER(VALUE(Metadata!C366))))</f>
        <v>0</v>
      </c>
      <c r="W366">
        <f>AND(IF(Metadata!D366="",FALSE,TRUE),exact(Metadata!D366,"m"))</f>
        <v>0</v>
      </c>
      <c r="X366">
        <f>AND(IF(Metadata!E366="",FALSE,TRUE),OR(exact(Metadata!E366,"aerosol (non-saline)"),exact(Metadata!E366,"aerosol (saline)")))</f>
        <v>0</v>
      </c>
      <c r="Y366">
        <f>AND(IF(Metadata!F366="",FALSE,TRUE),exact(Metadata!F366,"air"))</f>
        <v>0</v>
      </c>
      <c r="Z366">
        <f>AND(IF(Metadata!G366="",FALSE,TRUE),exact(Metadata!G366,"air"))</f>
        <v>0</v>
      </c>
      <c r="AA366">
        <f>AND(IF(Metadata!H366="",FALSE,TRUE),exact(Metadata!H366,"air"))</f>
        <v>0</v>
      </c>
      <c r="AB366">
        <f>AND(IF(Metadata!I366="",FALSE,TRUE),exact(Metadata!I366,"air metagenome"))</f>
        <v>0</v>
      </c>
      <c r="AC366">
        <f>AND(IF(Metadata!J366="",FALSE,TRUE),exact(Metadata!J366,"655179"))</f>
        <v>0</v>
      </c>
    </row>
    <row r="367" spans="1:29">
      <c r="A367" s="5">
        <f>IF(B367=" "," ",HYPERLINK(CONCATENATE("#metadata!",ADDRESS(INDEX($P$2:$P$1001,MATCH(ROWS($N$2:N367),$N$2:$N$1001,0),0),1)),INDEX($S$2:$S$1001,MATCH(ROWS($N$2:N367),$N$2:$N$1001,0),0)))</f>
        <v>0</v>
      </c>
      <c r="B367" s="4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4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4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4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4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4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4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4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4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OR(AND(IF(Metadata!C367="",FALSE,TRUE),OR(exact(Metadata!C367,"not applicable"),exact(Metadata!C367,"not collected"),exact(Metadata!C367,"not provided"),exact(Metadata!C367,"restricted access"))),IF(Metadata!C367="",FALSE,ISNUMBER(VALUE(Metadata!C367))))</f>
        <v>0</v>
      </c>
      <c r="W367">
        <f>AND(IF(Metadata!D367="",FALSE,TRUE),exact(Metadata!D367,"m"))</f>
        <v>0</v>
      </c>
      <c r="X367">
        <f>AND(IF(Metadata!E367="",FALSE,TRUE),OR(exact(Metadata!E367,"aerosol (non-saline)"),exact(Metadata!E367,"aerosol (saline)")))</f>
        <v>0</v>
      </c>
      <c r="Y367">
        <f>AND(IF(Metadata!F367="",FALSE,TRUE),exact(Metadata!F367,"air"))</f>
        <v>0</v>
      </c>
      <c r="Z367">
        <f>AND(IF(Metadata!G367="",FALSE,TRUE),exact(Metadata!G367,"air"))</f>
        <v>0</v>
      </c>
      <c r="AA367">
        <f>AND(IF(Metadata!H367="",FALSE,TRUE),exact(Metadata!H367,"air"))</f>
        <v>0</v>
      </c>
      <c r="AB367">
        <f>AND(IF(Metadata!I367="",FALSE,TRUE),exact(Metadata!I367,"air metagenome"))</f>
        <v>0</v>
      </c>
      <c r="AC367">
        <f>AND(IF(Metadata!J367="",FALSE,TRUE),exact(Metadata!J367,"655179"))</f>
        <v>0</v>
      </c>
    </row>
    <row r="368" spans="1:29">
      <c r="A368" s="5">
        <f>IF(B368=" "," ",HYPERLINK(CONCATENATE("#metadata!",ADDRESS(INDEX($P$2:$P$1001,MATCH(ROWS($N$2:N368),$N$2:$N$1001,0),0),1)),INDEX($S$2:$S$1001,MATCH(ROWS($N$2:N368),$N$2:$N$1001,0),0)))</f>
        <v>0</v>
      </c>
      <c r="B368" s="4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4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4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4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4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4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4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4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4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OR(AND(IF(Metadata!C368="",FALSE,TRUE),OR(exact(Metadata!C368,"not applicable"),exact(Metadata!C368,"not collected"),exact(Metadata!C368,"not provided"),exact(Metadata!C368,"restricted access"))),IF(Metadata!C368="",FALSE,ISNUMBER(VALUE(Metadata!C368))))</f>
        <v>0</v>
      </c>
      <c r="W368">
        <f>AND(IF(Metadata!D368="",FALSE,TRUE),exact(Metadata!D368,"m"))</f>
        <v>0</v>
      </c>
      <c r="X368">
        <f>AND(IF(Metadata!E368="",FALSE,TRUE),OR(exact(Metadata!E368,"aerosol (non-saline)"),exact(Metadata!E368,"aerosol (saline)")))</f>
        <v>0</v>
      </c>
      <c r="Y368">
        <f>AND(IF(Metadata!F368="",FALSE,TRUE),exact(Metadata!F368,"air"))</f>
        <v>0</v>
      </c>
      <c r="Z368">
        <f>AND(IF(Metadata!G368="",FALSE,TRUE),exact(Metadata!G368,"air"))</f>
        <v>0</v>
      </c>
      <c r="AA368">
        <f>AND(IF(Metadata!H368="",FALSE,TRUE),exact(Metadata!H368,"air"))</f>
        <v>0</v>
      </c>
      <c r="AB368">
        <f>AND(IF(Metadata!I368="",FALSE,TRUE),exact(Metadata!I368,"air metagenome"))</f>
        <v>0</v>
      </c>
      <c r="AC368">
        <f>AND(IF(Metadata!J368="",FALSE,TRUE),exact(Metadata!J368,"655179"))</f>
        <v>0</v>
      </c>
    </row>
    <row r="369" spans="1:29">
      <c r="A369" s="5">
        <f>IF(B369=" "," ",HYPERLINK(CONCATENATE("#metadata!",ADDRESS(INDEX($P$2:$P$1001,MATCH(ROWS($N$2:N369),$N$2:$N$1001,0),0),1)),INDEX($S$2:$S$1001,MATCH(ROWS($N$2:N369),$N$2:$N$1001,0),0)))</f>
        <v>0</v>
      </c>
      <c r="B369" s="4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4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4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4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4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4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4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4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4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OR(AND(IF(Metadata!C369="",FALSE,TRUE),OR(exact(Metadata!C369,"not applicable"),exact(Metadata!C369,"not collected"),exact(Metadata!C369,"not provided"),exact(Metadata!C369,"restricted access"))),IF(Metadata!C369="",FALSE,ISNUMBER(VALUE(Metadata!C369))))</f>
        <v>0</v>
      </c>
      <c r="W369">
        <f>AND(IF(Metadata!D369="",FALSE,TRUE),exact(Metadata!D369,"m"))</f>
        <v>0</v>
      </c>
      <c r="X369">
        <f>AND(IF(Metadata!E369="",FALSE,TRUE),OR(exact(Metadata!E369,"aerosol (non-saline)"),exact(Metadata!E369,"aerosol (saline)")))</f>
        <v>0</v>
      </c>
      <c r="Y369">
        <f>AND(IF(Metadata!F369="",FALSE,TRUE),exact(Metadata!F369,"air"))</f>
        <v>0</v>
      </c>
      <c r="Z369">
        <f>AND(IF(Metadata!G369="",FALSE,TRUE),exact(Metadata!G369,"air"))</f>
        <v>0</v>
      </c>
      <c r="AA369">
        <f>AND(IF(Metadata!H369="",FALSE,TRUE),exact(Metadata!H369,"air"))</f>
        <v>0</v>
      </c>
      <c r="AB369">
        <f>AND(IF(Metadata!I369="",FALSE,TRUE),exact(Metadata!I369,"air metagenome"))</f>
        <v>0</v>
      </c>
      <c r="AC369">
        <f>AND(IF(Metadata!J369="",FALSE,TRUE),exact(Metadata!J369,"655179"))</f>
        <v>0</v>
      </c>
    </row>
    <row r="370" spans="1:29">
      <c r="A370" s="5">
        <f>IF(B370=" "," ",HYPERLINK(CONCATENATE("#metadata!",ADDRESS(INDEX($P$2:$P$1001,MATCH(ROWS($N$2:N370),$N$2:$N$1001,0),0),1)),INDEX($S$2:$S$1001,MATCH(ROWS($N$2:N370),$N$2:$N$1001,0),0)))</f>
        <v>0</v>
      </c>
      <c r="B370" s="4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4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4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4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4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4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4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4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4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OR(AND(IF(Metadata!C370="",FALSE,TRUE),OR(exact(Metadata!C370,"not applicable"),exact(Metadata!C370,"not collected"),exact(Metadata!C370,"not provided"),exact(Metadata!C370,"restricted access"))),IF(Metadata!C370="",FALSE,ISNUMBER(VALUE(Metadata!C370))))</f>
        <v>0</v>
      </c>
      <c r="W370">
        <f>AND(IF(Metadata!D370="",FALSE,TRUE),exact(Metadata!D370,"m"))</f>
        <v>0</v>
      </c>
      <c r="X370">
        <f>AND(IF(Metadata!E370="",FALSE,TRUE),OR(exact(Metadata!E370,"aerosol (non-saline)"),exact(Metadata!E370,"aerosol (saline)")))</f>
        <v>0</v>
      </c>
      <c r="Y370">
        <f>AND(IF(Metadata!F370="",FALSE,TRUE),exact(Metadata!F370,"air"))</f>
        <v>0</v>
      </c>
      <c r="Z370">
        <f>AND(IF(Metadata!G370="",FALSE,TRUE),exact(Metadata!G370,"air"))</f>
        <v>0</v>
      </c>
      <c r="AA370">
        <f>AND(IF(Metadata!H370="",FALSE,TRUE),exact(Metadata!H370,"air"))</f>
        <v>0</v>
      </c>
      <c r="AB370">
        <f>AND(IF(Metadata!I370="",FALSE,TRUE),exact(Metadata!I370,"air metagenome"))</f>
        <v>0</v>
      </c>
      <c r="AC370">
        <f>AND(IF(Metadata!J370="",FALSE,TRUE),exact(Metadata!J370,"655179"))</f>
        <v>0</v>
      </c>
    </row>
    <row r="371" spans="1:29">
      <c r="A371" s="5">
        <f>IF(B371=" "," ",HYPERLINK(CONCATENATE("#metadata!",ADDRESS(INDEX($P$2:$P$1001,MATCH(ROWS($N$2:N371),$N$2:$N$1001,0),0),1)),INDEX($S$2:$S$1001,MATCH(ROWS($N$2:N371),$N$2:$N$1001,0),0)))</f>
        <v>0</v>
      </c>
      <c r="B371" s="4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4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4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4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4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4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4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4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4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OR(AND(IF(Metadata!C371="",FALSE,TRUE),OR(exact(Metadata!C371,"not applicable"),exact(Metadata!C371,"not collected"),exact(Metadata!C371,"not provided"),exact(Metadata!C371,"restricted access"))),IF(Metadata!C371="",FALSE,ISNUMBER(VALUE(Metadata!C371))))</f>
        <v>0</v>
      </c>
      <c r="W371">
        <f>AND(IF(Metadata!D371="",FALSE,TRUE),exact(Metadata!D371,"m"))</f>
        <v>0</v>
      </c>
      <c r="X371">
        <f>AND(IF(Metadata!E371="",FALSE,TRUE),OR(exact(Metadata!E371,"aerosol (non-saline)"),exact(Metadata!E371,"aerosol (saline)")))</f>
        <v>0</v>
      </c>
      <c r="Y371">
        <f>AND(IF(Metadata!F371="",FALSE,TRUE),exact(Metadata!F371,"air"))</f>
        <v>0</v>
      </c>
      <c r="Z371">
        <f>AND(IF(Metadata!G371="",FALSE,TRUE),exact(Metadata!G371,"air"))</f>
        <v>0</v>
      </c>
      <c r="AA371">
        <f>AND(IF(Metadata!H371="",FALSE,TRUE),exact(Metadata!H371,"air"))</f>
        <v>0</v>
      </c>
      <c r="AB371">
        <f>AND(IF(Metadata!I371="",FALSE,TRUE),exact(Metadata!I371,"air metagenome"))</f>
        <v>0</v>
      </c>
      <c r="AC371">
        <f>AND(IF(Metadata!J371="",FALSE,TRUE),exact(Metadata!J371,"655179"))</f>
        <v>0</v>
      </c>
    </row>
    <row r="372" spans="1:29">
      <c r="A372" s="5">
        <f>IF(B372=" "," ",HYPERLINK(CONCATENATE("#metadata!",ADDRESS(INDEX($P$2:$P$1001,MATCH(ROWS($N$2:N372),$N$2:$N$1001,0),0),1)),INDEX($S$2:$S$1001,MATCH(ROWS($N$2:N372),$N$2:$N$1001,0),0)))</f>
        <v>0</v>
      </c>
      <c r="B372" s="4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4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4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4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4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4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4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4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4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OR(AND(IF(Metadata!C372="",FALSE,TRUE),OR(exact(Metadata!C372,"not applicable"),exact(Metadata!C372,"not collected"),exact(Metadata!C372,"not provided"),exact(Metadata!C372,"restricted access"))),IF(Metadata!C372="",FALSE,ISNUMBER(VALUE(Metadata!C372))))</f>
        <v>0</v>
      </c>
      <c r="W372">
        <f>AND(IF(Metadata!D372="",FALSE,TRUE),exact(Metadata!D372,"m"))</f>
        <v>0</v>
      </c>
      <c r="X372">
        <f>AND(IF(Metadata!E372="",FALSE,TRUE),OR(exact(Metadata!E372,"aerosol (non-saline)"),exact(Metadata!E372,"aerosol (saline)")))</f>
        <v>0</v>
      </c>
      <c r="Y372">
        <f>AND(IF(Metadata!F372="",FALSE,TRUE),exact(Metadata!F372,"air"))</f>
        <v>0</v>
      </c>
      <c r="Z372">
        <f>AND(IF(Metadata!G372="",FALSE,TRUE),exact(Metadata!G372,"air"))</f>
        <v>0</v>
      </c>
      <c r="AA372">
        <f>AND(IF(Metadata!H372="",FALSE,TRUE),exact(Metadata!H372,"air"))</f>
        <v>0</v>
      </c>
      <c r="AB372">
        <f>AND(IF(Metadata!I372="",FALSE,TRUE),exact(Metadata!I372,"air metagenome"))</f>
        <v>0</v>
      </c>
      <c r="AC372">
        <f>AND(IF(Metadata!J372="",FALSE,TRUE),exact(Metadata!J372,"655179"))</f>
        <v>0</v>
      </c>
    </row>
    <row r="373" spans="1:29">
      <c r="A373" s="5">
        <f>IF(B373=" "," ",HYPERLINK(CONCATENATE("#metadata!",ADDRESS(INDEX($P$2:$P$1001,MATCH(ROWS($N$2:N373),$N$2:$N$1001,0),0),1)),INDEX($S$2:$S$1001,MATCH(ROWS($N$2:N373),$N$2:$N$1001,0),0)))</f>
        <v>0</v>
      </c>
      <c r="B373" s="4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4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4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4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4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4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4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4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4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OR(AND(IF(Metadata!C373="",FALSE,TRUE),OR(exact(Metadata!C373,"not applicable"),exact(Metadata!C373,"not collected"),exact(Metadata!C373,"not provided"),exact(Metadata!C373,"restricted access"))),IF(Metadata!C373="",FALSE,ISNUMBER(VALUE(Metadata!C373))))</f>
        <v>0</v>
      </c>
      <c r="W373">
        <f>AND(IF(Metadata!D373="",FALSE,TRUE),exact(Metadata!D373,"m"))</f>
        <v>0</v>
      </c>
      <c r="X373">
        <f>AND(IF(Metadata!E373="",FALSE,TRUE),OR(exact(Metadata!E373,"aerosol (non-saline)"),exact(Metadata!E373,"aerosol (saline)")))</f>
        <v>0</v>
      </c>
      <c r="Y373">
        <f>AND(IF(Metadata!F373="",FALSE,TRUE),exact(Metadata!F373,"air"))</f>
        <v>0</v>
      </c>
      <c r="Z373">
        <f>AND(IF(Metadata!G373="",FALSE,TRUE),exact(Metadata!G373,"air"))</f>
        <v>0</v>
      </c>
      <c r="AA373">
        <f>AND(IF(Metadata!H373="",FALSE,TRUE),exact(Metadata!H373,"air"))</f>
        <v>0</v>
      </c>
      <c r="AB373">
        <f>AND(IF(Metadata!I373="",FALSE,TRUE),exact(Metadata!I373,"air metagenome"))</f>
        <v>0</v>
      </c>
      <c r="AC373">
        <f>AND(IF(Metadata!J373="",FALSE,TRUE),exact(Metadata!J373,"655179"))</f>
        <v>0</v>
      </c>
    </row>
    <row r="374" spans="1:29">
      <c r="A374" s="5">
        <f>IF(B374=" "," ",HYPERLINK(CONCATENATE("#metadata!",ADDRESS(INDEX($P$2:$P$1001,MATCH(ROWS($N$2:N374),$N$2:$N$1001,0),0),1)),INDEX($S$2:$S$1001,MATCH(ROWS($N$2:N374),$N$2:$N$1001,0),0)))</f>
        <v>0</v>
      </c>
      <c r="B374" s="4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4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4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4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4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4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4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4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4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OR(AND(IF(Metadata!C374="",FALSE,TRUE),OR(exact(Metadata!C374,"not applicable"),exact(Metadata!C374,"not collected"),exact(Metadata!C374,"not provided"),exact(Metadata!C374,"restricted access"))),IF(Metadata!C374="",FALSE,ISNUMBER(VALUE(Metadata!C374))))</f>
        <v>0</v>
      </c>
      <c r="W374">
        <f>AND(IF(Metadata!D374="",FALSE,TRUE),exact(Metadata!D374,"m"))</f>
        <v>0</v>
      </c>
      <c r="X374">
        <f>AND(IF(Metadata!E374="",FALSE,TRUE),OR(exact(Metadata!E374,"aerosol (non-saline)"),exact(Metadata!E374,"aerosol (saline)")))</f>
        <v>0</v>
      </c>
      <c r="Y374">
        <f>AND(IF(Metadata!F374="",FALSE,TRUE),exact(Metadata!F374,"air"))</f>
        <v>0</v>
      </c>
      <c r="Z374">
        <f>AND(IF(Metadata!G374="",FALSE,TRUE),exact(Metadata!G374,"air"))</f>
        <v>0</v>
      </c>
      <c r="AA374">
        <f>AND(IF(Metadata!H374="",FALSE,TRUE),exact(Metadata!H374,"air"))</f>
        <v>0</v>
      </c>
      <c r="AB374">
        <f>AND(IF(Metadata!I374="",FALSE,TRUE),exact(Metadata!I374,"air metagenome"))</f>
        <v>0</v>
      </c>
      <c r="AC374">
        <f>AND(IF(Metadata!J374="",FALSE,TRUE),exact(Metadata!J374,"655179"))</f>
        <v>0</v>
      </c>
    </row>
    <row r="375" spans="1:29">
      <c r="A375" s="5">
        <f>IF(B375=" "," ",HYPERLINK(CONCATENATE("#metadata!",ADDRESS(INDEX($P$2:$P$1001,MATCH(ROWS($N$2:N375),$N$2:$N$1001,0),0),1)),INDEX($S$2:$S$1001,MATCH(ROWS($N$2:N375),$N$2:$N$1001,0),0)))</f>
        <v>0</v>
      </c>
      <c r="B375" s="4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4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4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4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4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4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4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4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4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OR(AND(IF(Metadata!C375="",FALSE,TRUE),OR(exact(Metadata!C375,"not applicable"),exact(Metadata!C375,"not collected"),exact(Metadata!C375,"not provided"),exact(Metadata!C375,"restricted access"))),IF(Metadata!C375="",FALSE,ISNUMBER(VALUE(Metadata!C375))))</f>
        <v>0</v>
      </c>
      <c r="W375">
        <f>AND(IF(Metadata!D375="",FALSE,TRUE),exact(Metadata!D375,"m"))</f>
        <v>0</v>
      </c>
      <c r="X375">
        <f>AND(IF(Metadata!E375="",FALSE,TRUE),OR(exact(Metadata!E375,"aerosol (non-saline)"),exact(Metadata!E375,"aerosol (saline)")))</f>
        <v>0</v>
      </c>
      <c r="Y375">
        <f>AND(IF(Metadata!F375="",FALSE,TRUE),exact(Metadata!F375,"air"))</f>
        <v>0</v>
      </c>
      <c r="Z375">
        <f>AND(IF(Metadata!G375="",FALSE,TRUE),exact(Metadata!G375,"air"))</f>
        <v>0</v>
      </c>
      <c r="AA375">
        <f>AND(IF(Metadata!H375="",FALSE,TRUE),exact(Metadata!H375,"air"))</f>
        <v>0</v>
      </c>
      <c r="AB375">
        <f>AND(IF(Metadata!I375="",FALSE,TRUE),exact(Metadata!I375,"air metagenome"))</f>
        <v>0</v>
      </c>
      <c r="AC375">
        <f>AND(IF(Metadata!J375="",FALSE,TRUE),exact(Metadata!J375,"655179"))</f>
        <v>0</v>
      </c>
    </row>
    <row r="376" spans="1:29">
      <c r="A376" s="5">
        <f>IF(B376=" "," ",HYPERLINK(CONCATENATE("#metadata!",ADDRESS(INDEX($P$2:$P$1001,MATCH(ROWS($N$2:N376),$N$2:$N$1001,0),0),1)),INDEX($S$2:$S$1001,MATCH(ROWS($N$2:N376),$N$2:$N$1001,0),0)))</f>
        <v>0</v>
      </c>
      <c r="B376" s="4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4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4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4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4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4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4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4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4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OR(AND(IF(Metadata!C376="",FALSE,TRUE),OR(exact(Metadata!C376,"not applicable"),exact(Metadata!C376,"not collected"),exact(Metadata!C376,"not provided"),exact(Metadata!C376,"restricted access"))),IF(Metadata!C376="",FALSE,ISNUMBER(VALUE(Metadata!C376))))</f>
        <v>0</v>
      </c>
      <c r="W376">
        <f>AND(IF(Metadata!D376="",FALSE,TRUE),exact(Metadata!D376,"m"))</f>
        <v>0</v>
      </c>
      <c r="X376">
        <f>AND(IF(Metadata!E376="",FALSE,TRUE),OR(exact(Metadata!E376,"aerosol (non-saline)"),exact(Metadata!E376,"aerosol (saline)")))</f>
        <v>0</v>
      </c>
      <c r="Y376">
        <f>AND(IF(Metadata!F376="",FALSE,TRUE),exact(Metadata!F376,"air"))</f>
        <v>0</v>
      </c>
      <c r="Z376">
        <f>AND(IF(Metadata!G376="",FALSE,TRUE),exact(Metadata!G376,"air"))</f>
        <v>0</v>
      </c>
      <c r="AA376">
        <f>AND(IF(Metadata!H376="",FALSE,TRUE),exact(Metadata!H376,"air"))</f>
        <v>0</v>
      </c>
      <c r="AB376">
        <f>AND(IF(Metadata!I376="",FALSE,TRUE),exact(Metadata!I376,"air metagenome"))</f>
        <v>0</v>
      </c>
      <c r="AC376">
        <f>AND(IF(Metadata!J376="",FALSE,TRUE),exact(Metadata!J376,"655179"))</f>
        <v>0</v>
      </c>
    </row>
    <row r="377" spans="1:29">
      <c r="A377" s="5">
        <f>IF(B377=" "," ",HYPERLINK(CONCATENATE("#metadata!",ADDRESS(INDEX($P$2:$P$1001,MATCH(ROWS($N$2:N377),$N$2:$N$1001,0),0),1)),INDEX($S$2:$S$1001,MATCH(ROWS($N$2:N377),$N$2:$N$1001,0),0)))</f>
        <v>0</v>
      </c>
      <c r="B377" s="4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4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4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4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4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4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4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4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4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OR(AND(IF(Metadata!C377="",FALSE,TRUE),OR(exact(Metadata!C377,"not applicable"),exact(Metadata!C377,"not collected"),exact(Metadata!C377,"not provided"),exact(Metadata!C377,"restricted access"))),IF(Metadata!C377="",FALSE,ISNUMBER(VALUE(Metadata!C377))))</f>
        <v>0</v>
      </c>
      <c r="W377">
        <f>AND(IF(Metadata!D377="",FALSE,TRUE),exact(Metadata!D377,"m"))</f>
        <v>0</v>
      </c>
      <c r="X377">
        <f>AND(IF(Metadata!E377="",FALSE,TRUE),OR(exact(Metadata!E377,"aerosol (non-saline)"),exact(Metadata!E377,"aerosol (saline)")))</f>
        <v>0</v>
      </c>
      <c r="Y377">
        <f>AND(IF(Metadata!F377="",FALSE,TRUE),exact(Metadata!F377,"air"))</f>
        <v>0</v>
      </c>
      <c r="Z377">
        <f>AND(IF(Metadata!G377="",FALSE,TRUE),exact(Metadata!G377,"air"))</f>
        <v>0</v>
      </c>
      <c r="AA377">
        <f>AND(IF(Metadata!H377="",FALSE,TRUE),exact(Metadata!H377,"air"))</f>
        <v>0</v>
      </c>
      <c r="AB377">
        <f>AND(IF(Metadata!I377="",FALSE,TRUE),exact(Metadata!I377,"air metagenome"))</f>
        <v>0</v>
      </c>
      <c r="AC377">
        <f>AND(IF(Metadata!J377="",FALSE,TRUE),exact(Metadata!J377,"655179"))</f>
        <v>0</v>
      </c>
    </row>
    <row r="378" spans="1:29">
      <c r="A378" s="5">
        <f>IF(B378=" "," ",HYPERLINK(CONCATENATE("#metadata!",ADDRESS(INDEX($P$2:$P$1001,MATCH(ROWS($N$2:N378),$N$2:$N$1001,0),0),1)),INDEX($S$2:$S$1001,MATCH(ROWS($N$2:N378),$N$2:$N$1001,0),0)))</f>
        <v>0</v>
      </c>
      <c r="B378" s="4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4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4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4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4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4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4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4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4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OR(AND(IF(Metadata!C378="",FALSE,TRUE),OR(exact(Metadata!C378,"not applicable"),exact(Metadata!C378,"not collected"),exact(Metadata!C378,"not provided"),exact(Metadata!C378,"restricted access"))),IF(Metadata!C378="",FALSE,ISNUMBER(VALUE(Metadata!C378))))</f>
        <v>0</v>
      </c>
      <c r="W378">
        <f>AND(IF(Metadata!D378="",FALSE,TRUE),exact(Metadata!D378,"m"))</f>
        <v>0</v>
      </c>
      <c r="X378">
        <f>AND(IF(Metadata!E378="",FALSE,TRUE),OR(exact(Metadata!E378,"aerosol (non-saline)"),exact(Metadata!E378,"aerosol (saline)")))</f>
        <v>0</v>
      </c>
      <c r="Y378">
        <f>AND(IF(Metadata!F378="",FALSE,TRUE),exact(Metadata!F378,"air"))</f>
        <v>0</v>
      </c>
      <c r="Z378">
        <f>AND(IF(Metadata!G378="",FALSE,TRUE),exact(Metadata!G378,"air"))</f>
        <v>0</v>
      </c>
      <c r="AA378">
        <f>AND(IF(Metadata!H378="",FALSE,TRUE),exact(Metadata!H378,"air"))</f>
        <v>0</v>
      </c>
      <c r="AB378">
        <f>AND(IF(Metadata!I378="",FALSE,TRUE),exact(Metadata!I378,"air metagenome"))</f>
        <v>0</v>
      </c>
      <c r="AC378">
        <f>AND(IF(Metadata!J378="",FALSE,TRUE),exact(Metadata!J378,"655179"))</f>
        <v>0</v>
      </c>
    </row>
    <row r="379" spans="1:29">
      <c r="A379" s="5">
        <f>IF(B379=" "," ",HYPERLINK(CONCATENATE("#metadata!",ADDRESS(INDEX($P$2:$P$1001,MATCH(ROWS($N$2:N379),$N$2:$N$1001,0),0),1)),INDEX($S$2:$S$1001,MATCH(ROWS($N$2:N379),$N$2:$N$1001,0),0)))</f>
        <v>0</v>
      </c>
      <c r="B379" s="4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4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4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4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4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4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4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4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4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OR(AND(IF(Metadata!C379="",FALSE,TRUE),OR(exact(Metadata!C379,"not applicable"),exact(Metadata!C379,"not collected"),exact(Metadata!C379,"not provided"),exact(Metadata!C379,"restricted access"))),IF(Metadata!C379="",FALSE,ISNUMBER(VALUE(Metadata!C379))))</f>
        <v>0</v>
      </c>
      <c r="W379">
        <f>AND(IF(Metadata!D379="",FALSE,TRUE),exact(Metadata!D379,"m"))</f>
        <v>0</v>
      </c>
      <c r="X379">
        <f>AND(IF(Metadata!E379="",FALSE,TRUE),OR(exact(Metadata!E379,"aerosol (non-saline)"),exact(Metadata!E379,"aerosol (saline)")))</f>
        <v>0</v>
      </c>
      <c r="Y379">
        <f>AND(IF(Metadata!F379="",FALSE,TRUE),exact(Metadata!F379,"air"))</f>
        <v>0</v>
      </c>
      <c r="Z379">
        <f>AND(IF(Metadata!G379="",FALSE,TRUE),exact(Metadata!G379,"air"))</f>
        <v>0</v>
      </c>
      <c r="AA379">
        <f>AND(IF(Metadata!H379="",FALSE,TRUE),exact(Metadata!H379,"air"))</f>
        <v>0</v>
      </c>
      <c r="AB379">
        <f>AND(IF(Metadata!I379="",FALSE,TRUE),exact(Metadata!I379,"air metagenome"))</f>
        <v>0</v>
      </c>
      <c r="AC379">
        <f>AND(IF(Metadata!J379="",FALSE,TRUE),exact(Metadata!J379,"655179"))</f>
        <v>0</v>
      </c>
    </row>
    <row r="380" spans="1:29">
      <c r="A380" s="5">
        <f>IF(B380=" "," ",HYPERLINK(CONCATENATE("#metadata!",ADDRESS(INDEX($P$2:$P$1001,MATCH(ROWS($N$2:N380),$N$2:$N$1001,0),0),1)),INDEX($S$2:$S$1001,MATCH(ROWS($N$2:N380),$N$2:$N$1001,0),0)))</f>
        <v>0</v>
      </c>
      <c r="B380" s="4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4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4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4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4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4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4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4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4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OR(AND(IF(Metadata!C380="",FALSE,TRUE),OR(exact(Metadata!C380,"not applicable"),exact(Metadata!C380,"not collected"),exact(Metadata!C380,"not provided"),exact(Metadata!C380,"restricted access"))),IF(Metadata!C380="",FALSE,ISNUMBER(VALUE(Metadata!C380))))</f>
        <v>0</v>
      </c>
      <c r="W380">
        <f>AND(IF(Metadata!D380="",FALSE,TRUE),exact(Metadata!D380,"m"))</f>
        <v>0</v>
      </c>
      <c r="X380">
        <f>AND(IF(Metadata!E380="",FALSE,TRUE),OR(exact(Metadata!E380,"aerosol (non-saline)"),exact(Metadata!E380,"aerosol (saline)")))</f>
        <v>0</v>
      </c>
      <c r="Y380">
        <f>AND(IF(Metadata!F380="",FALSE,TRUE),exact(Metadata!F380,"air"))</f>
        <v>0</v>
      </c>
      <c r="Z380">
        <f>AND(IF(Metadata!G380="",FALSE,TRUE),exact(Metadata!G380,"air"))</f>
        <v>0</v>
      </c>
      <c r="AA380">
        <f>AND(IF(Metadata!H380="",FALSE,TRUE),exact(Metadata!H380,"air"))</f>
        <v>0</v>
      </c>
      <c r="AB380">
        <f>AND(IF(Metadata!I380="",FALSE,TRUE),exact(Metadata!I380,"air metagenome"))</f>
        <v>0</v>
      </c>
      <c r="AC380">
        <f>AND(IF(Metadata!J380="",FALSE,TRUE),exact(Metadata!J380,"655179"))</f>
        <v>0</v>
      </c>
    </row>
    <row r="381" spans="1:29">
      <c r="A381" s="5">
        <f>IF(B381=" "," ",HYPERLINK(CONCATENATE("#metadata!",ADDRESS(INDEX($P$2:$P$1001,MATCH(ROWS($N$2:N381),$N$2:$N$1001,0),0),1)),INDEX($S$2:$S$1001,MATCH(ROWS($N$2:N381),$N$2:$N$1001,0),0)))</f>
        <v>0</v>
      </c>
      <c r="B381" s="4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4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4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4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4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4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4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4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4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OR(AND(IF(Metadata!C381="",FALSE,TRUE),OR(exact(Metadata!C381,"not applicable"),exact(Metadata!C381,"not collected"),exact(Metadata!C381,"not provided"),exact(Metadata!C381,"restricted access"))),IF(Metadata!C381="",FALSE,ISNUMBER(VALUE(Metadata!C381))))</f>
        <v>0</v>
      </c>
      <c r="W381">
        <f>AND(IF(Metadata!D381="",FALSE,TRUE),exact(Metadata!D381,"m"))</f>
        <v>0</v>
      </c>
      <c r="X381">
        <f>AND(IF(Metadata!E381="",FALSE,TRUE),OR(exact(Metadata!E381,"aerosol (non-saline)"),exact(Metadata!E381,"aerosol (saline)")))</f>
        <v>0</v>
      </c>
      <c r="Y381">
        <f>AND(IF(Metadata!F381="",FALSE,TRUE),exact(Metadata!F381,"air"))</f>
        <v>0</v>
      </c>
      <c r="Z381">
        <f>AND(IF(Metadata!G381="",FALSE,TRUE),exact(Metadata!G381,"air"))</f>
        <v>0</v>
      </c>
      <c r="AA381">
        <f>AND(IF(Metadata!H381="",FALSE,TRUE),exact(Metadata!H381,"air"))</f>
        <v>0</v>
      </c>
      <c r="AB381">
        <f>AND(IF(Metadata!I381="",FALSE,TRUE),exact(Metadata!I381,"air metagenome"))</f>
        <v>0</v>
      </c>
      <c r="AC381">
        <f>AND(IF(Metadata!J381="",FALSE,TRUE),exact(Metadata!J381,"655179"))</f>
        <v>0</v>
      </c>
    </row>
    <row r="382" spans="1:29">
      <c r="A382" s="5">
        <f>IF(B382=" "," ",HYPERLINK(CONCATENATE("#metadata!",ADDRESS(INDEX($P$2:$P$1001,MATCH(ROWS($N$2:N382),$N$2:$N$1001,0),0),1)),INDEX($S$2:$S$1001,MATCH(ROWS($N$2:N382),$N$2:$N$1001,0),0)))</f>
        <v>0</v>
      </c>
      <c r="B382" s="4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4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4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4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4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4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4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4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4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OR(AND(IF(Metadata!C382="",FALSE,TRUE),OR(exact(Metadata!C382,"not applicable"),exact(Metadata!C382,"not collected"),exact(Metadata!C382,"not provided"),exact(Metadata!C382,"restricted access"))),IF(Metadata!C382="",FALSE,ISNUMBER(VALUE(Metadata!C382))))</f>
        <v>0</v>
      </c>
      <c r="W382">
        <f>AND(IF(Metadata!D382="",FALSE,TRUE),exact(Metadata!D382,"m"))</f>
        <v>0</v>
      </c>
      <c r="X382">
        <f>AND(IF(Metadata!E382="",FALSE,TRUE),OR(exact(Metadata!E382,"aerosol (non-saline)"),exact(Metadata!E382,"aerosol (saline)")))</f>
        <v>0</v>
      </c>
      <c r="Y382">
        <f>AND(IF(Metadata!F382="",FALSE,TRUE),exact(Metadata!F382,"air"))</f>
        <v>0</v>
      </c>
      <c r="Z382">
        <f>AND(IF(Metadata!G382="",FALSE,TRUE),exact(Metadata!G382,"air"))</f>
        <v>0</v>
      </c>
      <c r="AA382">
        <f>AND(IF(Metadata!H382="",FALSE,TRUE),exact(Metadata!H382,"air"))</f>
        <v>0</v>
      </c>
      <c r="AB382">
        <f>AND(IF(Metadata!I382="",FALSE,TRUE),exact(Metadata!I382,"air metagenome"))</f>
        <v>0</v>
      </c>
      <c r="AC382">
        <f>AND(IF(Metadata!J382="",FALSE,TRUE),exact(Metadata!J382,"655179"))</f>
        <v>0</v>
      </c>
    </row>
    <row r="383" spans="1:29">
      <c r="A383" s="5">
        <f>IF(B383=" "," ",HYPERLINK(CONCATENATE("#metadata!",ADDRESS(INDEX($P$2:$P$1001,MATCH(ROWS($N$2:N383),$N$2:$N$1001,0),0),1)),INDEX($S$2:$S$1001,MATCH(ROWS($N$2:N383),$N$2:$N$1001,0),0)))</f>
        <v>0</v>
      </c>
      <c r="B383" s="4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4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4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4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4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4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4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4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4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OR(AND(IF(Metadata!C383="",FALSE,TRUE),OR(exact(Metadata!C383,"not applicable"),exact(Metadata!C383,"not collected"),exact(Metadata!C383,"not provided"),exact(Metadata!C383,"restricted access"))),IF(Metadata!C383="",FALSE,ISNUMBER(VALUE(Metadata!C383))))</f>
        <v>0</v>
      </c>
      <c r="W383">
        <f>AND(IF(Metadata!D383="",FALSE,TRUE),exact(Metadata!D383,"m"))</f>
        <v>0</v>
      </c>
      <c r="X383">
        <f>AND(IF(Metadata!E383="",FALSE,TRUE),OR(exact(Metadata!E383,"aerosol (non-saline)"),exact(Metadata!E383,"aerosol (saline)")))</f>
        <v>0</v>
      </c>
      <c r="Y383">
        <f>AND(IF(Metadata!F383="",FALSE,TRUE),exact(Metadata!F383,"air"))</f>
        <v>0</v>
      </c>
      <c r="Z383">
        <f>AND(IF(Metadata!G383="",FALSE,TRUE),exact(Metadata!G383,"air"))</f>
        <v>0</v>
      </c>
      <c r="AA383">
        <f>AND(IF(Metadata!H383="",FALSE,TRUE),exact(Metadata!H383,"air"))</f>
        <v>0</v>
      </c>
      <c r="AB383">
        <f>AND(IF(Metadata!I383="",FALSE,TRUE),exact(Metadata!I383,"air metagenome"))</f>
        <v>0</v>
      </c>
      <c r="AC383">
        <f>AND(IF(Metadata!J383="",FALSE,TRUE),exact(Metadata!J383,"655179"))</f>
        <v>0</v>
      </c>
    </row>
    <row r="384" spans="1:29">
      <c r="A384" s="5">
        <f>IF(B384=" "," ",HYPERLINK(CONCATENATE("#metadata!",ADDRESS(INDEX($P$2:$P$1001,MATCH(ROWS($N$2:N384),$N$2:$N$1001,0),0),1)),INDEX($S$2:$S$1001,MATCH(ROWS($N$2:N384),$N$2:$N$1001,0),0)))</f>
        <v>0</v>
      </c>
      <c r="B384" s="4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4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4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4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4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4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4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4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4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OR(AND(IF(Metadata!C384="",FALSE,TRUE),OR(exact(Metadata!C384,"not applicable"),exact(Metadata!C384,"not collected"),exact(Metadata!C384,"not provided"),exact(Metadata!C384,"restricted access"))),IF(Metadata!C384="",FALSE,ISNUMBER(VALUE(Metadata!C384))))</f>
        <v>0</v>
      </c>
      <c r="W384">
        <f>AND(IF(Metadata!D384="",FALSE,TRUE),exact(Metadata!D384,"m"))</f>
        <v>0</v>
      </c>
      <c r="X384">
        <f>AND(IF(Metadata!E384="",FALSE,TRUE),OR(exact(Metadata!E384,"aerosol (non-saline)"),exact(Metadata!E384,"aerosol (saline)")))</f>
        <v>0</v>
      </c>
      <c r="Y384">
        <f>AND(IF(Metadata!F384="",FALSE,TRUE),exact(Metadata!F384,"air"))</f>
        <v>0</v>
      </c>
      <c r="Z384">
        <f>AND(IF(Metadata!G384="",FALSE,TRUE),exact(Metadata!G384,"air"))</f>
        <v>0</v>
      </c>
      <c r="AA384">
        <f>AND(IF(Metadata!H384="",FALSE,TRUE),exact(Metadata!H384,"air"))</f>
        <v>0</v>
      </c>
      <c r="AB384">
        <f>AND(IF(Metadata!I384="",FALSE,TRUE),exact(Metadata!I384,"air metagenome"))</f>
        <v>0</v>
      </c>
      <c r="AC384">
        <f>AND(IF(Metadata!J384="",FALSE,TRUE),exact(Metadata!J384,"655179"))</f>
        <v>0</v>
      </c>
    </row>
    <row r="385" spans="1:29">
      <c r="A385" s="5">
        <f>IF(B385=" "," ",HYPERLINK(CONCATENATE("#metadata!",ADDRESS(INDEX($P$2:$P$1001,MATCH(ROWS($N$2:N385),$N$2:$N$1001,0),0),1)),INDEX($S$2:$S$1001,MATCH(ROWS($N$2:N385),$N$2:$N$1001,0),0)))</f>
        <v>0</v>
      </c>
      <c r="B385" s="4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4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4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4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4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4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4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4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4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OR(AND(IF(Metadata!C385="",FALSE,TRUE),OR(exact(Metadata!C385,"not applicable"),exact(Metadata!C385,"not collected"),exact(Metadata!C385,"not provided"),exact(Metadata!C385,"restricted access"))),IF(Metadata!C385="",FALSE,ISNUMBER(VALUE(Metadata!C385))))</f>
        <v>0</v>
      </c>
      <c r="W385">
        <f>AND(IF(Metadata!D385="",FALSE,TRUE),exact(Metadata!D385,"m"))</f>
        <v>0</v>
      </c>
      <c r="X385">
        <f>AND(IF(Metadata!E385="",FALSE,TRUE),OR(exact(Metadata!E385,"aerosol (non-saline)"),exact(Metadata!E385,"aerosol (saline)")))</f>
        <v>0</v>
      </c>
      <c r="Y385">
        <f>AND(IF(Metadata!F385="",FALSE,TRUE),exact(Metadata!F385,"air"))</f>
        <v>0</v>
      </c>
      <c r="Z385">
        <f>AND(IF(Metadata!G385="",FALSE,TRUE),exact(Metadata!G385,"air"))</f>
        <v>0</v>
      </c>
      <c r="AA385">
        <f>AND(IF(Metadata!H385="",FALSE,TRUE),exact(Metadata!H385,"air"))</f>
        <v>0</v>
      </c>
      <c r="AB385">
        <f>AND(IF(Metadata!I385="",FALSE,TRUE),exact(Metadata!I385,"air metagenome"))</f>
        <v>0</v>
      </c>
      <c r="AC385">
        <f>AND(IF(Metadata!J385="",FALSE,TRUE),exact(Metadata!J385,"655179"))</f>
        <v>0</v>
      </c>
    </row>
    <row r="386" spans="1:29">
      <c r="A386" s="5">
        <f>IF(B386=" "," ",HYPERLINK(CONCATENATE("#metadata!",ADDRESS(INDEX($P$2:$P$1001,MATCH(ROWS($N$2:N386),$N$2:$N$1001,0),0),1)),INDEX($S$2:$S$1001,MATCH(ROWS($N$2:N386),$N$2:$N$1001,0),0)))</f>
        <v>0</v>
      </c>
      <c r="B386" s="4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4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4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4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4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4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4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4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4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OR(AND(IF(Metadata!C386="",FALSE,TRUE),OR(exact(Metadata!C386,"not applicable"),exact(Metadata!C386,"not collected"),exact(Metadata!C386,"not provided"),exact(Metadata!C386,"restricted access"))),IF(Metadata!C386="",FALSE,ISNUMBER(VALUE(Metadata!C386))))</f>
        <v>0</v>
      </c>
      <c r="W386">
        <f>AND(IF(Metadata!D386="",FALSE,TRUE),exact(Metadata!D386,"m"))</f>
        <v>0</v>
      </c>
      <c r="X386">
        <f>AND(IF(Metadata!E386="",FALSE,TRUE),OR(exact(Metadata!E386,"aerosol (non-saline)"),exact(Metadata!E386,"aerosol (saline)")))</f>
        <v>0</v>
      </c>
      <c r="Y386">
        <f>AND(IF(Metadata!F386="",FALSE,TRUE),exact(Metadata!F386,"air"))</f>
        <v>0</v>
      </c>
      <c r="Z386">
        <f>AND(IF(Metadata!G386="",FALSE,TRUE),exact(Metadata!G386,"air"))</f>
        <v>0</v>
      </c>
      <c r="AA386">
        <f>AND(IF(Metadata!H386="",FALSE,TRUE),exact(Metadata!H386,"air"))</f>
        <v>0</v>
      </c>
      <c r="AB386">
        <f>AND(IF(Metadata!I386="",FALSE,TRUE),exact(Metadata!I386,"air metagenome"))</f>
        <v>0</v>
      </c>
      <c r="AC386">
        <f>AND(IF(Metadata!J386="",FALSE,TRUE),exact(Metadata!J386,"655179"))</f>
        <v>0</v>
      </c>
    </row>
    <row r="387" spans="1:29">
      <c r="A387" s="5">
        <f>IF(B387=" "," ",HYPERLINK(CONCATENATE("#metadata!",ADDRESS(INDEX($P$2:$P$1001,MATCH(ROWS($N$2:N387),$N$2:$N$1001,0),0),1)),INDEX($S$2:$S$1001,MATCH(ROWS($N$2:N387),$N$2:$N$1001,0),0)))</f>
        <v>0</v>
      </c>
      <c r="B387" s="4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4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4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4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4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4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4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4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4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OR(AND(IF(Metadata!C387="",FALSE,TRUE),OR(exact(Metadata!C387,"not applicable"),exact(Metadata!C387,"not collected"),exact(Metadata!C387,"not provided"),exact(Metadata!C387,"restricted access"))),IF(Metadata!C387="",FALSE,ISNUMBER(VALUE(Metadata!C387))))</f>
        <v>0</v>
      </c>
      <c r="W387">
        <f>AND(IF(Metadata!D387="",FALSE,TRUE),exact(Metadata!D387,"m"))</f>
        <v>0</v>
      </c>
      <c r="X387">
        <f>AND(IF(Metadata!E387="",FALSE,TRUE),OR(exact(Metadata!E387,"aerosol (non-saline)"),exact(Metadata!E387,"aerosol (saline)")))</f>
        <v>0</v>
      </c>
      <c r="Y387">
        <f>AND(IF(Metadata!F387="",FALSE,TRUE),exact(Metadata!F387,"air"))</f>
        <v>0</v>
      </c>
      <c r="Z387">
        <f>AND(IF(Metadata!G387="",FALSE,TRUE),exact(Metadata!G387,"air"))</f>
        <v>0</v>
      </c>
      <c r="AA387">
        <f>AND(IF(Metadata!H387="",FALSE,TRUE),exact(Metadata!H387,"air"))</f>
        <v>0</v>
      </c>
      <c r="AB387">
        <f>AND(IF(Metadata!I387="",FALSE,TRUE),exact(Metadata!I387,"air metagenome"))</f>
        <v>0</v>
      </c>
      <c r="AC387">
        <f>AND(IF(Metadata!J387="",FALSE,TRUE),exact(Metadata!J387,"655179"))</f>
        <v>0</v>
      </c>
    </row>
    <row r="388" spans="1:29">
      <c r="A388" s="5">
        <f>IF(B388=" "," ",HYPERLINK(CONCATENATE("#metadata!",ADDRESS(INDEX($P$2:$P$1001,MATCH(ROWS($N$2:N388),$N$2:$N$1001,0),0),1)),INDEX($S$2:$S$1001,MATCH(ROWS($N$2:N388),$N$2:$N$1001,0),0)))</f>
        <v>0</v>
      </c>
      <c r="B388" s="4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4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4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4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4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4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4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4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4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OR(AND(IF(Metadata!C388="",FALSE,TRUE),OR(exact(Metadata!C388,"not applicable"),exact(Metadata!C388,"not collected"),exact(Metadata!C388,"not provided"),exact(Metadata!C388,"restricted access"))),IF(Metadata!C388="",FALSE,ISNUMBER(VALUE(Metadata!C388))))</f>
        <v>0</v>
      </c>
      <c r="W388">
        <f>AND(IF(Metadata!D388="",FALSE,TRUE),exact(Metadata!D388,"m"))</f>
        <v>0</v>
      </c>
      <c r="X388">
        <f>AND(IF(Metadata!E388="",FALSE,TRUE),OR(exact(Metadata!E388,"aerosol (non-saline)"),exact(Metadata!E388,"aerosol (saline)")))</f>
        <v>0</v>
      </c>
      <c r="Y388">
        <f>AND(IF(Metadata!F388="",FALSE,TRUE),exact(Metadata!F388,"air"))</f>
        <v>0</v>
      </c>
      <c r="Z388">
        <f>AND(IF(Metadata!G388="",FALSE,TRUE),exact(Metadata!G388,"air"))</f>
        <v>0</v>
      </c>
      <c r="AA388">
        <f>AND(IF(Metadata!H388="",FALSE,TRUE),exact(Metadata!H388,"air"))</f>
        <v>0</v>
      </c>
      <c r="AB388">
        <f>AND(IF(Metadata!I388="",FALSE,TRUE),exact(Metadata!I388,"air metagenome"))</f>
        <v>0</v>
      </c>
      <c r="AC388">
        <f>AND(IF(Metadata!J388="",FALSE,TRUE),exact(Metadata!J388,"655179"))</f>
        <v>0</v>
      </c>
    </row>
    <row r="389" spans="1:29">
      <c r="A389" s="5">
        <f>IF(B389=" "," ",HYPERLINK(CONCATENATE("#metadata!",ADDRESS(INDEX($P$2:$P$1001,MATCH(ROWS($N$2:N389),$N$2:$N$1001,0),0),1)),INDEX($S$2:$S$1001,MATCH(ROWS($N$2:N389),$N$2:$N$1001,0),0)))</f>
        <v>0</v>
      </c>
      <c r="B389" s="4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4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4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4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4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4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4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4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4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OR(AND(IF(Metadata!C389="",FALSE,TRUE),OR(exact(Metadata!C389,"not applicable"),exact(Metadata!C389,"not collected"),exact(Metadata!C389,"not provided"),exact(Metadata!C389,"restricted access"))),IF(Metadata!C389="",FALSE,ISNUMBER(VALUE(Metadata!C389))))</f>
        <v>0</v>
      </c>
      <c r="W389">
        <f>AND(IF(Metadata!D389="",FALSE,TRUE),exact(Metadata!D389,"m"))</f>
        <v>0</v>
      </c>
      <c r="X389">
        <f>AND(IF(Metadata!E389="",FALSE,TRUE),OR(exact(Metadata!E389,"aerosol (non-saline)"),exact(Metadata!E389,"aerosol (saline)")))</f>
        <v>0</v>
      </c>
      <c r="Y389">
        <f>AND(IF(Metadata!F389="",FALSE,TRUE),exact(Metadata!F389,"air"))</f>
        <v>0</v>
      </c>
      <c r="Z389">
        <f>AND(IF(Metadata!G389="",FALSE,TRUE),exact(Metadata!G389,"air"))</f>
        <v>0</v>
      </c>
      <c r="AA389">
        <f>AND(IF(Metadata!H389="",FALSE,TRUE),exact(Metadata!H389,"air"))</f>
        <v>0</v>
      </c>
      <c r="AB389">
        <f>AND(IF(Metadata!I389="",FALSE,TRUE),exact(Metadata!I389,"air metagenome"))</f>
        <v>0</v>
      </c>
      <c r="AC389">
        <f>AND(IF(Metadata!J389="",FALSE,TRUE),exact(Metadata!J389,"655179"))</f>
        <v>0</v>
      </c>
    </row>
    <row r="390" spans="1:29">
      <c r="A390" s="5">
        <f>IF(B390=" "," ",HYPERLINK(CONCATENATE("#metadata!",ADDRESS(INDEX($P$2:$P$1001,MATCH(ROWS($N$2:N390),$N$2:$N$1001,0),0),1)),INDEX($S$2:$S$1001,MATCH(ROWS($N$2:N390),$N$2:$N$1001,0),0)))</f>
        <v>0</v>
      </c>
      <c r="B390" s="4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4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4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4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4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4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4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4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4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OR(AND(IF(Metadata!C390="",FALSE,TRUE),OR(exact(Metadata!C390,"not applicable"),exact(Metadata!C390,"not collected"),exact(Metadata!C390,"not provided"),exact(Metadata!C390,"restricted access"))),IF(Metadata!C390="",FALSE,ISNUMBER(VALUE(Metadata!C390))))</f>
        <v>0</v>
      </c>
      <c r="W390">
        <f>AND(IF(Metadata!D390="",FALSE,TRUE),exact(Metadata!D390,"m"))</f>
        <v>0</v>
      </c>
      <c r="X390">
        <f>AND(IF(Metadata!E390="",FALSE,TRUE),OR(exact(Metadata!E390,"aerosol (non-saline)"),exact(Metadata!E390,"aerosol (saline)")))</f>
        <v>0</v>
      </c>
      <c r="Y390">
        <f>AND(IF(Metadata!F390="",FALSE,TRUE),exact(Metadata!F390,"air"))</f>
        <v>0</v>
      </c>
      <c r="Z390">
        <f>AND(IF(Metadata!G390="",FALSE,TRUE),exact(Metadata!G390,"air"))</f>
        <v>0</v>
      </c>
      <c r="AA390">
        <f>AND(IF(Metadata!H390="",FALSE,TRUE),exact(Metadata!H390,"air"))</f>
        <v>0</v>
      </c>
      <c r="AB390">
        <f>AND(IF(Metadata!I390="",FALSE,TRUE),exact(Metadata!I390,"air metagenome"))</f>
        <v>0</v>
      </c>
      <c r="AC390">
        <f>AND(IF(Metadata!J390="",FALSE,TRUE),exact(Metadata!J390,"655179"))</f>
        <v>0</v>
      </c>
    </row>
    <row r="391" spans="1:29">
      <c r="A391" s="5">
        <f>IF(B391=" "," ",HYPERLINK(CONCATENATE("#metadata!",ADDRESS(INDEX($P$2:$P$1001,MATCH(ROWS($N$2:N391),$N$2:$N$1001,0),0),1)),INDEX($S$2:$S$1001,MATCH(ROWS($N$2:N391),$N$2:$N$1001,0),0)))</f>
        <v>0</v>
      </c>
      <c r="B391" s="4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4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4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4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4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4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4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4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4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OR(AND(IF(Metadata!C391="",FALSE,TRUE),OR(exact(Metadata!C391,"not applicable"),exact(Metadata!C391,"not collected"),exact(Metadata!C391,"not provided"),exact(Metadata!C391,"restricted access"))),IF(Metadata!C391="",FALSE,ISNUMBER(VALUE(Metadata!C391))))</f>
        <v>0</v>
      </c>
      <c r="W391">
        <f>AND(IF(Metadata!D391="",FALSE,TRUE),exact(Metadata!D391,"m"))</f>
        <v>0</v>
      </c>
      <c r="X391">
        <f>AND(IF(Metadata!E391="",FALSE,TRUE),OR(exact(Metadata!E391,"aerosol (non-saline)"),exact(Metadata!E391,"aerosol (saline)")))</f>
        <v>0</v>
      </c>
      <c r="Y391">
        <f>AND(IF(Metadata!F391="",FALSE,TRUE),exact(Metadata!F391,"air"))</f>
        <v>0</v>
      </c>
      <c r="Z391">
        <f>AND(IF(Metadata!G391="",FALSE,TRUE),exact(Metadata!G391,"air"))</f>
        <v>0</v>
      </c>
      <c r="AA391">
        <f>AND(IF(Metadata!H391="",FALSE,TRUE),exact(Metadata!H391,"air"))</f>
        <v>0</v>
      </c>
      <c r="AB391">
        <f>AND(IF(Metadata!I391="",FALSE,TRUE),exact(Metadata!I391,"air metagenome"))</f>
        <v>0</v>
      </c>
      <c r="AC391">
        <f>AND(IF(Metadata!J391="",FALSE,TRUE),exact(Metadata!J391,"655179"))</f>
        <v>0</v>
      </c>
    </row>
    <row r="392" spans="1:29">
      <c r="A392" s="5">
        <f>IF(B392=" "," ",HYPERLINK(CONCATENATE("#metadata!",ADDRESS(INDEX($P$2:$P$1001,MATCH(ROWS($N$2:N392),$N$2:$N$1001,0),0),1)),INDEX($S$2:$S$1001,MATCH(ROWS($N$2:N392),$N$2:$N$1001,0),0)))</f>
        <v>0</v>
      </c>
      <c r="B392" s="4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4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4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4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4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4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4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4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4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OR(AND(IF(Metadata!C392="",FALSE,TRUE),OR(exact(Metadata!C392,"not applicable"),exact(Metadata!C392,"not collected"),exact(Metadata!C392,"not provided"),exact(Metadata!C392,"restricted access"))),IF(Metadata!C392="",FALSE,ISNUMBER(VALUE(Metadata!C392))))</f>
        <v>0</v>
      </c>
      <c r="W392">
        <f>AND(IF(Metadata!D392="",FALSE,TRUE),exact(Metadata!D392,"m"))</f>
        <v>0</v>
      </c>
      <c r="X392">
        <f>AND(IF(Metadata!E392="",FALSE,TRUE),OR(exact(Metadata!E392,"aerosol (non-saline)"),exact(Metadata!E392,"aerosol (saline)")))</f>
        <v>0</v>
      </c>
      <c r="Y392">
        <f>AND(IF(Metadata!F392="",FALSE,TRUE),exact(Metadata!F392,"air"))</f>
        <v>0</v>
      </c>
      <c r="Z392">
        <f>AND(IF(Metadata!G392="",FALSE,TRUE),exact(Metadata!G392,"air"))</f>
        <v>0</v>
      </c>
      <c r="AA392">
        <f>AND(IF(Metadata!H392="",FALSE,TRUE),exact(Metadata!H392,"air"))</f>
        <v>0</v>
      </c>
      <c r="AB392">
        <f>AND(IF(Metadata!I392="",FALSE,TRUE),exact(Metadata!I392,"air metagenome"))</f>
        <v>0</v>
      </c>
      <c r="AC392">
        <f>AND(IF(Metadata!J392="",FALSE,TRUE),exact(Metadata!J392,"655179"))</f>
        <v>0</v>
      </c>
    </row>
    <row r="393" spans="1:29">
      <c r="A393" s="5">
        <f>IF(B393=" "," ",HYPERLINK(CONCATENATE("#metadata!",ADDRESS(INDEX($P$2:$P$1001,MATCH(ROWS($N$2:N393),$N$2:$N$1001,0),0),1)),INDEX($S$2:$S$1001,MATCH(ROWS($N$2:N393),$N$2:$N$1001,0),0)))</f>
        <v>0</v>
      </c>
      <c r="B393" s="4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4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4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4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4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4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4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4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4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OR(AND(IF(Metadata!C393="",FALSE,TRUE),OR(exact(Metadata!C393,"not applicable"),exact(Metadata!C393,"not collected"),exact(Metadata!C393,"not provided"),exact(Metadata!C393,"restricted access"))),IF(Metadata!C393="",FALSE,ISNUMBER(VALUE(Metadata!C393))))</f>
        <v>0</v>
      </c>
      <c r="W393">
        <f>AND(IF(Metadata!D393="",FALSE,TRUE),exact(Metadata!D393,"m"))</f>
        <v>0</v>
      </c>
      <c r="X393">
        <f>AND(IF(Metadata!E393="",FALSE,TRUE),OR(exact(Metadata!E393,"aerosol (non-saline)"),exact(Metadata!E393,"aerosol (saline)")))</f>
        <v>0</v>
      </c>
      <c r="Y393">
        <f>AND(IF(Metadata!F393="",FALSE,TRUE),exact(Metadata!F393,"air"))</f>
        <v>0</v>
      </c>
      <c r="Z393">
        <f>AND(IF(Metadata!G393="",FALSE,TRUE),exact(Metadata!G393,"air"))</f>
        <v>0</v>
      </c>
      <c r="AA393">
        <f>AND(IF(Metadata!H393="",FALSE,TRUE),exact(Metadata!H393,"air"))</f>
        <v>0</v>
      </c>
      <c r="AB393">
        <f>AND(IF(Metadata!I393="",FALSE,TRUE),exact(Metadata!I393,"air metagenome"))</f>
        <v>0</v>
      </c>
      <c r="AC393">
        <f>AND(IF(Metadata!J393="",FALSE,TRUE),exact(Metadata!J393,"655179"))</f>
        <v>0</v>
      </c>
    </row>
    <row r="394" spans="1:29">
      <c r="A394" s="5">
        <f>IF(B394=" "," ",HYPERLINK(CONCATENATE("#metadata!",ADDRESS(INDEX($P$2:$P$1001,MATCH(ROWS($N$2:N394),$N$2:$N$1001,0),0),1)),INDEX($S$2:$S$1001,MATCH(ROWS($N$2:N394),$N$2:$N$1001,0),0)))</f>
        <v>0</v>
      </c>
      <c r="B394" s="4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4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4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4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4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4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4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4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4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OR(AND(IF(Metadata!C394="",FALSE,TRUE),OR(exact(Metadata!C394,"not applicable"),exact(Metadata!C394,"not collected"),exact(Metadata!C394,"not provided"),exact(Metadata!C394,"restricted access"))),IF(Metadata!C394="",FALSE,ISNUMBER(VALUE(Metadata!C394))))</f>
        <v>0</v>
      </c>
      <c r="W394">
        <f>AND(IF(Metadata!D394="",FALSE,TRUE),exact(Metadata!D394,"m"))</f>
        <v>0</v>
      </c>
      <c r="X394">
        <f>AND(IF(Metadata!E394="",FALSE,TRUE),OR(exact(Metadata!E394,"aerosol (non-saline)"),exact(Metadata!E394,"aerosol (saline)")))</f>
        <v>0</v>
      </c>
      <c r="Y394">
        <f>AND(IF(Metadata!F394="",FALSE,TRUE),exact(Metadata!F394,"air"))</f>
        <v>0</v>
      </c>
      <c r="Z394">
        <f>AND(IF(Metadata!G394="",FALSE,TRUE),exact(Metadata!G394,"air"))</f>
        <v>0</v>
      </c>
      <c r="AA394">
        <f>AND(IF(Metadata!H394="",FALSE,TRUE),exact(Metadata!H394,"air"))</f>
        <v>0</v>
      </c>
      <c r="AB394">
        <f>AND(IF(Metadata!I394="",FALSE,TRUE),exact(Metadata!I394,"air metagenome"))</f>
        <v>0</v>
      </c>
      <c r="AC394">
        <f>AND(IF(Metadata!J394="",FALSE,TRUE),exact(Metadata!J394,"655179"))</f>
        <v>0</v>
      </c>
    </row>
    <row r="395" spans="1:29">
      <c r="A395" s="5">
        <f>IF(B395=" "," ",HYPERLINK(CONCATENATE("#metadata!",ADDRESS(INDEX($P$2:$P$1001,MATCH(ROWS($N$2:N395),$N$2:$N$1001,0),0),1)),INDEX($S$2:$S$1001,MATCH(ROWS($N$2:N395),$N$2:$N$1001,0),0)))</f>
        <v>0</v>
      </c>
      <c r="B395" s="4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4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4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4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4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4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4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4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4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OR(AND(IF(Metadata!C395="",FALSE,TRUE),OR(exact(Metadata!C395,"not applicable"),exact(Metadata!C395,"not collected"),exact(Metadata!C395,"not provided"),exact(Metadata!C395,"restricted access"))),IF(Metadata!C395="",FALSE,ISNUMBER(VALUE(Metadata!C395))))</f>
        <v>0</v>
      </c>
      <c r="W395">
        <f>AND(IF(Metadata!D395="",FALSE,TRUE),exact(Metadata!D395,"m"))</f>
        <v>0</v>
      </c>
      <c r="X395">
        <f>AND(IF(Metadata!E395="",FALSE,TRUE),OR(exact(Metadata!E395,"aerosol (non-saline)"),exact(Metadata!E395,"aerosol (saline)")))</f>
        <v>0</v>
      </c>
      <c r="Y395">
        <f>AND(IF(Metadata!F395="",FALSE,TRUE),exact(Metadata!F395,"air"))</f>
        <v>0</v>
      </c>
      <c r="Z395">
        <f>AND(IF(Metadata!G395="",FALSE,TRUE),exact(Metadata!G395,"air"))</f>
        <v>0</v>
      </c>
      <c r="AA395">
        <f>AND(IF(Metadata!H395="",FALSE,TRUE),exact(Metadata!H395,"air"))</f>
        <v>0</v>
      </c>
      <c r="AB395">
        <f>AND(IF(Metadata!I395="",FALSE,TRUE),exact(Metadata!I395,"air metagenome"))</f>
        <v>0</v>
      </c>
      <c r="AC395">
        <f>AND(IF(Metadata!J395="",FALSE,TRUE),exact(Metadata!J395,"655179"))</f>
        <v>0</v>
      </c>
    </row>
    <row r="396" spans="1:29">
      <c r="A396" s="5">
        <f>IF(B396=" "," ",HYPERLINK(CONCATENATE("#metadata!",ADDRESS(INDEX($P$2:$P$1001,MATCH(ROWS($N$2:N396),$N$2:$N$1001,0),0),1)),INDEX($S$2:$S$1001,MATCH(ROWS($N$2:N396),$N$2:$N$1001,0),0)))</f>
        <v>0</v>
      </c>
      <c r="B396" s="4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4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4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4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4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4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4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4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4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OR(AND(IF(Metadata!C396="",FALSE,TRUE),OR(exact(Metadata!C396,"not applicable"),exact(Metadata!C396,"not collected"),exact(Metadata!C396,"not provided"),exact(Metadata!C396,"restricted access"))),IF(Metadata!C396="",FALSE,ISNUMBER(VALUE(Metadata!C396))))</f>
        <v>0</v>
      </c>
      <c r="W396">
        <f>AND(IF(Metadata!D396="",FALSE,TRUE),exact(Metadata!D396,"m"))</f>
        <v>0</v>
      </c>
      <c r="X396">
        <f>AND(IF(Metadata!E396="",FALSE,TRUE),OR(exact(Metadata!E396,"aerosol (non-saline)"),exact(Metadata!E396,"aerosol (saline)")))</f>
        <v>0</v>
      </c>
      <c r="Y396">
        <f>AND(IF(Metadata!F396="",FALSE,TRUE),exact(Metadata!F396,"air"))</f>
        <v>0</v>
      </c>
      <c r="Z396">
        <f>AND(IF(Metadata!G396="",FALSE,TRUE),exact(Metadata!G396,"air"))</f>
        <v>0</v>
      </c>
      <c r="AA396">
        <f>AND(IF(Metadata!H396="",FALSE,TRUE),exact(Metadata!H396,"air"))</f>
        <v>0</v>
      </c>
      <c r="AB396">
        <f>AND(IF(Metadata!I396="",FALSE,TRUE),exact(Metadata!I396,"air metagenome"))</f>
        <v>0</v>
      </c>
      <c r="AC396">
        <f>AND(IF(Metadata!J396="",FALSE,TRUE),exact(Metadata!J396,"655179"))</f>
        <v>0</v>
      </c>
    </row>
    <row r="397" spans="1:29">
      <c r="A397" s="5">
        <f>IF(B397=" "," ",HYPERLINK(CONCATENATE("#metadata!",ADDRESS(INDEX($P$2:$P$1001,MATCH(ROWS($N$2:N397),$N$2:$N$1001,0),0),1)),INDEX($S$2:$S$1001,MATCH(ROWS($N$2:N397),$N$2:$N$1001,0),0)))</f>
        <v>0</v>
      </c>
      <c r="B397" s="4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4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4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4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4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4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4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4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4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OR(AND(IF(Metadata!C397="",FALSE,TRUE),OR(exact(Metadata!C397,"not applicable"),exact(Metadata!C397,"not collected"),exact(Metadata!C397,"not provided"),exact(Metadata!C397,"restricted access"))),IF(Metadata!C397="",FALSE,ISNUMBER(VALUE(Metadata!C397))))</f>
        <v>0</v>
      </c>
      <c r="W397">
        <f>AND(IF(Metadata!D397="",FALSE,TRUE),exact(Metadata!D397,"m"))</f>
        <v>0</v>
      </c>
      <c r="X397">
        <f>AND(IF(Metadata!E397="",FALSE,TRUE),OR(exact(Metadata!E397,"aerosol (non-saline)"),exact(Metadata!E397,"aerosol (saline)")))</f>
        <v>0</v>
      </c>
      <c r="Y397">
        <f>AND(IF(Metadata!F397="",FALSE,TRUE),exact(Metadata!F397,"air"))</f>
        <v>0</v>
      </c>
      <c r="Z397">
        <f>AND(IF(Metadata!G397="",FALSE,TRUE),exact(Metadata!G397,"air"))</f>
        <v>0</v>
      </c>
      <c r="AA397">
        <f>AND(IF(Metadata!H397="",FALSE,TRUE),exact(Metadata!H397,"air"))</f>
        <v>0</v>
      </c>
      <c r="AB397">
        <f>AND(IF(Metadata!I397="",FALSE,TRUE),exact(Metadata!I397,"air metagenome"))</f>
        <v>0</v>
      </c>
      <c r="AC397">
        <f>AND(IF(Metadata!J397="",FALSE,TRUE),exact(Metadata!J397,"655179"))</f>
        <v>0</v>
      </c>
    </row>
    <row r="398" spans="1:29">
      <c r="A398" s="5">
        <f>IF(B398=" "," ",HYPERLINK(CONCATENATE("#metadata!",ADDRESS(INDEX($P$2:$P$1001,MATCH(ROWS($N$2:N398),$N$2:$N$1001,0),0),1)),INDEX($S$2:$S$1001,MATCH(ROWS($N$2:N398),$N$2:$N$1001,0),0)))</f>
        <v>0</v>
      </c>
      <c r="B398" s="4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4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4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4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4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4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4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4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4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OR(AND(IF(Metadata!C398="",FALSE,TRUE),OR(exact(Metadata!C398,"not applicable"),exact(Metadata!C398,"not collected"),exact(Metadata!C398,"not provided"),exact(Metadata!C398,"restricted access"))),IF(Metadata!C398="",FALSE,ISNUMBER(VALUE(Metadata!C398))))</f>
        <v>0</v>
      </c>
      <c r="W398">
        <f>AND(IF(Metadata!D398="",FALSE,TRUE),exact(Metadata!D398,"m"))</f>
        <v>0</v>
      </c>
      <c r="X398">
        <f>AND(IF(Metadata!E398="",FALSE,TRUE),OR(exact(Metadata!E398,"aerosol (non-saline)"),exact(Metadata!E398,"aerosol (saline)")))</f>
        <v>0</v>
      </c>
      <c r="Y398">
        <f>AND(IF(Metadata!F398="",FALSE,TRUE),exact(Metadata!F398,"air"))</f>
        <v>0</v>
      </c>
      <c r="Z398">
        <f>AND(IF(Metadata!G398="",FALSE,TRUE),exact(Metadata!G398,"air"))</f>
        <v>0</v>
      </c>
      <c r="AA398">
        <f>AND(IF(Metadata!H398="",FALSE,TRUE),exact(Metadata!H398,"air"))</f>
        <v>0</v>
      </c>
      <c r="AB398">
        <f>AND(IF(Metadata!I398="",FALSE,TRUE),exact(Metadata!I398,"air metagenome"))</f>
        <v>0</v>
      </c>
      <c r="AC398">
        <f>AND(IF(Metadata!J398="",FALSE,TRUE),exact(Metadata!J398,"655179"))</f>
        <v>0</v>
      </c>
    </row>
    <row r="399" spans="1:29">
      <c r="A399" s="5">
        <f>IF(B399=" "," ",HYPERLINK(CONCATENATE("#metadata!",ADDRESS(INDEX($P$2:$P$1001,MATCH(ROWS($N$2:N399),$N$2:$N$1001,0),0),1)),INDEX($S$2:$S$1001,MATCH(ROWS($N$2:N399),$N$2:$N$1001,0),0)))</f>
        <v>0</v>
      </c>
      <c r="B399" s="4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4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4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4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4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4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4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4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4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OR(AND(IF(Metadata!C399="",FALSE,TRUE),OR(exact(Metadata!C399,"not applicable"),exact(Metadata!C399,"not collected"),exact(Metadata!C399,"not provided"),exact(Metadata!C399,"restricted access"))),IF(Metadata!C399="",FALSE,ISNUMBER(VALUE(Metadata!C399))))</f>
        <v>0</v>
      </c>
      <c r="W399">
        <f>AND(IF(Metadata!D399="",FALSE,TRUE),exact(Metadata!D399,"m"))</f>
        <v>0</v>
      </c>
      <c r="X399">
        <f>AND(IF(Metadata!E399="",FALSE,TRUE),OR(exact(Metadata!E399,"aerosol (non-saline)"),exact(Metadata!E399,"aerosol (saline)")))</f>
        <v>0</v>
      </c>
      <c r="Y399">
        <f>AND(IF(Metadata!F399="",FALSE,TRUE),exact(Metadata!F399,"air"))</f>
        <v>0</v>
      </c>
      <c r="Z399">
        <f>AND(IF(Metadata!G399="",FALSE,TRUE),exact(Metadata!G399,"air"))</f>
        <v>0</v>
      </c>
      <c r="AA399">
        <f>AND(IF(Metadata!H399="",FALSE,TRUE),exact(Metadata!H399,"air"))</f>
        <v>0</v>
      </c>
      <c r="AB399">
        <f>AND(IF(Metadata!I399="",FALSE,TRUE),exact(Metadata!I399,"air metagenome"))</f>
        <v>0</v>
      </c>
      <c r="AC399">
        <f>AND(IF(Metadata!J399="",FALSE,TRUE),exact(Metadata!J399,"655179"))</f>
        <v>0</v>
      </c>
    </row>
    <row r="400" spans="1:29">
      <c r="A400" s="5">
        <f>IF(B400=" "," ",HYPERLINK(CONCATENATE("#metadata!",ADDRESS(INDEX($P$2:$P$1001,MATCH(ROWS($N$2:N400),$N$2:$N$1001,0),0),1)),INDEX($S$2:$S$1001,MATCH(ROWS($N$2:N400),$N$2:$N$1001,0),0)))</f>
        <v>0</v>
      </c>
      <c r="B400" s="4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4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4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4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4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4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4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4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4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OR(AND(IF(Metadata!C400="",FALSE,TRUE),OR(exact(Metadata!C400,"not applicable"),exact(Metadata!C400,"not collected"),exact(Metadata!C400,"not provided"),exact(Metadata!C400,"restricted access"))),IF(Metadata!C400="",FALSE,ISNUMBER(VALUE(Metadata!C400))))</f>
        <v>0</v>
      </c>
      <c r="W400">
        <f>AND(IF(Metadata!D400="",FALSE,TRUE),exact(Metadata!D400,"m"))</f>
        <v>0</v>
      </c>
      <c r="X400">
        <f>AND(IF(Metadata!E400="",FALSE,TRUE),OR(exact(Metadata!E400,"aerosol (non-saline)"),exact(Metadata!E400,"aerosol (saline)")))</f>
        <v>0</v>
      </c>
      <c r="Y400">
        <f>AND(IF(Metadata!F400="",FALSE,TRUE),exact(Metadata!F400,"air"))</f>
        <v>0</v>
      </c>
      <c r="Z400">
        <f>AND(IF(Metadata!G400="",FALSE,TRUE),exact(Metadata!G400,"air"))</f>
        <v>0</v>
      </c>
      <c r="AA400">
        <f>AND(IF(Metadata!H400="",FALSE,TRUE),exact(Metadata!H400,"air"))</f>
        <v>0</v>
      </c>
      <c r="AB400">
        <f>AND(IF(Metadata!I400="",FALSE,TRUE),exact(Metadata!I400,"air metagenome"))</f>
        <v>0</v>
      </c>
      <c r="AC400">
        <f>AND(IF(Metadata!J400="",FALSE,TRUE),exact(Metadata!J400,"655179"))</f>
        <v>0</v>
      </c>
    </row>
    <row r="401" spans="1:29">
      <c r="A401" s="5">
        <f>IF(B401=" "," ",HYPERLINK(CONCATENATE("#metadata!",ADDRESS(INDEX($P$2:$P$1001,MATCH(ROWS($N$2:N401),$N$2:$N$1001,0),0),1)),INDEX($S$2:$S$1001,MATCH(ROWS($N$2:N401),$N$2:$N$1001,0),0)))</f>
        <v>0</v>
      </c>
      <c r="B401" s="4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4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4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4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4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4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4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4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4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OR(AND(IF(Metadata!C401="",FALSE,TRUE),OR(exact(Metadata!C401,"not applicable"),exact(Metadata!C401,"not collected"),exact(Metadata!C401,"not provided"),exact(Metadata!C401,"restricted access"))),IF(Metadata!C401="",FALSE,ISNUMBER(VALUE(Metadata!C401))))</f>
        <v>0</v>
      </c>
      <c r="W401">
        <f>AND(IF(Metadata!D401="",FALSE,TRUE),exact(Metadata!D401,"m"))</f>
        <v>0</v>
      </c>
      <c r="X401">
        <f>AND(IF(Metadata!E401="",FALSE,TRUE),OR(exact(Metadata!E401,"aerosol (non-saline)"),exact(Metadata!E401,"aerosol (saline)")))</f>
        <v>0</v>
      </c>
      <c r="Y401">
        <f>AND(IF(Metadata!F401="",FALSE,TRUE),exact(Metadata!F401,"air"))</f>
        <v>0</v>
      </c>
      <c r="Z401">
        <f>AND(IF(Metadata!G401="",FALSE,TRUE),exact(Metadata!G401,"air"))</f>
        <v>0</v>
      </c>
      <c r="AA401">
        <f>AND(IF(Metadata!H401="",FALSE,TRUE),exact(Metadata!H401,"air"))</f>
        <v>0</v>
      </c>
      <c r="AB401">
        <f>AND(IF(Metadata!I401="",FALSE,TRUE),exact(Metadata!I401,"air metagenome"))</f>
        <v>0</v>
      </c>
      <c r="AC401">
        <f>AND(IF(Metadata!J401="",FALSE,TRUE),exact(Metadata!J401,"655179"))</f>
        <v>0</v>
      </c>
    </row>
    <row r="402" spans="1:29">
      <c r="A402" s="5">
        <f>IF(B402=" "," ",HYPERLINK(CONCATENATE("#metadata!",ADDRESS(INDEX($P$2:$P$1001,MATCH(ROWS($N$2:N402),$N$2:$N$1001,0),0),1)),INDEX($S$2:$S$1001,MATCH(ROWS($N$2:N402),$N$2:$N$1001,0),0)))</f>
        <v>0</v>
      </c>
      <c r="B402" s="4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4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4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4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4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4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4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4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4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OR(AND(IF(Metadata!C402="",FALSE,TRUE),OR(exact(Metadata!C402,"not applicable"),exact(Metadata!C402,"not collected"),exact(Metadata!C402,"not provided"),exact(Metadata!C402,"restricted access"))),IF(Metadata!C402="",FALSE,ISNUMBER(VALUE(Metadata!C402))))</f>
        <v>0</v>
      </c>
      <c r="W402">
        <f>AND(IF(Metadata!D402="",FALSE,TRUE),exact(Metadata!D402,"m"))</f>
        <v>0</v>
      </c>
      <c r="X402">
        <f>AND(IF(Metadata!E402="",FALSE,TRUE),OR(exact(Metadata!E402,"aerosol (non-saline)"),exact(Metadata!E402,"aerosol (saline)")))</f>
        <v>0</v>
      </c>
      <c r="Y402">
        <f>AND(IF(Metadata!F402="",FALSE,TRUE),exact(Metadata!F402,"air"))</f>
        <v>0</v>
      </c>
      <c r="Z402">
        <f>AND(IF(Metadata!G402="",FALSE,TRUE),exact(Metadata!G402,"air"))</f>
        <v>0</v>
      </c>
      <c r="AA402">
        <f>AND(IF(Metadata!H402="",FALSE,TRUE),exact(Metadata!H402,"air"))</f>
        <v>0</v>
      </c>
      <c r="AB402">
        <f>AND(IF(Metadata!I402="",FALSE,TRUE),exact(Metadata!I402,"air metagenome"))</f>
        <v>0</v>
      </c>
      <c r="AC402">
        <f>AND(IF(Metadata!J402="",FALSE,TRUE),exact(Metadata!J402,"655179"))</f>
        <v>0</v>
      </c>
    </row>
    <row r="403" spans="1:29">
      <c r="A403" s="5">
        <f>IF(B403=" "," ",HYPERLINK(CONCATENATE("#metadata!",ADDRESS(INDEX($P$2:$P$1001,MATCH(ROWS($N$2:N403),$N$2:$N$1001,0),0),1)),INDEX($S$2:$S$1001,MATCH(ROWS($N$2:N403),$N$2:$N$1001,0),0)))</f>
        <v>0</v>
      </c>
      <c r="B403" s="4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4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4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4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4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4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4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4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4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OR(AND(IF(Metadata!C403="",FALSE,TRUE),OR(exact(Metadata!C403,"not applicable"),exact(Metadata!C403,"not collected"),exact(Metadata!C403,"not provided"),exact(Metadata!C403,"restricted access"))),IF(Metadata!C403="",FALSE,ISNUMBER(VALUE(Metadata!C403))))</f>
        <v>0</v>
      </c>
      <c r="W403">
        <f>AND(IF(Metadata!D403="",FALSE,TRUE),exact(Metadata!D403,"m"))</f>
        <v>0</v>
      </c>
      <c r="X403">
        <f>AND(IF(Metadata!E403="",FALSE,TRUE),OR(exact(Metadata!E403,"aerosol (non-saline)"),exact(Metadata!E403,"aerosol (saline)")))</f>
        <v>0</v>
      </c>
      <c r="Y403">
        <f>AND(IF(Metadata!F403="",FALSE,TRUE),exact(Metadata!F403,"air"))</f>
        <v>0</v>
      </c>
      <c r="Z403">
        <f>AND(IF(Metadata!G403="",FALSE,TRUE),exact(Metadata!G403,"air"))</f>
        <v>0</v>
      </c>
      <c r="AA403">
        <f>AND(IF(Metadata!H403="",FALSE,TRUE),exact(Metadata!H403,"air"))</f>
        <v>0</v>
      </c>
      <c r="AB403">
        <f>AND(IF(Metadata!I403="",FALSE,TRUE),exact(Metadata!I403,"air metagenome"))</f>
        <v>0</v>
      </c>
      <c r="AC403">
        <f>AND(IF(Metadata!J403="",FALSE,TRUE),exact(Metadata!J403,"655179"))</f>
        <v>0</v>
      </c>
    </row>
    <row r="404" spans="1:29">
      <c r="A404" s="5">
        <f>IF(B404=" "," ",HYPERLINK(CONCATENATE("#metadata!",ADDRESS(INDEX($P$2:$P$1001,MATCH(ROWS($N$2:N404),$N$2:$N$1001,0),0),1)),INDEX($S$2:$S$1001,MATCH(ROWS($N$2:N404),$N$2:$N$1001,0),0)))</f>
        <v>0</v>
      </c>
      <c r="B404" s="4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4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4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4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4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4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4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4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4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OR(AND(IF(Metadata!C404="",FALSE,TRUE),OR(exact(Metadata!C404,"not applicable"),exact(Metadata!C404,"not collected"),exact(Metadata!C404,"not provided"),exact(Metadata!C404,"restricted access"))),IF(Metadata!C404="",FALSE,ISNUMBER(VALUE(Metadata!C404))))</f>
        <v>0</v>
      </c>
      <c r="W404">
        <f>AND(IF(Metadata!D404="",FALSE,TRUE),exact(Metadata!D404,"m"))</f>
        <v>0</v>
      </c>
      <c r="X404">
        <f>AND(IF(Metadata!E404="",FALSE,TRUE),OR(exact(Metadata!E404,"aerosol (non-saline)"),exact(Metadata!E404,"aerosol (saline)")))</f>
        <v>0</v>
      </c>
      <c r="Y404">
        <f>AND(IF(Metadata!F404="",FALSE,TRUE),exact(Metadata!F404,"air"))</f>
        <v>0</v>
      </c>
      <c r="Z404">
        <f>AND(IF(Metadata!G404="",FALSE,TRUE),exact(Metadata!G404,"air"))</f>
        <v>0</v>
      </c>
      <c r="AA404">
        <f>AND(IF(Metadata!H404="",FALSE,TRUE),exact(Metadata!H404,"air"))</f>
        <v>0</v>
      </c>
      <c r="AB404">
        <f>AND(IF(Metadata!I404="",FALSE,TRUE),exact(Metadata!I404,"air metagenome"))</f>
        <v>0</v>
      </c>
      <c r="AC404">
        <f>AND(IF(Metadata!J404="",FALSE,TRUE),exact(Metadata!J404,"655179"))</f>
        <v>0</v>
      </c>
    </row>
    <row r="405" spans="1:29">
      <c r="A405" s="5">
        <f>IF(B405=" "," ",HYPERLINK(CONCATENATE("#metadata!",ADDRESS(INDEX($P$2:$P$1001,MATCH(ROWS($N$2:N405),$N$2:$N$1001,0),0),1)),INDEX($S$2:$S$1001,MATCH(ROWS($N$2:N405),$N$2:$N$1001,0),0)))</f>
        <v>0</v>
      </c>
      <c r="B405" s="4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4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4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4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4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4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4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4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4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OR(AND(IF(Metadata!C405="",FALSE,TRUE),OR(exact(Metadata!C405,"not applicable"),exact(Metadata!C405,"not collected"),exact(Metadata!C405,"not provided"),exact(Metadata!C405,"restricted access"))),IF(Metadata!C405="",FALSE,ISNUMBER(VALUE(Metadata!C405))))</f>
        <v>0</v>
      </c>
      <c r="W405">
        <f>AND(IF(Metadata!D405="",FALSE,TRUE),exact(Metadata!D405,"m"))</f>
        <v>0</v>
      </c>
      <c r="X405">
        <f>AND(IF(Metadata!E405="",FALSE,TRUE),OR(exact(Metadata!E405,"aerosol (non-saline)"),exact(Metadata!E405,"aerosol (saline)")))</f>
        <v>0</v>
      </c>
      <c r="Y405">
        <f>AND(IF(Metadata!F405="",FALSE,TRUE),exact(Metadata!F405,"air"))</f>
        <v>0</v>
      </c>
      <c r="Z405">
        <f>AND(IF(Metadata!G405="",FALSE,TRUE),exact(Metadata!G405,"air"))</f>
        <v>0</v>
      </c>
      <c r="AA405">
        <f>AND(IF(Metadata!H405="",FALSE,TRUE),exact(Metadata!H405,"air"))</f>
        <v>0</v>
      </c>
      <c r="AB405">
        <f>AND(IF(Metadata!I405="",FALSE,TRUE),exact(Metadata!I405,"air metagenome"))</f>
        <v>0</v>
      </c>
      <c r="AC405">
        <f>AND(IF(Metadata!J405="",FALSE,TRUE),exact(Metadata!J405,"655179"))</f>
        <v>0</v>
      </c>
    </row>
    <row r="406" spans="1:29">
      <c r="A406" s="5">
        <f>IF(B406=" "," ",HYPERLINK(CONCATENATE("#metadata!",ADDRESS(INDEX($P$2:$P$1001,MATCH(ROWS($N$2:N406),$N$2:$N$1001,0),0),1)),INDEX($S$2:$S$1001,MATCH(ROWS($N$2:N406),$N$2:$N$1001,0),0)))</f>
        <v>0</v>
      </c>
      <c r="B406" s="4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4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4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4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4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4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4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4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4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OR(AND(IF(Metadata!C406="",FALSE,TRUE),OR(exact(Metadata!C406,"not applicable"),exact(Metadata!C406,"not collected"),exact(Metadata!C406,"not provided"),exact(Metadata!C406,"restricted access"))),IF(Metadata!C406="",FALSE,ISNUMBER(VALUE(Metadata!C406))))</f>
        <v>0</v>
      </c>
      <c r="W406">
        <f>AND(IF(Metadata!D406="",FALSE,TRUE),exact(Metadata!D406,"m"))</f>
        <v>0</v>
      </c>
      <c r="X406">
        <f>AND(IF(Metadata!E406="",FALSE,TRUE),OR(exact(Metadata!E406,"aerosol (non-saline)"),exact(Metadata!E406,"aerosol (saline)")))</f>
        <v>0</v>
      </c>
      <c r="Y406">
        <f>AND(IF(Metadata!F406="",FALSE,TRUE),exact(Metadata!F406,"air"))</f>
        <v>0</v>
      </c>
      <c r="Z406">
        <f>AND(IF(Metadata!G406="",FALSE,TRUE),exact(Metadata!G406,"air"))</f>
        <v>0</v>
      </c>
      <c r="AA406">
        <f>AND(IF(Metadata!H406="",FALSE,TRUE),exact(Metadata!H406,"air"))</f>
        <v>0</v>
      </c>
      <c r="AB406">
        <f>AND(IF(Metadata!I406="",FALSE,TRUE),exact(Metadata!I406,"air metagenome"))</f>
        <v>0</v>
      </c>
      <c r="AC406">
        <f>AND(IF(Metadata!J406="",FALSE,TRUE),exact(Metadata!J406,"655179"))</f>
        <v>0</v>
      </c>
    </row>
    <row r="407" spans="1:29">
      <c r="A407" s="5">
        <f>IF(B407=" "," ",HYPERLINK(CONCATENATE("#metadata!",ADDRESS(INDEX($P$2:$P$1001,MATCH(ROWS($N$2:N407),$N$2:$N$1001,0),0),1)),INDEX($S$2:$S$1001,MATCH(ROWS($N$2:N407),$N$2:$N$1001,0),0)))</f>
        <v>0</v>
      </c>
      <c r="B407" s="4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4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4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4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4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4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4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4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4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OR(AND(IF(Metadata!C407="",FALSE,TRUE),OR(exact(Metadata!C407,"not applicable"),exact(Metadata!C407,"not collected"),exact(Metadata!C407,"not provided"),exact(Metadata!C407,"restricted access"))),IF(Metadata!C407="",FALSE,ISNUMBER(VALUE(Metadata!C407))))</f>
        <v>0</v>
      </c>
      <c r="W407">
        <f>AND(IF(Metadata!D407="",FALSE,TRUE),exact(Metadata!D407,"m"))</f>
        <v>0</v>
      </c>
      <c r="X407">
        <f>AND(IF(Metadata!E407="",FALSE,TRUE),OR(exact(Metadata!E407,"aerosol (non-saline)"),exact(Metadata!E407,"aerosol (saline)")))</f>
        <v>0</v>
      </c>
      <c r="Y407">
        <f>AND(IF(Metadata!F407="",FALSE,TRUE),exact(Metadata!F407,"air"))</f>
        <v>0</v>
      </c>
      <c r="Z407">
        <f>AND(IF(Metadata!G407="",FALSE,TRUE),exact(Metadata!G407,"air"))</f>
        <v>0</v>
      </c>
      <c r="AA407">
        <f>AND(IF(Metadata!H407="",FALSE,TRUE),exact(Metadata!H407,"air"))</f>
        <v>0</v>
      </c>
      <c r="AB407">
        <f>AND(IF(Metadata!I407="",FALSE,TRUE),exact(Metadata!I407,"air metagenome"))</f>
        <v>0</v>
      </c>
      <c r="AC407">
        <f>AND(IF(Metadata!J407="",FALSE,TRUE),exact(Metadata!J407,"655179"))</f>
        <v>0</v>
      </c>
    </row>
    <row r="408" spans="1:29">
      <c r="A408" s="5">
        <f>IF(B408=" "," ",HYPERLINK(CONCATENATE("#metadata!",ADDRESS(INDEX($P$2:$P$1001,MATCH(ROWS($N$2:N408),$N$2:$N$1001,0),0),1)),INDEX($S$2:$S$1001,MATCH(ROWS($N$2:N408),$N$2:$N$1001,0),0)))</f>
        <v>0</v>
      </c>
      <c r="B408" s="4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4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4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4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4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4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4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4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4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OR(AND(IF(Metadata!C408="",FALSE,TRUE),OR(exact(Metadata!C408,"not applicable"),exact(Metadata!C408,"not collected"),exact(Metadata!C408,"not provided"),exact(Metadata!C408,"restricted access"))),IF(Metadata!C408="",FALSE,ISNUMBER(VALUE(Metadata!C408))))</f>
        <v>0</v>
      </c>
      <c r="W408">
        <f>AND(IF(Metadata!D408="",FALSE,TRUE),exact(Metadata!D408,"m"))</f>
        <v>0</v>
      </c>
      <c r="X408">
        <f>AND(IF(Metadata!E408="",FALSE,TRUE),OR(exact(Metadata!E408,"aerosol (non-saline)"),exact(Metadata!E408,"aerosol (saline)")))</f>
        <v>0</v>
      </c>
      <c r="Y408">
        <f>AND(IF(Metadata!F408="",FALSE,TRUE),exact(Metadata!F408,"air"))</f>
        <v>0</v>
      </c>
      <c r="Z408">
        <f>AND(IF(Metadata!G408="",FALSE,TRUE),exact(Metadata!G408,"air"))</f>
        <v>0</v>
      </c>
      <c r="AA408">
        <f>AND(IF(Metadata!H408="",FALSE,TRUE),exact(Metadata!H408,"air"))</f>
        <v>0</v>
      </c>
      <c r="AB408">
        <f>AND(IF(Metadata!I408="",FALSE,TRUE),exact(Metadata!I408,"air metagenome"))</f>
        <v>0</v>
      </c>
      <c r="AC408">
        <f>AND(IF(Metadata!J408="",FALSE,TRUE),exact(Metadata!J408,"655179"))</f>
        <v>0</v>
      </c>
    </row>
    <row r="409" spans="1:29">
      <c r="A409" s="5">
        <f>IF(B409=" "," ",HYPERLINK(CONCATENATE("#metadata!",ADDRESS(INDEX($P$2:$P$1001,MATCH(ROWS($N$2:N409),$N$2:$N$1001,0),0),1)),INDEX($S$2:$S$1001,MATCH(ROWS($N$2:N409),$N$2:$N$1001,0),0)))</f>
        <v>0</v>
      </c>
      <c r="B409" s="4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4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4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4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4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4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4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4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4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OR(AND(IF(Metadata!C409="",FALSE,TRUE),OR(exact(Metadata!C409,"not applicable"),exact(Metadata!C409,"not collected"),exact(Metadata!C409,"not provided"),exact(Metadata!C409,"restricted access"))),IF(Metadata!C409="",FALSE,ISNUMBER(VALUE(Metadata!C409))))</f>
        <v>0</v>
      </c>
      <c r="W409">
        <f>AND(IF(Metadata!D409="",FALSE,TRUE),exact(Metadata!D409,"m"))</f>
        <v>0</v>
      </c>
      <c r="X409">
        <f>AND(IF(Metadata!E409="",FALSE,TRUE),OR(exact(Metadata!E409,"aerosol (non-saline)"),exact(Metadata!E409,"aerosol (saline)")))</f>
        <v>0</v>
      </c>
      <c r="Y409">
        <f>AND(IF(Metadata!F409="",FALSE,TRUE),exact(Metadata!F409,"air"))</f>
        <v>0</v>
      </c>
      <c r="Z409">
        <f>AND(IF(Metadata!G409="",FALSE,TRUE),exact(Metadata!G409,"air"))</f>
        <v>0</v>
      </c>
      <c r="AA409">
        <f>AND(IF(Metadata!H409="",FALSE,TRUE),exact(Metadata!H409,"air"))</f>
        <v>0</v>
      </c>
      <c r="AB409">
        <f>AND(IF(Metadata!I409="",FALSE,TRUE),exact(Metadata!I409,"air metagenome"))</f>
        <v>0</v>
      </c>
      <c r="AC409">
        <f>AND(IF(Metadata!J409="",FALSE,TRUE),exact(Metadata!J409,"655179"))</f>
        <v>0</v>
      </c>
    </row>
    <row r="410" spans="1:29">
      <c r="A410" s="5">
        <f>IF(B410=" "," ",HYPERLINK(CONCATENATE("#metadata!",ADDRESS(INDEX($P$2:$P$1001,MATCH(ROWS($N$2:N410),$N$2:$N$1001,0),0),1)),INDEX($S$2:$S$1001,MATCH(ROWS($N$2:N410),$N$2:$N$1001,0),0)))</f>
        <v>0</v>
      </c>
      <c r="B410" s="4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4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4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4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4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4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4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4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4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OR(AND(IF(Metadata!C410="",FALSE,TRUE),OR(exact(Metadata!C410,"not applicable"),exact(Metadata!C410,"not collected"),exact(Metadata!C410,"not provided"),exact(Metadata!C410,"restricted access"))),IF(Metadata!C410="",FALSE,ISNUMBER(VALUE(Metadata!C410))))</f>
        <v>0</v>
      </c>
      <c r="W410">
        <f>AND(IF(Metadata!D410="",FALSE,TRUE),exact(Metadata!D410,"m"))</f>
        <v>0</v>
      </c>
      <c r="X410">
        <f>AND(IF(Metadata!E410="",FALSE,TRUE),OR(exact(Metadata!E410,"aerosol (non-saline)"),exact(Metadata!E410,"aerosol (saline)")))</f>
        <v>0</v>
      </c>
      <c r="Y410">
        <f>AND(IF(Metadata!F410="",FALSE,TRUE),exact(Metadata!F410,"air"))</f>
        <v>0</v>
      </c>
      <c r="Z410">
        <f>AND(IF(Metadata!G410="",FALSE,TRUE),exact(Metadata!G410,"air"))</f>
        <v>0</v>
      </c>
      <c r="AA410">
        <f>AND(IF(Metadata!H410="",FALSE,TRUE),exact(Metadata!H410,"air"))</f>
        <v>0</v>
      </c>
      <c r="AB410">
        <f>AND(IF(Metadata!I410="",FALSE,TRUE),exact(Metadata!I410,"air metagenome"))</f>
        <v>0</v>
      </c>
      <c r="AC410">
        <f>AND(IF(Metadata!J410="",FALSE,TRUE),exact(Metadata!J410,"655179"))</f>
        <v>0</v>
      </c>
    </row>
    <row r="411" spans="1:29">
      <c r="A411" s="5">
        <f>IF(B411=" "," ",HYPERLINK(CONCATENATE("#metadata!",ADDRESS(INDEX($P$2:$P$1001,MATCH(ROWS($N$2:N411),$N$2:$N$1001,0),0),1)),INDEX($S$2:$S$1001,MATCH(ROWS($N$2:N411),$N$2:$N$1001,0),0)))</f>
        <v>0</v>
      </c>
      <c r="B411" s="4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4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4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4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4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4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4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4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4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OR(AND(IF(Metadata!C411="",FALSE,TRUE),OR(exact(Metadata!C411,"not applicable"),exact(Metadata!C411,"not collected"),exact(Metadata!C411,"not provided"),exact(Metadata!C411,"restricted access"))),IF(Metadata!C411="",FALSE,ISNUMBER(VALUE(Metadata!C411))))</f>
        <v>0</v>
      </c>
      <c r="W411">
        <f>AND(IF(Metadata!D411="",FALSE,TRUE),exact(Metadata!D411,"m"))</f>
        <v>0</v>
      </c>
      <c r="X411">
        <f>AND(IF(Metadata!E411="",FALSE,TRUE),OR(exact(Metadata!E411,"aerosol (non-saline)"),exact(Metadata!E411,"aerosol (saline)")))</f>
        <v>0</v>
      </c>
      <c r="Y411">
        <f>AND(IF(Metadata!F411="",FALSE,TRUE),exact(Metadata!F411,"air"))</f>
        <v>0</v>
      </c>
      <c r="Z411">
        <f>AND(IF(Metadata!G411="",FALSE,TRUE),exact(Metadata!G411,"air"))</f>
        <v>0</v>
      </c>
      <c r="AA411">
        <f>AND(IF(Metadata!H411="",FALSE,TRUE),exact(Metadata!H411,"air"))</f>
        <v>0</v>
      </c>
      <c r="AB411">
        <f>AND(IF(Metadata!I411="",FALSE,TRUE),exact(Metadata!I411,"air metagenome"))</f>
        <v>0</v>
      </c>
      <c r="AC411">
        <f>AND(IF(Metadata!J411="",FALSE,TRUE),exact(Metadata!J411,"655179"))</f>
        <v>0</v>
      </c>
    </row>
    <row r="412" spans="1:29">
      <c r="A412" s="5">
        <f>IF(B412=" "," ",HYPERLINK(CONCATENATE("#metadata!",ADDRESS(INDEX($P$2:$P$1001,MATCH(ROWS($N$2:N412),$N$2:$N$1001,0),0),1)),INDEX($S$2:$S$1001,MATCH(ROWS($N$2:N412),$N$2:$N$1001,0),0)))</f>
        <v>0</v>
      </c>
      <c r="B412" s="4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4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4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4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4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4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4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4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4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OR(AND(IF(Metadata!C412="",FALSE,TRUE),OR(exact(Metadata!C412,"not applicable"),exact(Metadata!C412,"not collected"),exact(Metadata!C412,"not provided"),exact(Metadata!C412,"restricted access"))),IF(Metadata!C412="",FALSE,ISNUMBER(VALUE(Metadata!C412))))</f>
        <v>0</v>
      </c>
      <c r="W412">
        <f>AND(IF(Metadata!D412="",FALSE,TRUE),exact(Metadata!D412,"m"))</f>
        <v>0</v>
      </c>
      <c r="X412">
        <f>AND(IF(Metadata!E412="",FALSE,TRUE),OR(exact(Metadata!E412,"aerosol (non-saline)"),exact(Metadata!E412,"aerosol (saline)")))</f>
        <v>0</v>
      </c>
      <c r="Y412">
        <f>AND(IF(Metadata!F412="",FALSE,TRUE),exact(Metadata!F412,"air"))</f>
        <v>0</v>
      </c>
      <c r="Z412">
        <f>AND(IF(Metadata!G412="",FALSE,TRUE),exact(Metadata!G412,"air"))</f>
        <v>0</v>
      </c>
      <c r="AA412">
        <f>AND(IF(Metadata!H412="",FALSE,TRUE),exact(Metadata!H412,"air"))</f>
        <v>0</v>
      </c>
      <c r="AB412">
        <f>AND(IF(Metadata!I412="",FALSE,TRUE),exact(Metadata!I412,"air metagenome"))</f>
        <v>0</v>
      </c>
      <c r="AC412">
        <f>AND(IF(Metadata!J412="",FALSE,TRUE),exact(Metadata!J412,"655179"))</f>
        <v>0</v>
      </c>
    </row>
    <row r="413" spans="1:29">
      <c r="A413" s="5">
        <f>IF(B413=" "," ",HYPERLINK(CONCATENATE("#metadata!",ADDRESS(INDEX($P$2:$P$1001,MATCH(ROWS($N$2:N413),$N$2:$N$1001,0),0),1)),INDEX($S$2:$S$1001,MATCH(ROWS($N$2:N413),$N$2:$N$1001,0),0)))</f>
        <v>0</v>
      </c>
      <c r="B413" s="4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4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4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4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4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4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4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4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4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OR(AND(IF(Metadata!C413="",FALSE,TRUE),OR(exact(Metadata!C413,"not applicable"),exact(Metadata!C413,"not collected"),exact(Metadata!C413,"not provided"),exact(Metadata!C413,"restricted access"))),IF(Metadata!C413="",FALSE,ISNUMBER(VALUE(Metadata!C413))))</f>
        <v>0</v>
      </c>
      <c r="W413">
        <f>AND(IF(Metadata!D413="",FALSE,TRUE),exact(Metadata!D413,"m"))</f>
        <v>0</v>
      </c>
      <c r="X413">
        <f>AND(IF(Metadata!E413="",FALSE,TRUE),OR(exact(Metadata!E413,"aerosol (non-saline)"),exact(Metadata!E413,"aerosol (saline)")))</f>
        <v>0</v>
      </c>
      <c r="Y413">
        <f>AND(IF(Metadata!F413="",FALSE,TRUE),exact(Metadata!F413,"air"))</f>
        <v>0</v>
      </c>
      <c r="Z413">
        <f>AND(IF(Metadata!G413="",FALSE,TRUE),exact(Metadata!G413,"air"))</f>
        <v>0</v>
      </c>
      <c r="AA413">
        <f>AND(IF(Metadata!H413="",FALSE,TRUE),exact(Metadata!H413,"air"))</f>
        <v>0</v>
      </c>
      <c r="AB413">
        <f>AND(IF(Metadata!I413="",FALSE,TRUE),exact(Metadata!I413,"air metagenome"))</f>
        <v>0</v>
      </c>
      <c r="AC413">
        <f>AND(IF(Metadata!J413="",FALSE,TRUE),exact(Metadata!J413,"655179"))</f>
        <v>0</v>
      </c>
    </row>
    <row r="414" spans="1:29">
      <c r="A414" s="5">
        <f>IF(B414=" "," ",HYPERLINK(CONCATENATE("#metadata!",ADDRESS(INDEX($P$2:$P$1001,MATCH(ROWS($N$2:N414),$N$2:$N$1001,0),0),1)),INDEX($S$2:$S$1001,MATCH(ROWS($N$2:N414),$N$2:$N$1001,0),0)))</f>
        <v>0</v>
      </c>
      <c r="B414" s="4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4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4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4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4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4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4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4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4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OR(AND(IF(Metadata!C414="",FALSE,TRUE),OR(exact(Metadata!C414,"not applicable"),exact(Metadata!C414,"not collected"),exact(Metadata!C414,"not provided"),exact(Metadata!C414,"restricted access"))),IF(Metadata!C414="",FALSE,ISNUMBER(VALUE(Metadata!C414))))</f>
        <v>0</v>
      </c>
      <c r="W414">
        <f>AND(IF(Metadata!D414="",FALSE,TRUE),exact(Metadata!D414,"m"))</f>
        <v>0</v>
      </c>
      <c r="X414">
        <f>AND(IF(Metadata!E414="",FALSE,TRUE),OR(exact(Metadata!E414,"aerosol (non-saline)"),exact(Metadata!E414,"aerosol (saline)")))</f>
        <v>0</v>
      </c>
      <c r="Y414">
        <f>AND(IF(Metadata!F414="",FALSE,TRUE),exact(Metadata!F414,"air"))</f>
        <v>0</v>
      </c>
      <c r="Z414">
        <f>AND(IF(Metadata!G414="",FALSE,TRUE),exact(Metadata!G414,"air"))</f>
        <v>0</v>
      </c>
      <c r="AA414">
        <f>AND(IF(Metadata!H414="",FALSE,TRUE),exact(Metadata!H414,"air"))</f>
        <v>0</v>
      </c>
      <c r="AB414">
        <f>AND(IF(Metadata!I414="",FALSE,TRUE),exact(Metadata!I414,"air metagenome"))</f>
        <v>0</v>
      </c>
      <c r="AC414">
        <f>AND(IF(Metadata!J414="",FALSE,TRUE),exact(Metadata!J414,"655179"))</f>
        <v>0</v>
      </c>
    </row>
    <row r="415" spans="1:29">
      <c r="A415" s="5">
        <f>IF(B415=" "," ",HYPERLINK(CONCATENATE("#metadata!",ADDRESS(INDEX($P$2:$P$1001,MATCH(ROWS($N$2:N415),$N$2:$N$1001,0),0),1)),INDEX($S$2:$S$1001,MATCH(ROWS($N$2:N415),$N$2:$N$1001,0),0)))</f>
        <v>0</v>
      </c>
      <c r="B415" s="4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4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4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4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4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4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4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4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4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OR(AND(IF(Metadata!C415="",FALSE,TRUE),OR(exact(Metadata!C415,"not applicable"),exact(Metadata!C415,"not collected"),exact(Metadata!C415,"not provided"),exact(Metadata!C415,"restricted access"))),IF(Metadata!C415="",FALSE,ISNUMBER(VALUE(Metadata!C415))))</f>
        <v>0</v>
      </c>
      <c r="W415">
        <f>AND(IF(Metadata!D415="",FALSE,TRUE),exact(Metadata!D415,"m"))</f>
        <v>0</v>
      </c>
      <c r="X415">
        <f>AND(IF(Metadata!E415="",FALSE,TRUE),OR(exact(Metadata!E415,"aerosol (non-saline)"),exact(Metadata!E415,"aerosol (saline)")))</f>
        <v>0</v>
      </c>
      <c r="Y415">
        <f>AND(IF(Metadata!F415="",FALSE,TRUE),exact(Metadata!F415,"air"))</f>
        <v>0</v>
      </c>
      <c r="Z415">
        <f>AND(IF(Metadata!G415="",FALSE,TRUE),exact(Metadata!G415,"air"))</f>
        <v>0</v>
      </c>
      <c r="AA415">
        <f>AND(IF(Metadata!H415="",FALSE,TRUE),exact(Metadata!H415,"air"))</f>
        <v>0</v>
      </c>
      <c r="AB415">
        <f>AND(IF(Metadata!I415="",FALSE,TRUE),exact(Metadata!I415,"air metagenome"))</f>
        <v>0</v>
      </c>
      <c r="AC415">
        <f>AND(IF(Metadata!J415="",FALSE,TRUE),exact(Metadata!J415,"655179"))</f>
        <v>0</v>
      </c>
    </row>
    <row r="416" spans="1:29">
      <c r="A416" s="5">
        <f>IF(B416=" "," ",HYPERLINK(CONCATENATE("#metadata!",ADDRESS(INDEX($P$2:$P$1001,MATCH(ROWS($N$2:N416),$N$2:$N$1001,0),0),1)),INDEX($S$2:$S$1001,MATCH(ROWS($N$2:N416),$N$2:$N$1001,0),0)))</f>
        <v>0</v>
      </c>
      <c r="B416" s="4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4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4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4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4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4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4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4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4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OR(AND(IF(Metadata!C416="",FALSE,TRUE),OR(exact(Metadata!C416,"not applicable"),exact(Metadata!C416,"not collected"),exact(Metadata!C416,"not provided"),exact(Metadata!C416,"restricted access"))),IF(Metadata!C416="",FALSE,ISNUMBER(VALUE(Metadata!C416))))</f>
        <v>0</v>
      </c>
      <c r="W416">
        <f>AND(IF(Metadata!D416="",FALSE,TRUE),exact(Metadata!D416,"m"))</f>
        <v>0</v>
      </c>
      <c r="X416">
        <f>AND(IF(Metadata!E416="",FALSE,TRUE),OR(exact(Metadata!E416,"aerosol (non-saline)"),exact(Metadata!E416,"aerosol (saline)")))</f>
        <v>0</v>
      </c>
      <c r="Y416">
        <f>AND(IF(Metadata!F416="",FALSE,TRUE),exact(Metadata!F416,"air"))</f>
        <v>0</v>
      </c>
      <c r="Z416">
        <f>AND(IF(Metadata!G416="",FALSE,TRUE),exact(Metadata!G416,"air"))</f>
        <v>0</v>
      </c>
      <c r="AA416">
        <f>AND(IF(Metadata!H416="",FALSE,TRUE),exact(Metadata!H416,"air"))</f>
        <v>0</v>
      </c>
      <c r="AB416">
        <f>AND(IF(Metadata!I416="",FALSE,TRUE),exact(Metadata!I416,"air metagenome"))</f>
        <v>0</v>
      </c>
      <c r="AC416">
        <f>AND(IF(Metadata!J416="",FALSE,TRUE),exact(Metadata!J416,"655179"))</f>
        <v>0</v>
      </c>
    </row>
    <row r="417" spans="1:29">
      <c r="A417" s="5">
        <f>IF(B417=" "," ",HYPERLINK(CONCATENATE("#metadata!",ADDRESS(INDEX($P$2:$P$1001,MATCH(ROWS($N$2:N417),$N$2:$N$1001,0),0),1)),INDEX($S$2:$S$1001,MATCH(ROWS($N$2:N417),$N$2:$N$1001,0),0)))</f>
        <v>0</v>
      </c>
      <c r="B417" s="4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4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4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4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4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4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4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4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4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OR(AND(IF(Metadata!C417="",FALSE,TRUE),OR(exact(Metadata!C417,"not applicable"),exact(Metadata!C417,"not collected"),exact(Metadata!C417,"not provided"),exact(Metadata!C417,"restricted access"))),IF(Metadata!C417="",FALSE,ISNUMBER(VALUE(Metadata!C417))))</f>
        <v>0</v>
      </c>
      <c r="W417">
        <f>AND(IF(Metadata!D417="",FALSE,TRUE),exact(Metadata!D417,"m"))</f>
        <v>0</v>
      </c>
      <c r="X417">
        <f>AND(IF(Metadata!E417="",FALSE,TRUE),OR(exact(Metadata!E417,"aerosol (non-saline)"),exact(Metadata!E417,"aerosol (saline)")))</f>
        <v>0</v>
      </c>
      <c r="Y417">
        <f>AND(IF(Metadata!F417="",FALSE,TRUE),exact(Metadata!F417,"air"))</f>
        <v>0</v>
      </c>
      <c r="Z417">
        <f>AND(IF(Metadata!G417="",FALSE,TRUE),exact(Metadata!G417,"air"))</f>
        <v>0</v>
      </c>
      <c r="AA417">
        <f>AND(IF(Metadata!H417="",FALSE,TRUE),exact(Metadata!H417,"air"))</f>
        <v>0</v>
      </c>
      <c r="AB417">
        <f>AND(IF(Metadata!I417="",FALSE,TRUE),exact(Metadata!I417,"air metagenome"))</f>
        <v>0</v>
      </c>
      <c r="AC417">
        <f>AND(IF(Metadata!J417="",FALSE,TRUE),exact(Metadata!J417,"655179"))</f>
        <v>0</v>
      </c>
    </row>
    <row r="418" spans="1:29">
      <c r="A418" s="5">
        <f>IF(B418=" "," ",HYPERLINK(CONCATENATE("#metadata!",ADDRESS(INDEX($P$2:$P$1001,MATCH(ROWS($N$2:N418),$N$2:$N$1001,0),0),1)),INDEX($S$2:$S$1001,MATCH(ROWS($N$2:N418),$N$2:$N$1001,0),0)))</f>
        <v>0</v>
      </c>
      <c r="B418" s="4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4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4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4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4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4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4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4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4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OR(AND(IF(Metadata!C418="",FALSE,TRUE),OR(exact(Metadata!C418,"not applicable"),exact(Metadata!C418,"not collected"),exact(Metadata!C418,"not provided"),exact(Metadata!C418,"restricted access"))),IF(Metadata!C418="",FALSE,ISNUMBER(VALUE(Metadata!C418))))</f>
        <v>0</v>
      </c>
      <c r="W418">
        <f>AND(IF(Metadata!D418="",FALSE,TRUE),exact(Metadata!D418,"m"))</f>
        <v>0</v>
      </c>
      <c r="X418">
        <f>AND(IF(Metadata!E418="",FALSE,TRUE),OR(exact(Metadata!E418,"aerosol (non-saline)"),exact(Metadata!E418,"aerosol (saline)")))</f>
        <v>0</v>
      </c>
      <c r="Y418">
        <f>AND(IF(Metadata!F418="",FALSE,TRUE),exact(Metadata!F418,"air"))</f>
        <v>0</v>
      </c>
      <c r="Z418">
        <f>AND(IF(Metadata!G418="",FALSE,TRUE),exact(Metadata!G418,"air"))</f>
        <v>0</v>
      </c>
      <c r="AA418">
        <f>AND(IF(Metadata!H418="",FALSE,TRUE),exact(Metadata!H418,"air"))</f>
        <v>0</v>
      </c>
      <c r="AB418">
        <f>AND(IF(Metadata!I418="",FALSE,TRUE),exact(Metadata!I418,"air metagenome"))</f>
        <v>0</v>
      </c>
      <c r="AC418">
        <f>AND(IF(Metadata!J418="",FALSE,TRUE),exact(Metadata!J418,"655179"))</f>
        <v>0</v>
      </c>
    </row>
    <row r="419" spans="1:29">
      <c r="A419" s="5">
        <f>IF(B419=" "," ",HYPERLINK(CONCATENATE("#metadata!",ADDRESS(INDEX($P$2:$P$1001,MATCH(ROWS($N$2:N419),$N$2:$N$1001,0),0),1)),INDEX($S$2:$S$1001,MATCH(ROWS($N$2:N419),$N$2:$N$1001,0),0)))</f>
        <v>0</v>
      </c>
      <c r="B419" s="4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4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4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4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4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4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4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4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4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OR(AND(IF(Metadata!C419="",FALSE,TRUE),OR(exact(Metadata!C419,"not applicable"),exact(Metadata!C419,"not collected"),exact(Metadata!C419,"not provided"),exact(Metadata!C419,"restricted access"))),IF(Metadata!C419="",FALSE,ISNUMBER(VALUE(Metadata!C419))))</f>
        <v>0</v>
      </c>
      <c r="W419">
        <f>AND(IF(Metadata!D419="",FALSE,TRUE),exact(Metadata!D419,"m"))</f>
        <v>0</v>
      </c>
      <c r="X419">
        <f>AND(IF(Metadata!E419="",FALSE,TRUE),OR(exact(Metadata!E419,"aerosol (non-saline)"),exact(Metadata!E419,"aerosol (saline)")))</f>
        <v>0</v>
      </c>
      <c r="Y419">
        <f>AND(IF(Metadata!F419="",FALSE,TRUE),exact(Metadata!F419,"air"))</f>
        <v>0</v>
      </c>
      <c r="Z419">
        <f>AND(IF(Metadata!G419="",FALSE,TRUE),exact(Metadata!G419,"air"))</f>
        <v>0</v>
      </c>
      <c r="AA419">
        <f>AND(IF(Metadata!H419="",FALSE,TRUE),exact(Metadata!H419,"air"))</f>
        <v>0</v>
      </c>
      <c r="AB419">
        <f>AND(IF(Metadata!I419="",FALSE,TRUE),exact(Metadata!I419,"air metagenome"))</f>
        <v>0</v>
      </c>
      <c r="AC419">
        <f>AND(IF(Metadata!J419="",FALSE,TRUE),exact(Metadata!J419,"655179"))</f>
        <v>0</v>
      </c>
    </row>
    <row r="420" spans="1:29">
      <c r="A420" s="5">
        <f>IF(B420=" "," ",HYPERLINK(CONCATENATE("#metadata!",ADDRESS(INDEX($P$2:$P$1001,MATCH(ROWS($N$2:N420),$N$2:$N$1001,0),0),1)),INDEX($S$2:$S$1001,MATCH(ROWS($N$2:N420),$N$2:$N$1001,0),0)))</f>
        <v>0</v>
      </c>
      <c r="B420" s="4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4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4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4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4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4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4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4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4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OR(AND(IF(Metadata!C420="",FALSE,TRUE),OR(exact(Metadata!C420,"not applicable"),exact(Metadata!C420,"not collected"),exact(Metadata!C420,"not provided"),exact(Metadata!C420,"restricted access"))),IF(Metadata!C420="",FALSE,ISNUMBER(VALUE(Metadata!C420))))</f>
        <v>0</v>
      </c>
      <c r="W420">
        <f>AND(IF(Metadata!D420="",FALSE,TRUE),exact(Metadata!D420,"m"))</f>
        <v>0</v>
      </c>
      <c r="X420">
        <f>AND(IF(Metadata!E420="",FALSE,TRUE),OR(exact(Metadata!E420,"aerosol (non-saline)"),exact(Metadata!E420,"aerosol (saline)")))</f>
        <v>0</v>
      </c>
      <c r="Y420">
        <f>AND(IF(Metadata!F420="",FALSE,TRUE),exact(Metadata!F420,"air"))</f>
        <v>0</v>
      </c>
      <c r="Z420">
        <f>AND(IF(Metadata!G420="",FALSE,TRUE),exact(Metadata!G420,"air"))</f>
        <v>0</v>
      </c>
      <c r="AA420">
        <f>AND(IF(Metadata!H420="",FALSE,TRUE),exact(Metadata!H420,"air"))</f>
        <v>0</v>
      </c>
      <c r="AB420">
        <f>AND(IF(Metadata!I420="",FALSE,TRUE),exact(Metadata!I420,"air metagenome"))</f>
        <v>0</v>
      </c>
      <c r="AC420">
        <f>AND(IF(Metadata!J420="",FALSE,TRUE),exact(Metadata!J420,"655179"))</f>
        <v>0</v>
      </c>
    </row>
    <row r="421" spans="1:29">
      <c r="A421" s="5">
        <f>IF(B421=" "," ",HYPERLINK(CONCATENATE("#metadata!",ADDRESS(INDEX($P$2:$P$1001,MATCH(ROWS($N$2:N421),$N$2:$N$1001,0),0),1)),INDEX($S$2:$S$1001,MATCH(ROWS($N$2:N421),$N$2:$N$1001,0),0)))</f>
        <v>0</v>
      </c>
      <c r="B421" s="4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4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4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4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4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4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4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4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4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OR(AND(IF(Metadata!C421="",FALSE,TRUE),OR(exact(Metadata!C421,"not applicable"),exact(Metadata!C421,"not collected"),exact(Metadata!C421,"not provided"),exact(Metadata!C421,"restricted access"))),IF(Metadata!C421="",FALSE,ISNUMBER(VALUE(Metadata!C421))))</f>
        <v>0</v>
      </c>
      <c r="W421">
        <f>AND(IF(Metadata!D421="",FALSE,TRUE),exact(Metadata!D421,"m"))</f>
        <v>0</v>
      </c>
      <c r="X421">
        <f>AND(IF(Metadata!E421="",FALSE,TRUE),OR(exact(Metadata!E421,"aerosol (non-saline)"),exact(Metadata!E421,"aerosol (saline)")))</f>
        <v>0</v>
      </c>
      <c r="Y421">
        <f>AND(IF(Metadata!F421="",FALSE,TRUE),exact(Metadata!F421,"air"))</f>
        <v>0</v>
      </c>
      <c r="Z421">
        <f>AND(IF(Metadata!G421="",FALSE,TRUE),exact(Metadata!G421,"air"))</f>
        <v>0</v>
      </c>
      <c r="AA421">
        <f>AND(IF(Metadata!H421="",FALSE,TRUE),exact(Metadata!H421,"air"))</f>
        <v>0</v>
      </c>
      <c r="AB421">
        <f>AND(IF(Metadata!I421="",FALSE,TRUE),exact(Metadata!I421,"air metagenome"))</f>
        <v>0</v>
      </c>
      <c r="AC421">
        <f>AND(IF(Metadata!J421="",FALSE,TRUE),exact(Metadata!J421,"655179"))</f>
        <v>0</v>
      </c>
    </row>
    <row r="422" spans="1:29">
      <c r="A422" s="5">
        <f>IF(B422=" "," ",HYPERLINK(CONCATENATE("#metadata!",ADDRESS(INDEX($P$2:$P$1001,MATCH(ROWS($N$2:N422),$N$2:$N$1001,0),0),1)),INDEX($S$2:$S$1001,MATCH(ROWS($N$2:N422),$N$2:$N$1001,0),0)))</f>
        <v>0</v>
      </c>
      <c r="B422" s="4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4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4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4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4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4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4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4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4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OR(AND(IF(Metadata!C422="",FALSE,TRUE),OR(exact(Metadata!C422,"not applicable"),exact(Metadata!C422,"not collected"),exact(Metadata!C422,"not provided"),exact(Metadata!C422,"restricted access"))),IF(Metadata!C422="",FALSE,ISNUMBER(VALUE(Metadata!C422))))</f>
        <v>0</v>
      </c>
      <c r="W422">
        <f>AND(IF(Metadata!D422="",FALSE,TRUE),exact(Metadata!D422,"m"))</f>
        <v>0</v>
      </c>
      <c r="X422">
        <f>AND(IF(Metadata!E422="",FALSE,TRUE),OR(exact(Metadata!E422,"aerosol (non-saline)"),exact(Metadata!E422,"aerosol (saline)")))</f>
        <v>0</v>
      </c>
      <c r="Y422">
        <f>AND(IF(Metadata!F422="",FALSE,TRUE),exact(Metadata!F422,"air"))</f>
        <v>0</v>
      </c>
      <c r="Z422">
        <f>AND(IF(Metadata!G422="",FALSE,TRUE),exact(Metadata!G422,"air"))</f>
        <v>0</v>
      </c>
      <c r="AA422">
        <f>AND(IF(Metadata!H422="",FALSE,TRUE),exact(Metadata!H422,"air"))</f>
        <v>0</v>
      </c>
      <c r="AB422">
        <f>AND(IF(Metadata!I422="",FALSE,TRUE),exact(Metadata!I422,"air metagenome"))</f>
        <v>0</v>
      </c>
      <c r="AC422">
        <f>AND(IF(Metadata!J422="",FALSE,TRUE),exact(Metadata!J422,"655179"))</f>
        <v>0</v>
      </c>
    </row>
    <row r="423" spans="1:29">
      <c r="A423" s="5">
        <f>IF(B423=" "," ",HYPERLINK(CONCATENATE("#metadata!",ADDRESS(INDEX($P$2:$P$1001,MATCH(ROWS($N$2:N423),$N$2:$N$1001,0),0),1)),INDEX($S$2:$S$1001,MATCH(ROWS($N$2:N423),$N$2:$N$1001,0),0)))</f>
        <v>0</v>
      </c>
      <c r="B423" s="4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4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4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4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4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4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4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4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4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OR(AND(IF(Metadata!C423="",FALSE,TRUE),OR(exact(Metadata!C423,"not applicable"),exact(Metadata!C423,"not collected"),exact(Metadata!C423,"not provided"),exact(Metadata!C423,"restricted access"))),IF(Metadata!C423="",FALSE,ISNUMBER(VALUE(Metadata!C423))))</f>
        <v>0</v>
      </c>
      <c r="W423">
        <f>AND(IF(Metadata!D423="",FALSE,TRUE),exact(Metadata!D423,"m"))</f>
        <v>0</v>
      </c>
      <c r="X423">
        <f>AND(IF(Metadata!E423="",FALSE,TRUE),OR(exact(Metadata!E423,"aerosol (non-saline)"),exact(Metadata!E423,"aerosol (saline)")))</f>
        <v>0</v>
      </c>
      <c r="Y423">
        <f>AND(IF(Metadata!F423="",FALSE,TRUE),exact(Metadata!F423,"air"))</f>
        <v>0</v>
      </c>
      <c r="Z423">
        <f>AND(IF(Metadata!G423="",FALSE,TRUE),exact(Metadata!G423,"air"))</f>
        <v>0</v>
      </c>
      <c r="AA423">
        <f>AND(IF(Metadata!H423="",FALSE,TRUE),exact(Metadata!H423,"air"))</f>
        <v>0</v>
      </c>
      <c r="AB423">
        <f>AND(IF(Metadata!I423="",FALSE,TRUE),exact(Metadata!I423,"air metagenome"))</f>
        <v>0</v>
      </c>
      <c r="AC423">
        <f>AND(IF(Metadata!J423="",FALSE,TRUE),exact(Metadata!J423,"655179"))</f>
        <v>0</v>
      </c>
    </row>
    <row r="424" spans="1:29">
      <c r="A424" s="5">
        <f>IF(B424=" "," ",HYPERLINK(CONCATENATE("#metadata!",ADDRESS(INDEX($P$2:$P$1001,MATCH(ROWS($N$2:N424),$N$2:$N$1001,0),0),1)),INDEX($S$2:$S$1001,MATCH(ROWS($N$2:N424),$N$2:$N$1001,0),0)))</f>
        <v>0</v>
      </c>
      <c r="B424" s="4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4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4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4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4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4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4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4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4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OR(AND(IF(Metadata!C424="",FALSE,TRUE),OR(exact(Metadata!C424,"not applicable"),exact(Metadata!C424,"not collected"),exact(Metadata!C424,"not provided"),exact(Metadata!C424,"restricted access"))),IF(Metadata!C424="",FALSE,ISNUMBER(VALUE(Metadata!C424))))</f>
        <v>0</v>
      </c>
      <c r="W424">
        <f>AND(IF(Metadata!D424="",FALSE,TRUE),exact(Metadata!D424,"m"))</f>
        <v>0</v>
      </c>
      <c r="X424">
        <f>AND(IF(Metadata!E424="",FALSE,TRUE),OR(exact(Metadata!E424,"aerosol (non-saline)"),exact(Metadata!E424,"aerosol (saline)")))</f>
        <v>0</v>
      </c>
      <c r="Y424">
        <f>AND(IF(Metadata!F424="",FALSE,TRUE),exact(Metadata!F424,"air"))</f>
        <v>0</v>
      </c>
      <c r="Z424">
        <f>AND(IF(Metadata!G424="",FALSE,TRUE),exact(Metadata!G424,"air"))</f>
        <v>0</v>
      </c>
      <c r="AA424">
        <f>AND(IF(Metadata!H424="",FALSE,TRUE),exact(Metadata!H424,"air"))</f>
        <v>0</v>
      </c>
      <c r="AB424">
        <f>AND(IF(Metadata!I424="",FALSE,TRUE),exact(Metadata!I424,"air metagenome"))</f>
        <v>0</v>
      </c>
      <c r="AC424">
        <f>AND(IF(Metadata!J424="",FALSE,TRUE),exact(Metadata!J424,"655179"))</f>
        <v>0</v>
      </c>
    </row>
    <row r="425" spans="1:29">
      <c r="A425" s="5">
        <f>IF(B425=" "," ",HYPERLINK(CONCATENATE("#metadata!",ADDRESS(INDEX($P$2:$P$1001,MATCH(ROWS($N$2:N425),$N$2:$N$1001,0),0),1)),INDEX($S$2:$S$1001,MATCH(ROWS($N$2:N425),$N$2:$N$1001,0),0)))</f>
        <v>0</v>
      </c>
      <c r="B425" s="4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4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4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4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4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4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4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4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4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OR(AND(IF(Metadata!C425="",FALSE,TRUE),OR(exact(Metadata!C425,"not applicable"),exact(Metadata!C425,"not collected"),exact(Metadata!C425,"not provided"),exact(Metadata!C425,"restricted access"))),IF(Metadata!C425="",FALSE,ISNUMBER(VALUE(Metadata!C425))))</f>
        <v>0</v>
      </c>
      <c r="W425">
        <f>AND(IF(Metadata!D425="",FALSE,TRUE),exact(Metadata!D425,"m"))</f>
        <v>0</v>
      </c>
      <c r="X425">
        <f>AND(IF(Metadata!E425="",FALSE,TRUE),OR(exact(Metadata!E425,"aerosol (non-saline)"),exact(Metadata!E425,"aerosol (saline)")))</f>
        <v>0</v>
      </c>
      <c r="Y425">
        <f>AND(IF(Metadata!F425="",FALSE,TRUE),exact(Metadata!F425,"air"))</f>
        <v>0</v>
      </c>
      <c r="Z425">
        <f>AND(IF(Metadata!G425="",FALSE,TRUE),exact(Metadata!G425,"air"))</f>
        <v>0</v>
      </c>
      <c r="AA425">
        <f>AND(IF(Metadata!H425="",FALSE,TRUE),exact(Metadata!H425,"air"))</f>
        <v>0</v>
      </c>
      <c r="AB425">
        <f>AND(IF(Metadata!I425="",FALSE,TRUE),exact(Metadata!I425,"air metagenome"))</f>
        <v>0</v>
      </c>
      <c r="AC425">
        <f>AND(IF(Metadata!J425="",FALSE,TRUE),exact(Metadata!J425,"655179"))</f>
        <v>0</v>
      </c>
    </row>
    <row r="426" spans="1:29">
      <c r="A426" s="5">
        <f>IF(B426=" "," ",HYPERLINK(CONCATENATE("#metadata!",ADDRESS(INDEX($P$2:$P$1001,MATCH(ROWS($N$2:N426),$N$2:$N$1001,0),0),1)),INDEX($S$2:$S$1001,MATCH(ROWS($N$2:N426),$N$2:$N$1001,0),0)))</f>
        <v>0</v>
      </c>
      <c r="B426" s="4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4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4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4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4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4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4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4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4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OR(AND(IF(Metadata!C426="",FALSE,TRUE),OR(exact(Metadata!C426,"not applicable"),exact(Metadata!C426,"not collected"),exact(Metadata!C426,"not provided"),exact(Metadata!C426,"restricted access"))),IF(Metadata!C426="",FALSE,ISNUMBER(VALUE(Metadata!C426))))</f>
        <v>0</v>
      </c>
      <c r="W426">
        <f>AND(IF(Metadata!D426="",FALSE,TRUE),exact(Metadata!D426,"m"))</f>
        <v>0</v>
      </c>
      <c r="X426">
        <f>AND(IF(Metadata!E426="",FALSE,TRUE),OR(exact(Metadata!E426,"aerosol (non-saline)"),exact(Metadata!E426,"aerosol (saline)")))</f>
        <v>0</v>
      </c>
      <c r="Y426">
        <f>AND(IF(Metadata!F426="",FALSE,TRUE),exact(Metadata!F426,"air"))</f>
        <v>0</v>
      </c>
      <c r="Z426">
        <f>AND(IF(Metadata!G426="",FALSE,TRUE),exact(Metadata!G426,"air"))</f>
        <v>0</v>
      </c>
      <c r="AA426">
        <f>AND(IF(Metadata!H426="",FALSE,TRUE),exact(Metadata!H426,"air"))</f>
        <v>0</v>
      </c>
      <c r="AB426">
        <f>AND(IF(Metadata!I426="",FALSE,TRUE),exact(Metadata!I426,"air metagenome"))</f>
        <v>0</v>
      </c>
      <c r="AC426">
        <f>AND(IF(Metadata!J426="",FALSE,TRUE),exact(Metadata!J426,"655179"))</f>
        <v>0</v>
      </c>
    </row>
    <row r="427" spans="1:29">
      <c r="A427" s="5">
        <f>IF(B427=" "," ",HYPERLINK(CONCATENATE("#metadata!",ADDRESS(INDEX($P$2:$P$1001,MATCH(ROWS($N$2:N427),$N$2:$N$1001,0),0),1)),INDEX($S$2:$S$1001,MATCH(ROWS($N$2:N427),$N$2:$N$1001,0),0)))</f>
        <v>0</v>
      </c>
      <c r="B427" s="4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4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4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4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4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4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4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4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4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OR(AND(IF(Metadata!C427="",FALSE,TRUE),OR(exact(Metadata!C427,"not applicable"),exact(Metadata!C427,"not collected"),exact(Metadata!C427,"not provided"),exact(Metadata!C427,"restricted access"))),IF(Metadata!C427="",FALSE,ISNUMBER(VALUE(Metadata!C427))))</f>
        <v>0</v>
      </c>
      <c r="W427">
        <f>AND(IF(Metadata!D427="",FALSE,TRUE),exact(Metadata!D427,"m"))</f>
        <v>0</v>
      </c>
      <c r="X427">
        <f>AND(IF(Metadata!E427="",FALSE,TRUE),OR(exact(Metadata!E427,"aerosol (non-saline)"),exact(Metadata!E427,"aerosol (saline)")))</f>
        <v>0</v>
      </c>
      <c r="Y427">
        <f>AND(IF(Metadata!F427="",FALSE,TRUE),exact(Metadata!F427,"air"))</f>
        <v>0</v>
      </c>
      <c r="Z427">
        <f>AND(IF(Metadata!G427="",FALSE,TRUE),exact(Metadata!G427,"air"))</f>
        <v>0</v>
      </c>
      <c r="AA427">
        <f>AND(IF(Metadata!H427="",FALSE,TRUE),exact(Metadata!H427,"air"))</f>
        <v>0</v>
      </c>
      <c r="AB427">
        <f>AND(IF(Metadata!I427="",FALSE,TRUE),exact(Metadata!I427,"air metagenome"))</f>
        <v>0</v>
      </c>
      <c r="AC427">
        <f>AND(IF(Metadata!J427="",FALSE,TRUE),exact(Metadata!J427,"655179"))</f>
        <v>0</v>
      </c>
    </row>
    <row r="428" spans="1:29">
      <c r="A428" s="5">
        <f>IF(B428=" "," ",HYPERLINK(CONCATENATE("#metadata!",ADDRESS(INDEX($P$2:$P$1001,MATCH(ROWS($N$2:N428),$N$2:$N$1001,0),0),1)),INDEX($S$2:$S$1001,MATCH(ROWS($N$2:N428),$N$2:$N$1001,0),0)))</f>
        <v>0</v>
      </c>
      <c r="B428" s="4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4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4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4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4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4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4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4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4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OR(AND(IF(Metadata!C428="",FALSE,TRUE),OR(exact(Metadata!C428,"not applicable"),exact(Metadata!C428,"not collected"),exact(Metadata!C428,"not provided"),exact(Metadata!C428,"restricted access"))),IF(Metadata!C428="",FALSE,ISNUMBER(VALUE(Metadata!C428))))</f>
        <v>0</v>
      </c>
      <c r="W428">
        <f>AND(IF(Metadata!D428="",FALSE,TRUE),exact(Metadata!D428,"m"))</f>
        <v>0</v>
      </c>
      <c r="X428">
        <f>AND(IF(Metadata!E428="",FALSE,TRUE),OR(exact(Metadata!E428,"aerosol (non-saline)"),exact(Metadata!E428,"aerosol (saline)")))</f>
        <v>0</v>
      </c>
      <c r="Y428">
        <f>AND(IF(Metadata!F428="",FALSE,TRUE),exact(Metadata!F428,"air"))</f>
        <v>0</v>
      </c>
      <c r="Z428">
        <f>AND(IF(Metadata!G428="",FALSE,TRUE),exact(Metadata!G428,"air"))</f>
        <v>0</v>
      </c>
      <c r="AA428">
        <f>AND(IF(Metadata!H428="",FALSE,TRUE),exact(Metadata!H428,"air"))</f>
        <v>0</v>
      </c>
      <c r="AB428">
        <f>AND(IF(Metadata!I428="",FALSE,TRUE),exact(Metadata!I428,"air metagenome"))</f>
        <v>0</v>
      </c>
      <c r="AC428">
        <f>AND(IF(Metadata!J428="",FALSE,TRUE),exact(Metadata!J428,"655179"))</f>
        <v>0</v>
      </c>
    </row>
    <row r="429" spans="1:29">
      <c r="A429" s="5">
        <f>IF(B429=" "," ",HYPERLINK(CONCATENATE("#metadata!",ADDRESS(INDEX($P$2:$P$1001,MATCH(ROWS($N$2:N429),$N$2:$N$1001,0),0),1)),INDEX($S$2:$S$1001,MATCH(ROWS($N$2:N429),$N$2:$N$1001,0),0)))</f>
        <v>0</v>
      </c>
      <c r="B429" s="4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4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4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4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4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4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4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4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4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OR(AND(IF(Metadata!C429="",FALSE,TRUE),OR(exact(Metadata!C429,"not applicable"),exact(Metadata!C429,"not collected"),exact(Metadata!C429,"not provided"),exact(Metadata!C429,"restricted access"))),IF(Metadata!C429="",FALSE,ISNUMBER(VALUE(Metadata!C429))))</f>
        <v>0</v>
      </c>
      <c r="W429">
        <f>AND(IF(Metadata!D429="",FALSE,TRUE),exact(Metadata!D429,"m"))</f>
        <v>0</v>
      </c>
      <c r="X429">
        <f>AND(IF(Metadata!E429="",FALSE,TRUE),OR(exact(Metadata!E429,"aerosol (non-saline)"),exact(Metadata!E429,"aerosol (saline)")))</f>
        <v>0</v>
      </c>
      <c r="Y429">
        <f>AND(IF(Metadata!F429="",FALSE,TRUE),exact(Metadata!F429,"air"))</f>
        <v>0</v>
      </c>
      <c r="Z429">
        <f>AND(IF(Metadata!G429="",FALSE,TRUE),exact(Metadata!G429,"air"))</f>
        <v>0</v>
      </c>
      <c r="AA429">
        <f>AND(IF(Metadata!H429="",FALSE,TRUE),exact(Metadata!H429,"air"))</f>
        <v>0</v>
      </c>
      <c r="AB429">
        <f>AND(IF(Metadata!I429="",FALSE,TRUE),exact(Metadata!I429,"air metagenome"))</f>
        <v>0</v>
      </c>
      <c r="AC429">
        <f>AND(IF(Metadata!J429="",FALSE,TRUE),exact(Metadata!J429,"655179"))</f>
        <v>0</v>
      </c>
    </row>
    <row r="430" spans="1:29">
      <c r="A430" s="5">
        <f>IF(B430=" "," ",HYPERLINK(CONCATENATE("#metadata!",ADDRESS(INDEX($P$2:$P$1001,MATCH(ROWS($N$2:N430),$N$2:$N$1001,0),0),1)),INDEX($S$2:$S$1001,MATCH(ROWS($N$2:N430),$N$2:$N$1001,0),0)))</f>
        <v>0</v>
      </c>
      <c r="B430" s="4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4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4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4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4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4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4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4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4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OR(AND(IF(Metadata!C430="",FALSE,TRUE),OR(exact(Metadata!C430,"not applicable"),exact(Metadata!C430,"not collected"),exact(Metadata!C430,"not provided"),exact(Metadata!C430,"restricted access"))),IF(Metadata!C430="",FALSE,ISNUMBER(VALUE(Metadata!C430))))</f>
        <v>0</v>
      </c>
      <c r="W430">
        <f>AND(IF(Metadata!D430="",FALSE,TRUE),exact(Metadata!D430,"m"))</f>
        <v>0</v>
      </c>
      <c r="X430">
        <f>AND(IF(Metadata!E430="",FALSE,TRUE),OR(exact(Metadata!E430,"aerosol (non-saline)"),exact(Metadata!E430,"aerosol (saline)")))</f>
        <v>0</v>
      </c>
      <c r="Y430">
        <f>AND(IF(Metadata!F430="",FALSE,TRUE),exact(Metadata!F430,"air"))</f>
        <v>0</v>
      </c>
      <c r="Z430">
        <f>AND(IF(Metadata!G430="",FALSE,TRUE),exact(Metadata!G430,"air"))</f>
        <v>0</v>
      </c>
      <c r="AA430">
        <f>AND(IF(Metadata!H430="",FALSE,TRUE),exact(Metadata!H430,"air"))</f>
        <v>0</v>
      </c>
      <c r="AB430">
        <f>AND(IF(Metadata!I430="",FALSE,TRUE),exact(Metadata!I430,"air metagenome"))</f>
        <v>0</v>
      </c>
      <c r="AC430">
        <f>AND(IF(Metadata!J430="",FALSE,TRUE),exact(Metadata!J430,"655179"))</f>
        <v>0</v>
      </c>
    </row>
    <row r="431" spans="1:29">
      <c r="A431" s="5">
        <f>IF(B431=" "," ",HYPERLINK(CONCATENATE("#metadata!",ADDRESS(INDEX($P$2:$P$1001,MATCH(ROWS($N$2:N431),$N$2:$N$1001,0),0),1)),INDEX($S$2:$S$1001,MATCH(ROWS($N$2:N431),$N$2:$N$1001,0),0)))</f>
        <v>0</v>
      </c>
      <c r="B431" s="4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4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4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4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4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4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4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4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4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OR(AND(IF(Metadata!C431="",FALSE,TRUE),OR(exact(Metadata!C431,"not applicable"),exact(Metadata!C431,"not collected"),exact(Metadata!C431,"not provided"),exact(Metadata!C431,"restricted access"))),IF(Metadata!C431="",FALSE,ISNUMBER(VALUE(Metadata!C431))))</f>
        <v>0</v>
      </c>
      <c r="W431">
        <f>AND(IF(Metadata!D431="",FALSE,TRUE),exact(Metadata!D431,"m"))</f>
        <v>0</v>
      </c>
      <c r="X431">
        <f>AND(IF(Metadata!E431="",FALSE,TRUE),OR(exact(Metadata!E431,"aerosol (non-saline)"),exact(Metadata!E431,"aerosol (saline)")))</f>
        <v>0</v>
      </c>
      <c r="Y431">
        <f>AND(IF(Metadata!F431="",FALSE,TRUE),exact(Metadata!F431,"air"))</f>
        <v>0</v>
      </c>
      <c r="Z431">
        <f>AND(IF(Metadata!G431="",FALSE,TRUE),exact(Metadata!G431,"air"))</f>
        <v>0</v>
      </c>
      <c r="AA431">
        <f>AND(IF(Metadata!H431="",FALSE,TRUE),exact(Metadata!H431,"air"))</f>
        <v>0</v>
      </c>
      <c r="AB431">
        <f>AND(IF(Metadata!I431="",FALSE,TRUE),exact(Metadata!I431,"air metagenome"))</f>
        <v>0</v>
      </c>
      <c r="AC431">
        <f>AND(IF(Metadata!J431="",FALSE,TRUE),exact(Metadata!J431,"655179"))</f>
        <v>0</v>
      </c>
    </row>
    <row r="432" spans="1:29">
      <c r="A432" s="5">
        <f>IF(B432=" "," ",HYPERLINK(CONCATENATE("#metadata!",ADDRESS(INDEX($P$2:$P$1001,MATCH(ROWS($N$2:N432),$N$2:$N$1001,0),0),1)),INDEX($S$2:$S$1001,MATCH(ROWS($N$2:N432),$N$2:$N$1001,0),0)))</f>
        <v>0</v>
      </c>
      <c r="B432" s="4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4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4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4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4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4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4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4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4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OR(AND(IF(Metadata!C432="",FALSE,TRUE),OR(exact(Metadata!C432,"not applicable"),exact(Metadata!C432,"not collected"),exact(Metadata!C432,"not provided"),exact(Metadata!C432,"restricted access"))),IF(Metadata!C432="",FALSE,ISNUMBER(VALUE(Metadata!C432))))</f>
        <v>0</v>
      </c>
      <c r="W432">
        <f>AND(IF(Metadata!D432="",FALSE,TRUE),exact(Metadata!D432,"m"))</f>
        <v>0</v>
      </c>
      <c r="X432">
        <f>AND(IF(Metadata!E432="",FALSE,TRUE),OR(exact(Metadata!E432,"aerosol (non-saline)"),exact(Metadata!E432,"aerosol (saline)")))</f>
        <v>0</v>
      </c>
      <c r="Y432">
        <f>AND(IF(Metadata!F432="",FALSE,TRUE),exact(Metadata!F432,"air"))</f>
        <v>0</v>
      </c>
      <c r="Z432">
        <f>AND(IF(Metadata!G432="",FALSE,TRUE),exact(Metadata!G432,"air"))</f>
        <v>0</v>
      </c>
      <c r="AA432">
        <f>AND(IF(Metadata!H432="",FALSE,TRUE),exact(Metadata!H432,"air"))</f>
        <v>0</v>
      </c>
      <c r="AB432">
        <f>AND(IF(Metadata!I432="",FALSE,TRUE),exact(Metadata!I432,"air metagenome"))</f>
        <v>0</v>
      </c>
      <c r="AC432">
        <f>AND(IF(Metadata!J432="",FALSE,TRUE),exact(Metadata!J432,"655179"))</f>
        <v>0</v>
      </c>
    </row>
    <row r="433" spans="1:29">
      <c r="A433" s="5">
        <f>IF(B433=" "," ",HYPERLINK(CONCATENATE("#metadata!",ADDRESS(INDEX($P$2:$P$1001,MATCH(ROWS($N$2:N433),$N$2:$N$1001,0),0),1)),INDEX($S$2:$S$1001,MATCH(ROWS($N$2:N433),$N$2:$N$1001,0),0)))</f>
        <v>0</v>
      </c>
      <c r="B433" s="4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4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4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4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4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4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4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4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4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OR(AND(IF(Metadata!C433="",FALSE,TRUE),OR(exact(Metadata!C433,"not applicable"),exact(Metadata!C433,"not collected"),exact(Metadata!C433,"not provided"),exact(Metadata!C433,"restricted access"))),IF(Metadata!C433="",FALSE,ISNUMBER(VALUE(Metadata!C433))))</f>
        <v>0</v>
      </c>
      <c r="W433">
        <f>AND(IF(Metadata!D433="",FALSE,TRUE),exact(Metadata!D433,"m"))</f>
        <v>0</v>
      </c>
      <c r="X433">
        <f>AND(IF(Metadata!E433="",FALSE,TRUE),OR(exact(Metadata!E433,"aerosol (non-saline)"),exact(Metadata!E433,"aerosol (saline)")))</f>
        <v>0</v>
      </c>
      <c r="Y433">
        <f>AND(IF(Metadata!F433="",FALSE,TRUE),exact(Metadata!F433,"air"))</f>
        <v>0</v>
      </c>
      <c r="Z433">
        <f>AND(IF(Metadata!G433="",FALSE,TRUE),exact(Metadata!G433,"air"))</f>
        <v>0</v>
      </c>
      <c r="AA433">
        <f>AND(IF(Metadata!H433="",FALSE,TRUE),exact(Metadata!H433,"air"))</f>
        <v>0</v>
      </c>
      <c r="AB433">
        <f>AND(IF(Metadata!I433="",FALSE,TRUE),exact(Metadata!I433,"air metagenome"))</f>
        <v>0</v>
      </c>
      <c r="AC433">
        <f>AND(IF(Metadata!J433="",FALSE,TRUE),exact(Metadata!J433,"655179"))</f>
        <v>0</v>
      </c>
    </row>
    <row r="434" spans="1:29">
      <c r="A434" s="5">
        <f>IF(B434=" "," ",HYPERLINK(CONCATENATE("#metadata!",ADDRESS(INDEX($P$2:$P$1001,MATCH(ROWS($N$2:N434),$N$2:$N$1001,0),0),1)),INDEX($S$2:$S$1001,MATCH(ROWS($N$2:N434),$N$2:$N$1001,0),0)))</f>
        <v>0</v>
      </c>
      <c r="B434" s="4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4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4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4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4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4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4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4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4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OR(AND(IF(Metadata!C434="",FALSE,TRUE),OR(exact(Metadata!C434,"not applicable"),exact(Metadata!C434,"not collected"),exact(Metadata!C434,"not provided"),exact(Metadata!C434,"restricted access"))),IF(Metadata!C434="",FALSE,ISNUMBER(VALUE(Metadata!C434))))</f>
        <v>0</v>
      </c>
      <c r="W434">
        <f>AND(IF(Metadata!D434="",FALSE,TRUE),exact(Metadata!D434,"m"))</f>
        <v>0</v>
      </c>
      <c r="X434">
        <f>AND(IF(Metadata!E434="",FALSE,TRUE),OR(exact(Metadata!E434,"aerosol (non-saline)"),exact(Metadata!E434,"aerosol (saline)")))</f>
        <v>0</v>
      </c>
      <c r="Y434">
        <f>AND(IF(Metadata!F434="",FALSE,TRUE),exact(Metadata!F434,"air"))</f>
        <v>0</v>
      </c>
      <c r="Z434">
        <f>AND(IF(Metadata!G434="",FALSE,TRUE),exact(Metadata!G434,"air"))</f>
        <v>0</v>
      </c>
      <c r="AA434">
        <f>AND(IF(Metadata!H434="",FALSE,TRUE),exact(Metadata!H434,"air"))</f>
        <v>0</v>
      </c>
      <c r="AB434">
        <f>AND(IF(Metadata!I434="",FALSE,TRUE),exact(Metadata!I434,"air metagenome"))</f>
        <v>0</v>
      </c>
      <c r="AC434">
        <f>AND(IF(Metadata!J434="",FALSE,TRUE),exact(Metadata!J434,"655179"))</f>
        <v>0</v>
      </c>
    </row>
    <row r="435" spans="1:29">
      <c r="A435" s="5">
        <f>IF(B435=" "," ",HYPERLINK(CONCATENATE("#metadata!",ADDRESS(INDEX($P$2:$P$1001,MATCH(ROWS($N$2:N435),$N$2:$N$1001,0),0),1)),INDEX($S$2:$S$1001,MATCH(ROWS($N$2:N435),$N$2:$N$1001,0),0)))</f>
        <v>0</v>
      </c>
      <c r="B435" s="4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4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4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4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4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4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4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4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4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OR(AND(IF(Metadata!C435="",FALSE,TRUE),OR(exact(Metadata!C435,"not applicable"),exact(Metadata!C435,"not collected"),exact(Metadata!C435,"not provided"),exact(Metadata!C435,"restricted access"))),IF(Metadata!C435="",FALSE,ISNUMBER(VALUE(Metadata!C435))))</f>
        <v>0</v>
      </c>
      <c r="W435">
        <f>AND(IF(Metadata!D435="",FALSE,TRUE),exact(Metadata!D435,"m"))</f>
        <v>0</v>
      </c>
      <c r="X435">
        <f>AND(IF(Metadata!E435="",FALSE,TRUE),OR(exact(Metadata!E435,"aerosol (non-saline)"),exact(Metadata!E435,"aerosol (saline)")))</f>
        <v>0</v>
      </c>
      <c r="Y435">
        <f>AND(IF(Metadata!F435="",FALSE,TRUE),exact(Metadata!F435,"air"))</f>
        <v>0</v>
      </c>
      <c r="Z435">
        <f>AND(IF(Metadata!G435="",FALSE,TRUE),exact(Metadata!G435,"air"))</f>
        <v>0</v>
      </c>
      <c r="AA435">
        <f>AND(IF(Metadata!H435="",FALSE,TRUE),exact(Metadata!H435,"air"))</f>
        <v>0</v>
      </c>
      <c r="AB435">
        <f>AND(IF(Metadata!I435="",FALSE,TRUE),exact(Metadata!I435,"air metagenome"))</f>
        <v>0</v>
      </c>
      <c r="AC435">
        <f>AND(IF(Metadata!J435="",FALSE,TRUE),exact(Metadata!J435,"655179"))</f>
        <v>0</v>
      </c>
    </row>
    <row r="436" spans="1:29">
      <c r="A436" s="5">
        <f>IF(B436=" "," ",HYPERLINK(CONCATENATE("#metadata!",ADDRESS(INDEX($P$2:$P$1001,MATCH(ROWS($N$2:N436),$N$2:$N$1001,0),0),1)),INDEX($S$2:$S$1001,MATCH(ROWS($N$2:N436),$N$2:$N$1001,0),0)))</f>
        <v>0</v>
      </c>
      <c r="B436" s="4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4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4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4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4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4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4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4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4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OR(AND(IF(Metadata!C436="",FALSE,TRUE),OR(exact(Metadata!C436,"not applicable"),exact(Metadata!C436,"not collected"),exact(Metadata!C436,"not provided"),exact(Metadata!C436,"restricted access"))),IF(Metadata!C436="",FALSE,ISNUMBER(VALUE(Metadata!C436))))</f>
        <v>0</v>
      </c>
      <c r="W436">
        <f>AND(IF(Metadata!D436="",FALSE,TRUE),exact(Metadata!D436,"m"))</f>
        <v>0</v>
      </c>
      <c r="X436">
        <f>AND(IF(Metadata!E436="",FALSE,TRUE),OR(exact(Metadata!E436,"aerosol (non-saline)"),exact(Metadata!E436,"aerosol (saline)")))</f>
        <v>0</v>
      </c>
      <c r="Y436">
        <f>AND(IF(Metadata!F436="",FALSE,TRUE),exact(Metadata!F436,"air"))</f>
        <v>0</v>
      </c>
      <c r="Z436">
        <f>AND(IF(Metadata!G436="",FALSE,TRUE),exact(Metadata!G436,"air"))</f>
        <v>0</v>
      </c>
      <c r="AA436">
        <f>AND(IF(Metadata!H436="",FALSE,TRUE),exact(Metadata!H436,"air"))</f>
        <v>0</v>
      </c>
      <c r="AB436">
        <f>AND(IF(Metadata!I436="",FALSE,TRUE),exact(Metadata!I436,"air metagenome"))</f>
        <v>0</v>
      </c>
      <c r="AC436">
        <f>AND(IF(Metadata!J436="",FALSE,TRUE),exact(Metadata!J436,"655179"))</f>
        <v>0</v>
      </c>
    </row>
    <row r="437" spans="1:29">
      <c r="A437" s="5">
        <f>IF(B437=" "," ",HYPERLINK(CONCATENATE("#metadata!",ADDRESS(INDEX($P$2:$P$1001,MATCH(ROWS($N$2:N437),$N$2:$N$1001,0),0),1)),INDEX($S$2:$S$1001,MATCH(ROWS($N$2:N437),$N$2:$N$1001,0),0)))</f>
        <v>0</v>
      </c>
      <c r="B437" s="4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4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4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4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4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4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4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4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4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OR(AND(IF(Metadata!C437="",FALSE,TRUE),OR(exact(Metadata!C437,"not applicable"),exact(Metadata!C437,"not collected"),exact(Metadata!C437,"not provided"),exact(Metadata!C437,"restricted access"))),IF(Metadata!C437="",FALSE,ISNUMBER(VALUE(Metadata!C437))))</f>
        <v>0</v>
      </c>
      <c r="W437">
        <f>AND(IF(Metadata!D437="",FALSE,TRUE),exact(Metadata!D437,"m"))</f>
        <v>0</v>
      </c>
      <c r="X437">
        <f>AND(IF(Metadata!E437="",FALSE,TRUE),OR(exact(Metadata!E437,"aerosol (non-saline)"),exact(Metadata!E437,"aerosol (saline)")))</f>
        <v>0</v>
      </c>
      <c r="Y437">
        <f>AND(IF(Metadata!F437="",FALSE,TRUE),exact(Metadata!F437,"air"))</f>
        <v>0</v>
      </c>
      <c r="Z437">
        <f>AND(IF(Metadata!G437="",FALSE,TRUE),exact(Metadata!G437,"air"))</f>
        <v>0</v>
      </c>
      <c r="AA437">
        <f>AND(IF(Metadata!H437="",FALSE,TRUE),exact(Metadata!H437,"air"))</f>
        <v>0</v>
      </c>
      <c r="AB437">
        <f>AND(IF(Metadata!I437="",FALSE,TRUE),exact(Metadata!I437,"air metagenome"))</f>
        <v>0</v>
      </c>
      <c r="AC437">
        <f>AND(IF(Metadata!J437="",FALSE,TRUE),exact(Metadata!J437,"655179"))</f>
        <v>0</v>
      </c>
    </row>
    <row r="438" spans="1:29">
      <c r="A438" s="5">
        <f>IF(B438=" "," ",HYPERLINK(CONCATENATE("#metadata!",ADDRESS(INDEX($P$2:$P$1001,MATCH(ROWS($N$2:N438),$N$2:$N$1001,0),0),1)),INDEX($S$2:$S$1001,MATCH(ROWS($N$2:N438),$N$2:$N$1001,0),0)))</f>
        <v>0</v>
      </c>
      <c r="B438" s="4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4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4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4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4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4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4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4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4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OR(AND(IF(Metadata!C438="",FALSE,TRUE),OR(exact(Metadata!C438,"not applicable"),exact(Metadata!C438,"not collected"),exact(Metadata!C438,"not provided"),exact(Metadata!C438,"restricted access"))),IF(Metadata!C438="",FALSE,ISNUMBER(VALUE(Metadata!C438))))</f>
        <v>0</v>
      </c>
      <c r="W438">
        <f>AND(IF(Metadata!D438="",FALSE,TRUE),exact(Metadata!D438,"m"))</f>
        <v>0</v>
      </c>
      <c r="X438">
        <f>AND(IF(Metadata!E438="",FALSE,TRUE),OR(exact(Metadata!E438,"aerosol (non-saline)"),exact(Metadata!E438,"aerosol (saline)")))</f>
        <v>0</v>
      </c>
      <c r="Y438">
        <f>AND(IF(Metadata!F438="",FALSE,TRUE),exact(Metadata!F438,"air"))</f>
        <v>0</v>
      </c>
      <c r="Z438">
        <f>AND(IF(Metadata!G438="",FALSE,TRUE),exact(Metadata!G438,"air"))</f>
        <v>0</v>
      </c>
      <c r="AA438">
        <f>AND(IF(Metadata!H438="",FALSE,TRUE),exact(Metadata!H438,"air"))</f>
        <v>0</v>
      </c>
      <c r="AB438">
        <f>AND(IF(Metadata!I438="",FALSE,TRUE),exact(Metadata!I438,"air metagenome"))</f>
        <v>0</v>
      </c>
      <c r="AC438">
        <f>AND(IF(Metadata!J438="",FALSE,TRUE),exact(Metadata!J438,"655179"))</f>
        <v>0</v>
      </c>
    </row>
    <row r="439" spans="1:29">
      <c r="A439" s="5">
        <f>IF(B439=" "," ",HYPERLINK(CONCATENATE("#metadata!",ADDRESS(INDEX($P$2:$P$1001,MATCH(ROWS($N$2:N439),$N$2:$N$1001,0),0),1)),INDEX($S$2:$S$1001,MATCH(ROWS($N$2:N439),$N$2:$N$1001,0),0)))</f>
        <v>0</v>
      </c>
      <c r="B439" s="4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4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4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4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4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4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4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4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4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OR(AND(IF(Metadata!C439="",FALSE,TRUE),OR(exact(Metadata!C439,"not applicable"),exact(Metadata!C439,"not collected"),exact(Metadata!C439,"not provided"),exact(Metadata!C439,"restricted access"))),IF(Metadata!C439="",FALSE,ISNUMBER(VALUE(Metadata!C439))))</f>
        <v>0</v>
      </c>
      <c r="W439">
        <f>AND(IF(Metadata!D439="",FALSE,TRUE),exact(Metadata!D439,"m"))</f>
        <v>0</v>
      </c>
      <c r="X439">
        <f>AND(IF(Metadata!E439="",FALSE,TRUE),OR(exact(Metadata!E439,"aerosol (non-saline)"),exact(Metadata!E439,"aerosol (saline)")))</f>
        <v>0</v>
      </c>
      <c r="Y439">
        <f>AND(IF(Metadata!F439="",FALSE,TRUE),exact(Metadata!F439,"air"))</f>
        <v>0</v>
      </c>
      <c r="Z439">
        <f>AND(IF(Metadata!G439="",FALSE,TRUE),exact(Metadata!G439,"air"))</f>
        <v>0</v>
      </c>
      <c r="AA439">
        <f>AND(IF(Metadata!H439="",FALSE,TRUE),exact(Metadata!H439,"air"))</f>
        <v>0</v>
      </c>
      <c r="AB439">
        <f>AND(IF(Metadata!I439="",FALSE,TRUE),exact(Metadata!I439,"air metagenome"))</f>
        <v>0</v>
      </c>
      <c r="AC439">
        <f>AND(IF(Metadata!J439="",FALSE,TRUE),exact(Metadata!J439,"655179"))</f>
        <v>0</v>
      </c>
    </row>
    <row r="440" spans="1:29">
      <c r="A440" s="5">
        <f>IF(B440=" "," ",HYPERLINK(CONCATENATE("#metadata!",ADDRESS(INDEX($P$2:$P$1001,MATCH(ROWS($N$2:N440),$N$2:$N$1001,0),0),1)),INDEX($S$2:$S$1001,MATCH(ROWS($N$2:N440),$N$2:$N$1001,0),0)))</f>
        <v>0</v>
      </c>
      <c r="B440" s="4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4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4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4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4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4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4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4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4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OR(AND(IF(Metadata!C440="",FALSE,TRUE),OR(exact(Metadata!C440,"not applicable"),exact(Metadata!C440,"not collected"),exact(Metadata!C440,"not provided"),exact(Metadata!C440,"restricted access"))),IF(Metadata!C440="",FALSE,ISNUMBER(VALUE(Metadata!C440))))</f>
        <v>0</v>
      </c>
      <c r="W440">
        <f>AND(IF(Metadata!D440="",FALSE,TRUE),exact(Metadata!D440,"m"))</f>
        <v>0</v>
      </c>
      <c r="X440">
        <f>AND(IF(Metadata!E440="",FALSE,TRUE),OR(exact(Metadata!E440,"aerosol (non-saline)"),exact(Metadata!E440,"aerosol (saline)")))</f>
        <v>0</v>
      </c>
      <c r="Y440">
        <f>AND(IF(Metadata!F440="",FALSE,TRUE),exact(Metadata!F440,"air"))</f>
        <v>0</v>
      </c>
      <c r="Z440">
        <f>AND(IF(Metadata!G440="",FALSE,TRUE),exact(Metadata!G440,"air"))</f>
        <v>0</v>
      </c>
      <c r="AA440">
        <f>AND(IF(Metadata!H440="",FALSE,TRUE),exact(Metadata!H440,"air"))</f>
        <v>0</v>
      </c>
      <c r="AB440">
        <f>AND(IF(Metadata!I440="",FALSE,TRUE),exact(Metadata!I440,"air metagenome"))</f>
        <v>0</v>
      </c>
      <c r="AC440">
        <f>AND(IF(Metadata!J440="",FALSE,TRUE),exact(Metadata!J440,"655179"))</f>
        <v>0</v>
      </c>
    </row>
    <row r="441" spans="1:29">
      <c r="A441" s="5">
        <f>IF(B441=" "," ",HYPERLINK(CONCATENATE("#metadata!",ADDRESS(INDEX($P$2:$P$1001,MATCH(ROWS($N$2:N441),$N$2:$N$1001,0),0),1)),INDEX($S$2:$S$1001,MATCH(ROWS($N$2:N441),$N$2:$N$1001,0),0)))</f>
        <v>0</v>
      </c>
      <c r="B441" s="4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4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4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4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4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4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4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4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4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OR(AND(IF(Metadata!C441="",FALSE,TRUE),OR(exact(Metadata!C441,"not applicable"),exact(Metadata!C441,"not collected"),exact(Metadata!C441,"not provided"),exact(Metadata!C441,"restricted access"))),IF(Metadata!C441="",FALSE,ISNUMBER(VALUE(Metadata!C441))))</f>
        <v>0</v>
      </c>
      <c r="W441">
        <f>AND(IF(Metadata!D441="",FALSE,TRUE),exact(Metadata!D441,"m"))</f>
        <v>0</v>
      </c>
      <c r="X441">
        <f>AND(IF(Metadata!E441="",FALSE,TRUE),OR(exact(Metadata!E441,"aerosol (non-saline)"),exact(Metadata!E441,"aerosol (saline)")))</f>
        <v>0</v>
      </c>
      <c r="Y441">
        <f>AND(IF(Metadata!F441="",FALSE,TRUE),exact(Metadata!F441,"air"))</f>
        <v>0</v>
      </c>
      <c r="Z441">
        <f>AND(IF(Metadata!G441="",FALSE,TRUE),exact(Metadata!G441,"air"))</f>
        <v>0</v>
      </c>
      <c r="AA441">
        <f>AND(IF(Metadata!H441="",FALSE,TRUE),exact(Metadata!H441,"air"))</f>
        <v>0</v>
      </c>
      <c r="AB441">
        <f>AND(IF(Metadata!I441="",FALSE,TRUE),exact(Metadata!I441,"air metagenome"))</f>
        <v>0</v>
      </c>
      <c r="AC441">
        <f>AND(IF(Metadata!J441="",FALSE,TRUE),exact(Metadata!J441,"655179"))</f>
        <v>0</v>
      </c>
    </row>
    <row r="442" spans="1:29">
      <c r="A442" s="5">
        <f>IF(B442=" "," ",HYPERLINK(CONCATENATE("#metadata!",ADDRESS(INDEX($P$2:$P$1001,MATCH(ROWS($N$2:N442),$N$2:$N$1001,0),0),1)),INDEX($S$2:$S$1001,MATCH(ROWS($N$2:N442),$N$2:$N$1001,0),0)))</f>
        <v>0</v>
      </c>
      <c r="B442" s="4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4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4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4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4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4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4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4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4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OR(AND(IF(Metadata!C442="",FALSE,TRUE),OR(exact(Metadata!C442,"not applicable"),exact(Metadata!C442,"not collected"),exact(Metadata!C442,"not provided"),exact(Metadata!C442,"restricted access"))),IF(Metadata!C442="",FALSE,ISNUMBER(VALUE(Metadata!C442))))</f>
        <v>0</v>
      </c>
      <c r="W442">
        <f>AND(IF(Metadata!D442="",FALSE,TRUE),exact(Metadata!D442,"m"))</f>
        <v>0</v>
      </c>
      <c r="X442">
        <f>AND(IF(Metadata!E442="",FALSE,TRUE),OR(exact(Metadata!E442,"aerosol (non-saline)"),exact(Metadata!E442,"aerosol (saline)")))</f>
        <v>0</v>
      </c>
      <c r="Y442">
        <f>AND(IF(Metadata!F442="",FALSE,TRUE),exact(Metadata!F442,"air"))</f>
        <v>0</v>
      </c>
      <c r="Z442">
        <f>AND(IF(Metadata!G442="",FALSE,TRUE),exact(Metadata!G442,"air"))</f>
        <v>0</v>
      </c>
      <c r="AA442">
        <f>AND(IF(Metadata!H442="",FALSE,TRUE),exact(Metadata!H442,"air"))</f>
        <v>0</v>
      </c>
      <c r="AB442">
        <f>AND(IF(Metadata!I442="",FALSE,TRUE),exact(Metadata!I442,"air metagenome"))</f>
        <v>0</v>
      </c>
      <c r="AC442">
        <f>AND(IF(Metadata!J442="",FALSE,TRUE),exact(Metadata!J442,"655179"))</f>
        <v>0</v>
      </c>
    </row>
    <row r="443" spans="1:29">
      <c r="A443" s="5">
        <f>IF(B443=" "," ",HYPERLINK(CONCATENATE("#metadata!",ADDRESS(INDEX($P$2:$P$1001,MATCH(ROWS($N$2:N443),$N$2:$N$1001,0),0),1)),INDEX($S$2:$S$1001,MATCH(ROWS($N$2:N443),$N$2:$N$1001,0),0)))</f>
        <v>0</v>
      </c>
      <c r="B443" s="4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4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4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4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4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4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4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4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4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OR(AND(IF(Metadata!C443="",FALSE,TRUE),OR(exact(Metadata!C443,"not applicable"),exact(Metadata!C443,"not collected"),exact(Metadata!C443,"not provided"),exact(Metadata!C443,"restricted access"))),IF(Metadata!C443="",FALSE,ISNUMBER(VALUE(Metadata!C443))))</f>
        <v>0</v>
      </c>
      <c r="W443">
        <f>AND(IF(Metadata!D443="",FALSE,TRUE),exact(Metadata!D443,"m"))</f>
        <v>0</v>
      </c>
      <c r="X443">
        <f>AND(IF(Metadata!E443="",FALSE,TRUE),OR(exact(Metadata!E443,"aerosol (non-saline)"),exact(Metadata!E443,"aerosol (saline)")))</f>
        <v>0</v>
      </c>
      <c r="Y443">
        <f>AND(IF(Metadata!F443="",FALSE,TRUE),exact(Metadata!F443,"air"))</f>
        <v>0</v>
      </c>
      <c r="Z443">
        <f>AND(IF(Metadata!G443="",FALSE,TRUE),exact(Metadata!G443,"air"))</f>
        <v>0</v>
      </c>
      <c r="AA443">
        <f>AND(IF(Metadata!H443="",FALSE,TRUE),exact(Metadata!H443,"air"))</f>
        <v>0</v>
      </c>
      <c r="AB443">
        <f>AND(IF(Metadata!I443="",FALSE,TRUE),exact(Metadata!I443,"air metagenome"))</f>
        <v>0</v>
      </c>
      <c r="AC443">
        <f>AND(IF(Metadata!J443="",FALSE,TRUE),exact(Metadata!J443,"655179"))</f>
        <v>0</v>
      </c>
    </row>
    <row r="444" spans="1:29">
      <c r="A444" s="5">
        <f>IF(B444=" "," ",HYPERLINK(CONCATENATE("#metadata!",ADDRESS(INDEX($P$2:$P$1001,MATCH(ROWS($N$2:N444),$N$2:$N$1001,0),0),1)),INDEX($S$2:$S$1001,MATCH(ROWS($N$2:N444),$N$2:$N$1001,0),0)))</f>
        <v>0</v>
      </c>
      <c r="B444" s="4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4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4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4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4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4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4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4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4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OR(AND(IF(Metadata!C444="",FALSE,TRUE),OR(exact(Metadata!C444,"not applicable"),exact(Metadata!C444,"not collected"),exact(Metadata!C444,"not provided"),exact(Metadata!C444,"restricted access"))),IF(Metadata!C444="",FALSE,ISNUMBER(VALUE(Metadata!C444))))</f>
        <v>0</v>
      </c>
      <c r="W444">
        <f>AND(IF(Metadata!D444="",FALSE,TRUE),exact(Metadata!D444,"m"))</f>
        <v>0</v>
      </c>
      <c r="X444">
        <f>AND(IF(Metadata!E444="",FALSE,TRUE),OR(exact(Metadata!E444,"aerosol (non-saline)"),exact(Metadata!E444,"aerosol (saline)")))</f>
        <v>0</v>
      </c>
      <c r="Y444">
        <f>AND(IF(Metadata!F444="",FALSE,TRUE),exact(Metadata!F444,"air"))</f>
        <v>0</v>
      </c>
      <c r="Z444">
        <f>AND(IF(Metadata!G444="",FALSE,TRUE),exact(Metadata!G444,"air"))</f>
        <v>0</v>
      </c>
      <c r="AA444">
        <f>AND(IF(Metadata!H444="",FALSE,TRUE),exact(Metadata!H444,"air"))</f>
        <v>0</v>
      </c>
      <c r="AB444">
        <f>AND(IF(Metadata!I444="",FALSE,TRUE),exact(Metadata!I444,"air metagenome"))</f>
        <v>0</v>
      </c>
      <c r="AC444">
        <f>AND(IF(Metadata!J444="",FALSE,TRUE),exact(Metadata!J444,"655179"))</f>
        <v>0</v>
      </c>
    </row>
    <row r="445" spans="1:29">
      <c r="A445" s="5">
        <f>IF(B445=" "," ",HYPERLINK(CONCATENATE("#metadata!",ADDRESS(INDEX($P$2:$P$1001,MATCH(ROWS($N$2:N445),$N$2:$N$1001,0),0),1)),INDEX($S$2:$S$1001,MATCH(ROWS($N$2:N445),$N$2:$N$1001,0),0)))</f>
        <v>0</v>
      </c>
      <c r="B445" s="4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4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4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4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4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4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4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4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4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OR(AND(IF(Metadata!C445="",FALSE,TRUE),OR(exact(Metadata!C445,"not applicable"),exact(Metadata!C445,"not collected"),exact(Metadata!C445,"not provided"),exact(Metadata!C445,"restricted access"))),IF(Metadata!C445="",FALSE,ISNUMBER(VALUE(Metadata!C445))))</f>
        <v>0</v>
      </c>
      <c r="W445">
        <f>AND(IF(Metadata!D445="",FALSE,TRUE),exact(Metadata!D445,"m"))</f>
        <v>0</v>
      </c>
      <c r="X445">
        <f>AND(IF(Metadata!E445="",FALSE,TRUE),OR(exact(Metadata!E445,"aerosol (non-saline)"),exact(Metadata!E445,"aerosol (saline)")))</f>
        <v>0</v>
      </c>
      <c r="Y445">
        <f>AND(IF(Metadata!F445="",FALSE,TRUE),exact(Metadata!F445,"air"))</f>
        <v>0</v>
      </c>
      <c r="Z445">
        <f>AND(IF(Metadata!G445="",FALSE,TRUE),exact(Metadata!G445,"air"))</f>
        <v>0</v>
      </c>
      <c r="AA445">
        <f>AND(IF(Metadata!H445="",FALSE,TRUE),exact(Metadata!H445,"air"))</f>
        <v>0</v>
      </c>
      <c r="AB445">
        <f>AND(IF(Metadata!I445="",FALSE,TRUE),exact(Metadata!I445,"air metagenome"))</f>
        <v>0</v>
      </c>
      <c r="AC445">
        <f>AND(IF(Metadata!J445="",FALSE,TRUE),exact(Metadata!J445,"655179"))</f>
        <v>0</v>
      </c>
    </row>
    <row r="446" spans="1:29">
      <c r="A446" s="5">
        <f>IF(B446=" "," ",HYPERLINK(CONCATENATE("#metadata!",ADDRESS(INDEX($P$2:$P$1001,MATCH(ROWS($N$2:N446),$N$2:$N$1001,0),0),1)),INDEX($S$2:$S$1001,MATCH(ROWS($N$2:N446),$N$2:$N$1001,0),0)))</f>
        <v>0</v>
      </c>
      <c r="B446" s="4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4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4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4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4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4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4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4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4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OR(AND(IF(Metadata!C446="",FALSE,TRUE),OR(exact(Metadata!C446,"not applicable"),exact(Metadata!C446,"not collected"),exact(Metadata!C446,"not provided"),exact(Metadata!C446,"restricted access"))),IF(Metadata!C446="",FALSE,ISNUMBER(VALUE(Metadata!C446))))</f>
        <v>0</v>
      </c>
      <c r="W446">
        <f>AND(IF(Metadata!D446="",FALSE,TRUE),exact(Metadata!D446,"m"))</f>
        <v>0</v>
      </c>
      <c r="X446">
        <f>AND(IF(Metadata!E446="",FALSE,TRUE),OR(exact(Metadata!E446,"aerosol (non-saline)"),exact(Metadata!E446,"aerosol (saline)")))</f>
        <v>0</v>
      </c>
      <c r="Y446">
        <f>AND(IF(Metadata!F446="",FALSE,TRUE),exact(Metadata!F446,"air"))</f>
        <v>0</v>
      </c>
      <c r="Z446">
        <f>AND(IF(Metadata!G446="",FALSE,TRUE),exact(Metadata!G446,"air"))</f>
        <v>0</v>
      </c>
      <c r="AA446">
        <f>AND(IF(Metadata!H446="",FALSE,TRUE),exact(Metadata!H446,"air"))</f>
        <v>0</v>
      </c>
      <c r="AB446">
        <f>AND(IF(Metadata!I446="",FALSE,TRUE),exact(Metadata!I446,"air metagenome"))</f>
        <v>0</v>
      </c>
      <c r="AC446">
        <f>AND(IF(Metadata!J446="",FALSE,TRUE),exact(Metadata!J446,"655179"))</f>
        <v>0</v>
      </c>
    </row>
    <row r="447" spans="1:29">
      <c r="A447" s="5">
        <f>IF(B447=" "," ",HYPERLINK(CONCATENATE("#metadata!",ADDRESS(INDEX($P$2:$P$1001,MATCH(ROWS($N$2:N447),$N$2:$N$1001,0),0),1)),INDEX($S$2:$S$1001,MATCH(ROWS($N$2:N447),$N$2:$N$1001,0),0)))</f>
        <v>0</v>
      </c>
      <c r="B447" s="4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4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4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4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4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4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4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4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4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OR(AND(IF(Metadata!C447="",FALSE,TRUE),OR(exact(Metadata!C447,"not applicable"),exact(Metadata!C447,"not collected"),exact(Metadata!C447,"not provided"),exact(Metadata!C447,"restricted access"))),IF(Metadata!C447="",FALSE,ISNUMBER(VALUE(Metadata!C447))))</f>
        <v>0</v>
      </c>
      <c r="W447">
        <f>AND(IF(Metadata!D447="",FALSE,TRUE),exact(Metadata!D447,"m"))</f>
        <v>0</v>
      </c>
      <c r="X447">
        <f>AND(IF(Metadata!E447="",FALSE,TRUE),OR(exact(Metadata!E447,"aerosol (non-saline)"),exact(Metadata!E447,"aerosol (saline)")))</f>
        <v>0</v>
      </c>
      <c r="Y447">
        <f>AND(IF(Metadata!F447="",FALSE,TRUE),exact(Metadata!F447,"air"))</f>
        <v>0</v>
      </c>
      <c r="Z447">
        <f>AND(IF(Metadata!G447="",FALSE,TRUE),exact(Metadata!G447,"air"))</f>
        <v>0</v>
      </c>
      <c r="AA447">
        <f>AND(IF(Metadata!H447="",FALSE,TRUE),exact(Metadata!H447,"air"))</f>
        <v>0</v>
      </c>
      <c r="AB447">
        <f>AND(IF(Metadata!I447="",FALSE,TRUE),exact(Metadata!I447,"air metagenome"))</f>
        <v>0</v>
      </c>
      <c r="AC447">
        <f>AND(IF(Metadata!J447="",FALSE,TRUE),exact(Metadata!J447,"655179"))</f>
        <v>0</v>
      </c>
    </row>
    <row r="448" spans="1:29">
      <c r="A448" s="5">
        <f>IF(B448=" "," ",HYPERLINK(CONCATENATE("#metadata!",ADDRESS(INDEX($P$2:$P$1001,MATCH(ROWS($N$2:N448),$N$2:$N$1001,0),0),1)),INDEX($S$2:$S$1001,MATCH(ROWS($N$2:N448),$N$2:$N$1001,0),0)))</f>
        <v>0</v>
      </c>
      <c r="B448" s="4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4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4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4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4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4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4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4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4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OR(AND(IF(Metadata!C448="",FALSE,TRUE),OR(exact(Metadata!C448,"not applicable"),exact(Metadata!C448,"not collected"),exact(Metadata!C448,"not provided"),exact(Metadata!C448,"restricted access"))),IF(Metadata!C448="",FALSE,ISNUMBER(VALUE(Metadata!C448))))</f>
        <v>0</v>
      </c>
      <c r="W448">
        <f>AND(IF(Metadata!D448="",FALSE,TRUE),exact(Metadata!D448,"m"))</f>
        <v>0</v>
      </c>
      <c r="X448">
        <f>AND(IF(Metadata!E448="",FALSE,TRUE),OR(exact(Metadata!E448,"aerosol (non-saline)"),exact(Metadata!E448,"aerosol (saline)")))</f>
        <v>0</v>
      </c>
      <c r="Y448">
        <f>AND(IF(Metadata!F448="",FALSE,TRUE),exact(Metadata!F448,"air"))</f>
        <v>0</v>
      </c>
      <c r="Z448">
        <f>AND(IF(Metadata!G448="",FALSE,TRUE),exact(Metadata!G448,"air"))</f>
        <v>0</v>
      </c>
      <c r="AA448">
        <f>AND(IF(Metadata!H448="",FALSE,TRUE),exact(Metadata!H448,"air"))</f>
        <v>0</v>
      </c>
      <c r="AB448">
        <f>AND(IF(Metadata!I448="",FALSE,TRUE),exact(Metadata!I448,"air metagenome"))</f>
        <v>0</v>
      </c>
      <c r="AC448">
        <f>AND(IF(Metadata!J448="",FALSE,TRUE),exact(Metadata!J448,"655179"))</f>
        <v>0</v>
      </c>
    </row>
    <row r="449" spans="1:29">
      <c r="A449" s="5">
        <f>IF(B449=" "," ",HYPERLINK(CONCATENATE("#metadata!",ADDRESS(INDEX($P$2:$P$1001,MATCH(ROWS($N$2:N449),$N$2:$N$1001,0),0),1)),INDEX($S$2:$S$1001,MATCH(ROWS($N$2:N449),$N$2:$N$1001,0),0)))</f>
        <v>0</v>
      </c>
      <c r="B449" s="4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4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4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4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4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4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4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4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4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OR(AND(IF(Metadata!C449="",FALSE,TRUE),OR(exact(Metadata!C449,"not applicable"),exact(Metadata!C449,"not collected"),exact(Metadata!C449,"not provided"),exact(Metadata!C449,"restricted access"))),IF(Metadata!C449="",FALSE,ISNUMBER(VALUE(Metadata!C449))))</f>
        <v>0</v>
      </c>
      <c r="W449">
        <f>AND(IF(Metadata!D449="",FALSE,TRUE),exact(Metadata!D449,"m"))</f>
        <v>0</v>
      </c>
      <c r="X449">
        <f>AND(IF(Metadata!E449="",FALSE,TRUE),OR(exact(Metadata!E449,"aerosol (non-saline)"),exact(Metadata!E449,"aerosol (saline)")))</f>
        <v>0</v>
      </c>
      <c r="Y449">
        <f>AND(IF(Metadata!F449="",FALSE,TRUE),exact(Metadata!F449,"air"))</f>
        <v>0</v>
      </c>
      <c r="Z449">
        <f>AND(IF(Metadata!G449="",FALSE,TRUE),exact(Metadata!G449,"air"))</f>
        <v>0</v>
      </c>
      <c r="AA449">
        <f>AND(IF(Metadata!H449="",FALSE,TRUE),exact(Metadata!H449,"air"))</f>
        <v>0</v>
      </c>
      <c r="AB449">
        <f>AND(IF(Metadata!I449="",FALSE,TRUE),exact(Metadata!I449,"air metagenome"))</f>
        <v>0</v>
      </c>
      <c r="AC449">
        <f>AND(IF(Metadata!J449="",FALSE,TRUE),exact(Metadata!J449,"655179"))</f>
        <v>0</v>
      </c>
    </row>
    <row r="450" spans="1:29">
      <c r="A450" s="5">
        <f>IF(B450=" "," ",HYPERLINK(CONCATENATE("#metadata!",ADDRESS(INDEX($P$2:$P$1001,MATCH(ROWS($N$2:N450),$N$2:$N$1001,0),0),1)),INDEX($S$2:$S$1001,MATCH(ROWS($N$2:N450),$N$2:$N$1001,0),0)))</f>
        <v>0</v>
      </c>
      <c r="B450" s="4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4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4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4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4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4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4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4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4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OR(AND(IF(Metadata!C450="",FALSE,TRUE),OR(exact(Metadata!C450,"not applicable"),exact(Metadata!C450,"not collected"),exact(Metadata!C450,"not provided"),exact(Metadata!C450,"restricted access"))),IF(Metadata!C450="",FALSE,ISNUMBER(VALUE(Metadata!C450))))</f>
        <v>0</v>
      </c>
      <c r="W450">
        <f>AND(IF(Metadata!D450="",FALSE,TRUE),exact(Metadata!D450,"m"))</f>
        <v>0</v>
      </c>
      <c r="X450">
        <f>AND(IF(Metadata!E450="",FALSE,TRUE),OR(exact(Metadata!E450,"aerosol (non-saline)"),exact(Metadata!E450,"aerosol (saline)")))</f>
        <v>0</v>
      </c>
      <c r="Y450">
        <f>AND(IF(Metadata!F450="",FALSE,TRUE),exact(Metadata!F450,"air"))</f>
        <v>0</v>
      </c>
      <c r="Z450">
        <f>AND(IF(Metadata!G450="",FALSE,TRUE),exact(Metadata!G450,"air"))</f>
        <v>0</v>
      </c>
      <c r="AA450">
        <f>AND(IF(Metadata!H450="",FALSE,TRUE),exact(Metadata!H450,"air"))</f>
        <v>0</v>
      </c>
      <c r="AB450">
        <f>AND(IF(Metadata!I450="",FALSE,TRUE),exact(Metadata!I450,"air metagenome"))</f>
        <v>0</v>
      </c>
      <c r="AC450">
        <f>AND(IF(Metadata!J450="",FALSE,TRUE),exact(Metadata!J450,"655179"))</f>
        <v>0</v>
      </c>
    </row>
    <row r="451" spans="1:29">
      <c r="A451" s="5">
        <f>IF(B451=" "," ",HYPERLINK(CONCATENATE("#metadata!",ADDRESS(INDEX($P$2:$P$1001,MATCH(ROWS($N$2:N451),$N$2:$N$1001,0),0),1)),INDEX($S$2:$S$1001,MATCH(ROWS($N$2:N451),$N$2:$N$1001,0),0)))</f>
        <v>0</v>
      </c>
      <c r="B451" s="4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4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4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4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4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4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4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4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4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OR(AND(IF(Metadata!C451="",FALSE,TRUE),OR(exact(Metadata!C451,"not applicable"),exact(Metadata!C451,"not collected"),exact(Metadata!C451,"not provided"),exact(Metadata!C451,"restricted access"))),IF(Metadata!C451="",FALSE,ISNUMBER(VALUE(Metadata!C451))))</f>
        <v>0</v>
      </c>
      <c r="W451">
        <f>AND(IF(Metadata!D451="",FALSE,TRUE),exact(Metadata!D451,"m"))</f>
        <v>0</v>
      </c>
      <c r="X451">
        <f>AND(IF(Metadata!E451="",FALSE,TRUE),OR(exact(Metadata!E451,"aerosol (non-saline)"),exact(Metadata!E451,"aerosol (saline)")))</f>
        <v>0</v>
      </c>
      <c r="Y451">
        <f>AND(IF(Metadata!F451="",FALSE,TRUE),exact(Metadata!F451,"air"))</f>
        <v>0</v>
      </c>
      <c r="Z451">
        <f>AND(IF(Metadata!G451="",FALSE,TRUE),exact(Metadata!G451,"air"))</f>
        <v>0</v>
      </c>
      <c r="AA451">
        <f>AND(IF(Metadata!H451="",FALSE,TRUE),exact(Metadata!H451,"air"))</f>
        <v>0</v>
      </c>
      <c r="AB451">
        <f>AND(IF(Metadata!I451="",FALSE,TRUE),exact(Metadata!I451,"air metagenome"))</f>
        <v>0</v>
      </c>
      <c r="AC451">
        <f>AND(IF(Metadata!J451="",FALSE,TRUE),exact(Metadata!J451,"655179"))</f>
        <v>0</v>
      </c>
    </row>
    <row r="452" spans="1:29">
      <c r="A452" s="5">
        <f>IF(B452=" "," ",HYPERLINK(CONCATENATE("#metadata!",ADDRESS(INDEX($P$2:$P$1001,MATCH(ROWS($N$2:N452),$N$2:$N$1001,0),0),1)),INDEX($S$2:$S$1001,MATCH(ROWS($N$2:N452),$N$2:$N$1001,0),0)))</f>
        <v>0</v>
      </c>
      <c r="B452" s="4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4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4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4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4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4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4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4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4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OR(AND(IF(Metadata!C452="",FALSE,TRUE),OR(exact(Metadata!C452,"not applicable"),exact(Metadata!C452,"not collected"),exact(Metadata!C452,"not provided"),exact(Metadata!C452,"restricted access"))),IF(Metadata!C452="",FALSE,ISNUMBER(VALUE(Metadata!C452))))</f>
        <v>0</v>
      </c>
      <c r="W452">
        <f>AND(IF(Metadata!D452="",FALSE,TRUE),exact(Metadata!D452,"m"))</f>
        <v>0</v>
      </c>
      <c r="X452">
        <f>AND(IF(Metadata!E452="",FALSE,TRUE),OR(exact(Metadata!E452,"aerosol (non-saline)"),exact(Metadata!E452,"aerosol (saline)")))</f>
        <v>0</v>
      </c>
      <c r="Y452">
        <f>AND(IF(Metadata!F452="",FALSE,TRUE),exact(Metadata!F452,"air"))</f>
        <v>0</v>
      </c>
      <c r="Z452">
        <f>AND(IF(Metadata!G452="",FALSE,TRUE),exact(Metadata!G452,"air"))</f>
        <v>0</v>
      </c>
      <c r="AA452">
        <f>AND(IF(Metadata!H452="",FALSE,TRUE),exact(Metadata!H452,"air"))</f>
        <v>0</v>
      </c>
      <c r="AB452">
        <f>AND(IF(Metadata!I452="",FALSE,TRUE),exact(Metadata!I452,"air metagenome"))</f>
        <v>0</v>
      </c>
      <c r="AC452">
        <f>AND(IF(Metadata!J452="",FALSE,TRUE),exact(Metadata!J452,"655179"))</f>
        <v>0</v>
      </c>
    </row>
    <row r="453" spans="1:29">
      <c r="A453" s="5">
        <f>IF(B453=" "," ",HYPERLINK(CONCATENATE("#metadata!",ADDRESS(INDEX($P$2:$P$1001,MATCH(ROWS($N$2:N453),$N$2:$N$1001,0),0),1)),INDEX($S$2:$S$1001,MATCH(ROWS($N$2:N453),$N$2:$N$1001,0),0)))</f>
        <v>0</v>
      </c>
      <c r="B453" s="4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4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4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4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4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4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4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4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4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OR(AND(IF(Metadata!C453="",FALSE,TRUE),OR(exact(Metadata!C453,"not applicable"),exact(Metadata!C453,"not collected"),exact(Metadata!C453,"not provided"),exact(Metadata!C453,"restricted access"))),IF(Metadata!C453="",FALSE,ISNUMBER(VALUE(Metadata!C453))))</f>
        <v>0</v>
      </c>
      <c r="W453">
        <f>AND(IF(Metadata!D453="",FALSE,TRUE),exact(Metadata!D453,"m"))</f>
        <v>0</v>
      </c>
      <c r="X453">
        <f>AND(IF(Metadata!E453="",FALSE,TRUE),OR(exact(Metadata!E453,"aerosol (non-saline)"),exact(Metadata!E453,"aerosol (saline)")))</f>
        <v>0</v>
      </c>
      <c r="Y453">
        <f>AND(IF(Metadata!F453="",FALSE,TRUE),exact(Metadata!F453,"air"))</f>
        <v>0</v>
      </c>
      <c r="Z453">
        <f>AND(IF(Metadata!G453="",FALSE,TRUE),exact(Metadata!G453,"air"))</f>
        <v>0</v>
      </c>
      <c r="AA453">
        <f>AND(IF(Metadata!H453="",FALSE,TRUE),exact(Metadata!H453,"air"))</f>
        <v>0</v>
      </c>
      <c r="AB453">
        <f>AND(IF(Metadata!I453="",FALSE,TRUE),exact(Metadata!I453,"air metagenome"))</f>
        <v>0</v>
      </c>
      <c r="AC453">
        <f>AND(IF(Metadata!J453="",FALSE,TRUE),exact(Metadata!J453,"655179"))</f>
        <v>0</v>
      </c>
    </row>
    <row r="454" spans="1:29">
      <c r="A454" s="5">
        <f>IF(B454=" "," ",HYPERLINK(CONCATENATE("#metadata!",ADDRESS(INDEX($P$2:$P$1001,MATCH(ROWS($N$2:N454),$N$2:$N$1001,0),0),1)),INDEX($S$2:$S$1001,MATCH(ROWS($N$2:N454),$N$2:$N$1001,0),0)))</f>
        <v>0</v>
      </c>
      <c r="B454" s="4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4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4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4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4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4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4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4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4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OR(AND(IF(Metadata!C454="",FALSE,TRUE),OR(exact(Metadata!C454,"not applicable"),exact(Metadata!C454,"not collected"),exact(Metadata!C454,"not provided"),exact(Metadata!C454,"restricted access"))),IF(Metadata!C454="",FALSE,ISNUMBER(VALUE(Metadata!C454))))</f>
        <v>0</v>
      </c>
      <c r="W454">
        <f>AND(IF(Metadata!D454="",FALSE,TRUE),exact(Metadata!D454,"m"))</f>
        <v>0</v>
      </c>
      <c r="X454">
        <f>AND(IF(Metadata!E454="",FALSE,TRUE),OR(exact(Metadata!E454,"aerosol (non-saline)"),exact(Metadata!E454,"aerosol (saline)")))</f>
        <v>0</v>
      </c>
      <c r="Y454">
        <f>AND(IF(Metadata!F454="",FALSE,TRUE),exact(Metadata!F454,"air"))</f>
        <v>0</v>
      </c>
      <c r="Z454">
        <f>AND(IF(Metadata!G454="",FALSE,TRUE),exact(Metadata!G454,"air"))</f>
        <v>0</v>
      </c>
      <c r="AA454">
        <f>AND(IF(Metadata!H454="",FALSE,TRUE),exact(Metadata!H454,"air"))</f>
        <v>0</v>
      </c>
      <c r="AB454">
        <f>AND(IF(Metadata!I454="",FALSE,TRUE),exact(Metadata!I454,"air metagenome"))</f>
        <v>0</v>
      </c>
      <c r="AC454">
        <f>AND(IF(Metadata!J454="",FALSE,TRUE),exact(Metadata!J454,"655179"))</f>
        <v>0</v>
      </c>
    </row>
    <row r="455" spans="1:29">
      <c r="A455" s="5">
        <f>IF(B455=" "," ",HYPERLINK(CONCATENATE("#metadata!",ADDRESS(INDEX($P$2:$P$1001,MATCH(ROWS($N$2:N455),$N$2:$N$1001,0),0),1)),INDEX($S$2:$S$1001,MATCH(ROWS($N$2:N455),$N$2:$N$1001,0),0)))</f>
        <v>0</v>
      </c>
      <c r="B455" s="4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4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4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4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4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4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4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4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4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OR(AND(IF(Metadata!C455="",FALSE,TRUE),OR(exact(Metadata!C455,"not applicable"),exact(Metadata!C455,"not collected"),exact(Metadata!C455,"not provided"),exact(Metadata!C455,"restricted access"))),IF(Metadata!C455="",FALSE,ISNUMBER(VALUE(Metadata!C455))))</f>
        <v>0</v>
      </c>
      <c r="W455">
        <f>AND(IF(Metadata!D455="",FALSE,TRUE),exact(Metadata!D455,"m"))</f>
        <v>0</v>
      </c>
      <c r="X455">
        <f>AND(IF(Metadata!E455="",FALSE,TRUE),OR(exact(Metadata!E455,"aerosol (non-saline)"),exact(Metadata!E455,"aerosol (saline)")))</f>
        <v>0</v>
      </c>
      <c r="Y455">
        <f>AND(IF(Metadata!F455="",FALSE,TRUE),exact(Metadata!F455,"air"))</f>
        <v>0</v>
      </c>
      <c r="Z455">
        <f>AND(IF(Metadata!G455="",FALSE,TRUE),exact(Metadata!G455,"air"))</f>
        <v>0</v>
      </c>
      <c r="AA455">
        <f>AND(IF(Metadata!H455="",FALSE,TRUE),exact(Metadata!H455,"air"))</f>
        <v>0</v>
      </c>
      <c r="AB455">
        <f>AND(IF(Metadata!I455="",FALSE,TRUE),exact(Metadata!I455,"air metagenome"))</f>
        <v>0</v>
      </c>
      <c r="AC455">
        <f>AND(IF(Metadata!J455="",FALSE,TRUE),exact(Metadata!J455,"655179"))</f>
        <v>0</v>
      </c>
    </row>
    <row r="456" spans="1:29">
      <c r="A456" s="5">
        <f>IF(B456=" "," ",HYPERLINK(CONCATENATE("#metadata!",ADDRESS(INDEX($P$2:$P$1001,MATCH(ROWS($N$2:N456),$N$2:$N$1001,0),0),1)),INDEX($S$2:$S$1001,MATCH(ROWS($N$2:N456),$N$2:$N$1001,0),0)))</f>
        <v>0</v>
      </c>
      <c r="B456" s="4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4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4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4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4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4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4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4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4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OR(AND(IF(Metadata!C456="",FALSE,TRUE),OR(exact(Metadata!C456,"not applicable"),exact(Metadata!C456,"not collected"),exact(Metadata!C456,"not provided"),exact(Metadata!C456,"restricted access"))),IF(Metadata!C456="",FALSE,ISNUMBER(VALUE(Metadata!C456))))</f>
        <v>0</v>
      </c>
      <c r="W456">
        <f>AND(IF(Metadata!D456="",FALSE,TRUE),exact(Metadata!D456,"m"))</f>
        <v>0</v>
      </c>
      <c r="X456">
        <f>AND(IF(Metadata!E456="",FALSE,TRUE),OR(exact(Metadata!E456,"aerosol (non-saline)"),exact(Metadata!E456,"aerosol (saline)")))</f>
        <v>0</v>
      </c>
      <c r="Y456">
        <f>AND(IF(Metadata!F456="",FALSE,TRUE),exact(Metadata!F456,"air"))</f>
        <v>0</v>
      </c>
      <c r="Z456">
        <f>AND(IF(Metadata!G456="",FALSE,TRUE),exact(Metadata!G456,"air"))</f>
        <v>0</v>
      </c>
      <c r="AA456">
        <f>AND(IF(Metadata!H456="",FALSE,TRUE),exact(Metadata!H456,"air"))</f>
        <v>0</v>
      </c>
      <c r="AB456">
        <f>AND(IF(Metadata!I456="",FALSE,TRUE),exact(Metadata!I456,"air metagenome"))</f>
        <v>0</v>
      </c>
      <c r="AC456">
        <f>AND(IF(Metadata!J456="",FALSE,TRUE),exact(Metadata!J456,"655179"))</f>
        <v>0</v>
      </c>
    </row>
    <row r="457" spans="1:29">
      <c r="A457" s="5">
        <f>IF(B457=" "," ",HYPERLINK(CONCATENATE("#metadata!",ADDRESS(INDEX($P$2:$P$1001,MATCH(ROWS($N$2:N457),$N$2:$N$1001,0),0),1)),INDEX($S$2:$S$1001,MATCH(ROWS($N$2:N457),$N$2:$N$1001,0),0)))</f>
        <v>0</v>
      </c>
      <c r="B457" s="4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4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4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4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4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4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4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4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4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OR(AND(IF(Metadata!C457="",FALSE,TRUE),OR(exact(Metadata!C457,"not applicable"),exact(Metadata!C457,"not collected"),exact(Metadata!C457,"not provided"),exact(Metadata!C457,"restricted access"))),IF(Metadata!C457="",FALSE,ISNUMBER(VALUE(Metadata!C457))))</f>
        <v>0</v>
      </c>
      <c r="W457">
        <f>AND(IF(Metadata!D457="",FALSE,TRUE),exact(Metadata!D457,"m"))</f>
        <v>0</v>
      </c>
      <c r="X457">
        <f>AND(IF(Metadata!E457="",FALSE,TRUE),OR(exact(Metadata!E457,"aerosol (non-saline)"),exact(Metadata!E457,"aerosol (saline)")))</f>
        <v>0</v>
      </c>
      <c r="Y457">
        <f>AND(IF(Metadata!F457="",FALSE,TRUE),exact(Metadata!F457,"air"))</f>
        <v>0</v>
      </c>
      <c r="Z457">
        <f>AND(IF(Metadata!G457="",FALSE,TRUE),exact(Metadata!G457,"air"))</f>
        <v>0</v>
      </c>
      <c r="AA457">
        <f>AND(IF(Metadata!H457="",FALSE,TRUE),exact(Metadata!H457,"air"))</f>
        <v>0</v>
      </c>
      <c r="AB457">
        <f>AND(IF(Metadata!I457="",FALSE,TRUE),exact(Metadata!I457,"air metagenome"))</f>
        <v>0</v>
      </c>
      <c r="AC457">
        <f>AND(IF(Metadata!J457="",FALSE,TRUE),exact(Metadata!J457,"655179"))</f>
        <v>0</v>
      </c>
    </row>
    <row r="458" spans="1:29">
      <c r="A458" s="5">
        <f>IF(B458=" "," ",HYPERLINK(CONCATENATE("#metadata!",ADDRESS(INDEX($P$2:$P$1001,MATCH(ROWS($N$2:N458),$N$2:$N$1001,0),0),1)),INDEX($S$2:$S$1001,MATCH(ROWS($N$2:N458),$N$2:$N$1001,0),0)))</f>
        <v>0</v>
      </c>
      <c r="B458" s="4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4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4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4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4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4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4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4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4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OR(AND(IF(Metadata!C458="",FALSE,TRUE),OR(exact(Metadata!C458,"not applicable"),exact(Metadata!C458,"not collected"),exact(Metadata!C458,"not provided"),exact(Metadata!C458,"restricted access"))),IF(Metadata!C458="",FALSE,ISNUMBER(VALUE(Metadata!C458))))</f>
        <v>0</v>
      </c>
      <c r="W458">
        <f>AND(IF(Metadata!D458="",FALSE,TRUE),exact(Metadata!D458,"m"))</f>
        <v>0</v>
      </c>
      <c r="X458">
        <f>AND(IF(Metadata!E458="",FALSE,TRUE),OR(exact(Metadata!E458,"aerosol (non-saline)"),exact(Metadata!E458,"aerosol (saline)")))</f>
        <v>0</v>
      </c>
      <c r="Y458">
        <f>AND(IF(Metadata!F458="",FALSE,TRUE),exact(Metadata!F458,"air"))</f>
        <v>0</v>
      </c>
      <c r="Z458">
        <f>AND(IF(Metadata!G458="",FALSE,TRUE),exact(Metadata!G458,"air"))</f>
        <v>0</v>
      </c>
      <c r="AA458">
        <f>AND(IF(Metadata!H458="",FALSE,TRUE),exact(Metadata!H458,"air"))</f>
        <v>0</v>
      </c>
      <c r="AB458">
        <f>AND(IF(Metadata!I458="",FALSE,TRUE),exact(Metadata!I458,"air metagenome"))</f>
        <v>0</v>
      </c>
      <c r="AC458">
        <f>AND(IF(Metadata!J458="",FALSE,TRUE),exact(Metadata!J458,"655179"))</f>
        <v>0</v>
      </c>
    </row>
    <row r="459" spans="1:29">
      <c r="A459" s="5">
        <f>IF(B459=" "," ",HYPERLINK(CONCATENATE("#metadata!",ADDRESS(INDEX($P$2:$P$1001,MATCH(ROWS($N$2:N459),$N$2:$N$1001,0),0),1)),INDEX($S$2:$S$1001,MATCH(ROWS($N$2:N459),$N$2:$N$1001,0),0)))</f>
        <v>0</v>
      </c>
      <c r="B459" s="4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4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4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4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4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4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4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4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4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OR(AND(IF(Metadata!C459="",FALSE,TRUE),OR(exact(Metadata!C459,"not applicable"),exact(Metadata!C459,"not collected"),exact(Metadata!C459,"not provided"),exact(Metadata!C459,"restricted access"))),IF(Metadata!C459="",FALSE,ISNUMBER(VALUE(Metadata!C459))))</f>
        <v>0</v>
      </c>
      <c r="W459">
        <f>AND(IF(Metadata!D459="",FALSE,TRUE),exact(Metadata!D459,"m"))</f>
        <v>0</v>
      </c>
      <c r="X459">
        <f>AND(IF(Metadata!E459="",FALSE,TRUE),OR(exact(Metadata!E459,"aerosol (non-saline)"),exact(Metadata!E459,"aerosol (saline)")))</f>
        <v>0</v>
      </c>
      <c r="Y459">
        <f>AND(IF(Metadata!F459="",FALSE,TRUE),exact(Metadata!F459,"air"))</f>
        <v>0</v>
      </c>
      <c r="Z459">
        <f>AND(IF(Metadata!G459="",FALSE,TRUE),exact(Metadata!G459,"air"))</f>
        <v>0</v>
      </c>
      <c r="AA459">
        <f>AND(IF(Metadata!H459="",FALSE,TRUE),exact(Metadata!H459,"air"))</f>
        <v>0</v>
      </c>
      <c r="AB459">
        <f>AND(IF(Metadata!I459="",FALSE,TRUE),exact(Metadata!I459,"air metagenome"))</f>
        <v>0</v>
      </c>
      <c r="AC459">
        <f>AND(IF(Metadata!J459="",FALSE,TRUE),exact(Metadata!J459,"655179"))</f>
        <v>0</v>
      </c>
    </row>
    <row r="460" spans="1:29">
      <c r="A460" s="5">
        <f>IF(B460=" "," ",HYPERLINK(CONCATENATE("#metadata!",ADDRESS(INDEX($P$2:$P$1001,MATCH(ROWS($N$2:N460),$N$2:$N$1001,0),0),1)),INDEX($S$2:$S$1001,MATCH(ROWS($N$2:N460),$N$2:$N$1001,0),0)))</f>
        <v>0</v>
      </c>
      <c r="B460" s="4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4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4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4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4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4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4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4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4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OR(AND(IF(Metadata!C460="",FALSE,TRUE),OR(exact(Metadata!C460,"not applicable"),exact(Metadata!C460,"not collected"),exact(Metadata!C460,"not provided"),exact(Metadata!C460,"restricted access"))),IF(Metadata!C460="",FALSE,ISNUMBER(VALUE(Metadata!C460))))</f>
        <v>0</v>
      </c>
      <c r="W460">
        <f>AND(IF(Metadata!D460="",FALSE,TRUE),exact(Metadata!D460,"m"))</f>
        <v>0</v>
      </c>
      <c r="X460">
        <f>AND(IF(Metadata!E460="",FALSE,TRUE),OR(exact(Metadata!E460,"aerosol (non-saline)"),exact(Metadata!E460,"aerosol (saline)")))</f>
        <v>0</v>
      </c>
      <c r="Y460">
        <f>AND(IF(Metadata!F460="",FALSE,TRUE),exact(Metadata!F460,"air"))</f>
        <v>0</v>
      </c>
      <c r="Z460">
        <f>AND(IF(Metadata!G460="",FALSE,TRUE),exact(Metadata!G460,"air"))</f>
        <v>0</v>
      </c>
      <c r="AA460">
        <f>AND(IF(Metadata!H460="",FALSE,TRUE),exact(Metadata!H460,"air"))</f>
        <v>0</v>
      </c>
      <c r="AB460">
        <f>AND(IF(Metadata!I460="",FALSE,TRUE),exact(Metadata!I460,"air metagenome"))</f>
        <v>0</v>
      </c>
      <c r="AC460">
        <f>AND(IF(Metadata!J460="",FALSE,TRUE),exact(Metadata!J460,"655179"))</f>
        <v>0</v>
      </c>
    </row>
    <row r="461" spans="1:29">
      <c r="A461" s="5">
        <f>IF(B461=" "," ",HYPERLINK(CONCATENATE("#metadata!",ADDRESS(INDEX($P$2:$P$1001,MATCH(ROWS($N$2:N461),$N$2:$N$1001,0),0),1)),INDEX($S$2:$S$1001,MATCH(ROWS($N$2:N461),$N$2:$N$1001,0),0)))</f>
        <v>0</v>
      </c>
      <c r="B461" s="4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4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4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4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4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4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4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4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4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OR(AND(IF(Metadata!C461="",FALSE,TRUE),OR(exact(Metadata!C461,"not applicable"),exact(Metadata!C461,"not collected"),exact(Metadata!C461,"not provided"),exact(Metadata!C461,"restricted access"))),IF(Metadata!C461="",FALSE,ISNUMBER(VALUE(Metadata!C461))))</f>
        <v>0</v>
      </c>
      <c r="W461">
        <f>AND(IF(Metadata!D461="",FALSE,TRUE),exact(Metadata!D461,"m"))</f>
        <v>0</v>
      </c>
      <c r="X461">
        <f>AND(IF(Metadata!E461="",FALSE,TRUE),OR(exact(Metadata!E461,"aerosol (non-saline)"),exact(Metadata!E461,"aerosol (saline)")))</f>
        <v>0</v>
      </c>
      <c r="Y461">
        <f>AND(IF(Metadata!F461="",FALSE,TRUE),exact(Metadata!F461,"air"))</f>
        <v>0</v>
      </c>
      <c r="Z461">
        <f>AND(IF(Metadata!G461="",FALSE,TRUE),exact(Metadata!G461,"air"))</f>
        <v>0</v>
      </c>
      <c r="AA461">
        <f>AND(IF(Metadata!H461="",FALSE,TRUE),exact(Metadata!H461,"air"))</f>
        <v>0</v>
      </c>
      <c r="AB461">
        <f>AND(IF(Metadata!I461="",FALSE,TRUE),exact(Metadata!I461,"air metagenome"))</f>
        <v>0</v>
      </c>
      <c r="AC461">
        <f>AND(IF(Metadata!J461="",FALSE,TRUE),exact(Metadata!J461,"655179"))</f>
        <v>0</v>
      </c>
    </row>
    <row r="462" spans="1:29">
      <c r="A462" s="5">
        <f>IF(B462=" "," ",HYPERLINK(CONCATENATE("#metadata!",ADDRESS(INDEX($P$2:$P$1001,MATCH(ROWS($N$2:N462),$N$2:$N$1001,0),0),1)),INDEX($S$2:$S$1001,MATCH(ROWS($N$2:N462),$N$2:$N$1001,0),0)))</f>
        <v>0</v>
      </c>
      <c r="B462" s="4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4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4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4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4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4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4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4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4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OR(AND(IF(Metadata!C462="",FALSE,TRUE),OR(exact(Metadata!C462,"not applicable"),exact(Metadata!C462,"not collected"),exact(Metadata!C462,"not provided"),exact(Metadata!C462,"restricted access"))),IF(Metadata!C462="",FALSE,ISNUMBER(VALUE(Metadata!C462))))</f>
        <v>0</v>
      </c>
      <c r="W462">
        <f>AND(IF(Metadata!D462="",FALSE,TRUE),exact(Metadata!D462,"m"))</f>
        <v>0</v>
      </c>
      <c r="X462">
        <f>AND(IF(Metadata!E462="",FALSE,TRUE),OR(exact(Metadata!E462,"aerosol (non-saline)"),exact(Metadata!E462,"aerosol (saline)")))</f>
        <v>0</v>
      </c>
      <c r="Y462">
        <f>AND(IF(Metadata!F462="",FALSE,TRUE),exact(Metadata!F462,"air"))</f>
        <v>0</v>
      </c>
      <c r="Z462">
        <f>AND(IF(Metadata!G462="",FALSE,TRUE),exact(Metadata!G462,"air"))</f>
        <v>0</v>
      </c>
      <c r="AA462">
        <f>AND(IF(Metadata!H462="",FALSE,TRUE),exact(Metadata!H462,"air"))</f>
        <v>0</v>
      </c>
      <c r="AB462">
        <f>AND(IF(Metadata!I462="",FALSE,TRUE),exact(Metadata!I462,"air metagenome"))</f>
        <v>0</v>
      </c>
      <c r="AC462">
        <f>AND(IF(Metadata!J462="",FALSE,TRUE),exact(Metadata!J462,"655179"))</f>
        <v>0</v>
      </c>
    </row>
    <row r="463" spans="1:29">
      <c r="A463" s="5">
        <f>IF(B463=" "," ",HYPERLINK(CONCATENATE("#metadata!",ADDRESS(INDEX($P$2:$P$1001,MATCH(ROWS($N$2:N463),$N$2:$N$1001,0),0),1)),INDEX($S$2:$S$1001,MATCH(ROWS($N$2:N463),$N$2:$N$1001,0),0)))</f>
        <v>0</v>
      </c>
      <c r="B463" s="4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4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4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4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4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4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4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4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4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OR(AND(IF(Metadata!C463="",FALSE,TRUE),OR(exact(Metadata!C463,"not applicable"),exact(Metadata!C463,"not collected"),exact(Metadata!C463,"not provided"),exact(Metadata!C463,"restricted access"))),IF(Metadata!C463="",FALSE,ISNUMBER(VALUE(Metadata!C463))))</f>
        <v>0</v>
      </c>
      <c r="W463">
        <f>AND(IF(Metadata!D463="",FALSE,TRUE),exact(Metadata!D463,"m"))</f>
        <v>0</v>
      </c>
      <c r="X463">
        <f>AND(IF(Metadata!E463="",FALSE,TRUE),OR(exact(Metadata!E463,"aerosol (non-saline)"),exact(Metadata!E463,"aerosol (saline)")))</f>
        <v>0</v>
      </c>
      <c r="Y463">
        <f>AND(IF(Metadata!F463="",FALSE,TRUE),exact(Metadata!F463,"air"))</f>
        <v>0</v>
      </c>
      <c r="Z463">
        <f>AND(IF(Metadata!G463="",FALSE,TRUE),exact(Metadata!G463,"air"))</f>
        <v>0</v>
      </c>
      <c r="AA463">
        <f>AND(IF(Metadata!H463="",FALSE,TRUE),exact(Metadata!H463,"air"))</f>
        <v>0</v>
      </c>
      <c r="AB463">
        <f>AND(IF(Metadata!I463="",FALSE,TRUE),exact(Metadata!I463,"air metagenome"))</f>
        <v>0</v>
      </c>
      <c r="AC463">
        <f>AND(IF(Metadata!J463="",FALSE,TRUE),exact(Metadata!J463,"655179"))</f>
        <v>0</v>
      </c>
    </row>
    <row r="464" spans="1:29">
      <c r="A464" s="5">
        <f>IF(B464=" "," ",HYPERLINK(CONCATENATE("#metadata!",ADDRESS(INDEX($P$2:$P$1001,MATCH(ROWS($N$2:N464),$N$2:$N$1001,0),0),1)),INDEX($S$2:$S$1001,MATCH(ROWS($N$2:N464),$N$2:$N$1001,0),0)))</f>
        <v>0</v>
      </c>
      <c r="B464" s="4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4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4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4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4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4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4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4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4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OR(AND(IF(Metadata!C464="",FALSE,TRUE),OR(exact(Metadata!C464,"not applicable"),exact(Metadata!C464,"not collected"),exact(Metadata!C464,"not provided"),exact(Metadata!C464,"restricted access"))),IF(Metadata!C464="",FALSE,ISNUMBER(VALUE(Metadata!C464))))</f>
        <v>0</v>
      </c>
      <c r="W464">
        <f>AND(IF(Metadata!D464="",FALSE,TRUE),exact(Metadata!D464,"m"))</f>
        <v>0</v>
      </c>
      <c r="X464">
        <f>AND(IF(Metadata!E464="",FALSE,TRUE),OR(exact(Metadata!E464,"aerosol (non-saline)"),exact(Metadata!E464,"aerosol (saline)")))</f>
        <v>0</v>
      </c>
      <c r="Y464">
        <f>AND(IF(Metadata!F464="",FALSE,TRUE),exact(Metadata!F464,"air"))</f>
        <v>0</v>
      </c>
      <c r="Z464">
        <f>AND(IF(Metadata!G464="",FALSE,TRUE),exact(Metadata!G464,"air"))</f>
        <v>0</v>
      </c>
      <c r="AA464">
        <f>AND(IF(Metadata!H464="",FALSE,TRUE),exact(Metadata!H464,"air"))</f>
        <v>0</v>
      </c>
      <c r="AB464">
        <f>AND(IF(Metadata!I464="",FALSE,TRUE),exact(Metadata!I464,"air metagenome"))</f>
        <v>0</v>
      </c>
      <c r="AC464">
        <f>AND(IF(Metadata!J464="",FALSE,TRUE),exact(Metadata!J464,"655179"))</f>
        <v>0</v>
      </c>
    </row>
    <row r="465" spans="1:29">
      <c r="A465" s="5">
        <f>IF(B465=" "," ",HYPERLINK(CONCATENATE("#metadata!",ADDRESS(INDEX($P$2:$P$1001,MATCH(ROWS($N$2:N465),$N$2:$N$1001,0),0),1)),INDEX($S$2:$S$1001,MATCH(ROWS($N$2:N465),$N$2:$N$1001,0),0)))</f>
        <v>0</v>
      </c>
      <c r="B465" s="4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4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4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4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4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4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4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4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4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OR(AND(IF(Metadata!C465="",FALSE,TRUE),OR(exact(Metadata!C465,"not applicable"),exact(Metadata!C465,"not collected"),exact(Metadata!C465,"not provided"),exact(Metadata!C465,"restricted access"))),IF(Metadata!C465="",FALSE,ISNUMBER(VALUE(Metadata!C465))))</f>
        <v>0</v>
      </c>
      <c r="W465">
        <f>AND(IF(Metadata!D465="",FALSE,TRUE),exact(Metadata!D465,"m"))</f>
        <v>0</v>
      </c>
      <c r="X465">
        <f>AND(IF(Metadata!E465="",FALSE,TRUE),OR(exact(Metadata!E465,"aerosol (non-saline)"),exact(Metadata!E465,"aerosol (saline)")))</f>
        <v>0</v>
      </c>
      <c r="Y465">
        <f>AND(IF(Metadata!F465="",FALSE,TRUE),exact(Metadata!F465,"air"))</f>
        <v>0</v>
      </c>
      <c r="Z465">
        <f>AND(IF(Metadata!G465="",FALSE,TRUE),exact(Metadata!G465,"air"))</f>
        <v>0</v>
      </c>
      <c r="AA465">
        <f>AND(IF(Metadata!H465="",FALSE,TRUE),exact(Metadata!H465,"air"))</f>
        <v>0</v>
      </c>
      <c r="AB465">
        <f>AND(IF(Metadata!I465="",FALSE,TRUE),exact(Metadata!I465,"air metagenome"))</f>
        <v>0</v>
      </c>
      <c r="AC465">
        <f>AND(IF(Metadata!J465="",FALSE,TRUE),exact(Metadata!J465,"655179"))</f>
        <v>0</v>
      </c>
    </row>
    <row r="466" spans="1:29">
      <c r="A466" s="5">
        <f>IF(B466=" "," ",HYPERLINK(CONCATENATE("#metadata!",ADDRESS(INDEX($P$2:$P$1001,MATCH(ROWS($N$2:N466),$N$2:$N$1001,0),0),1)),INDEX($S$2:$S$1001,MATCH(ROWS($N$2:N466),$N$2:$N$1001,0),0)))</f>
        <v>0</v>
      </c>
      <c r="B466" s="4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4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4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4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4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4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4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4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4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OR(AND(IF(Metadata!C466="",FALSE,TRUE),OR(exact(Metadata!C466,"not applicable"),exact(Metadata!C466,"not collected"),exact(Metadata!C466,"not provided"),exact(Metadata!C466,"restricted access"))),IF(Metadata!C466="",FALSE,ISNUMBER(VALUE(Metadata!C466))))</f>
        <v>0</v>
      </c>
      <c r="W466">
        <f>AND(IF(Metadata!D466="",FALSE,TRUE),exact(Metadata!D466,"m"))</f>
        <v>0</v>
      </c>
      <c r="X466">
        <f>AND(IF(Metadata!E466="",FALSE,TRUE),OR(exact(Metadata!E466,"aerosol (non-saline)"),exact(Metadata!E466,"aerosol (saline)")))</f>
        <v>0</v>
      </c>
      <c r="Y466">
        <f>AND(IF(Metadata!F466="",FALSE,TRUE),exact(Metadata!F466,"air"))</f>
        <v>0</v>
      </c>
      <c r="Z466">
        <f>AND(IF(Metadata!G466="",FALSE,TRUE),exact(Metadata!G466,"air"))</f>
        <v>0</v>
      </c>
      <c r="AA466">
        <f>AND(IF(Metadata!H466="",FALSE,TRUE),exact(Metadata!H466,"air"))</f>
        <v>0</v>
      </c>
      <c r="AB466">
        <f>AND(IF(Metadata!I466="",FALSE,TRUE),exact(Metadata!I466,"air metagenome"))</f>
        <v>0</v>
      </c>
      <c r="AC466">
        <f>AND(IF(Metadata!J466="",FALSE,TRUE),exact(Metadata!J466,"655179"))</f>
        <v>0</v>
      </c>
    </row>
    <row r="467" spans="1:29">
      <c r="A467" s="5">
        <f>IF(B467=" "," ",HYPERLINK(CONCATENATE("#metadata!",ADDRESS(INDEX($P$2:$P$1001,MATCH(ROWS($N$2:N467),$N$2:$N$1001,0),0),1)),INDEX($S$2:$S$1001,MATCH(ROWS($N$2:N467),$N$2:$N$1001,0),0)))</f>
        <v>0</v>
      </c>
      <c r="B467" s="4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4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4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4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4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4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4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4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4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OR(AND(IF(Metadata!C467="",FALSE,TRUE),OR(exact(Metadata!C467,"not applicable"),exact(Metadata!C467,"not collected"),exact(Metadata!C467,"not provided"),exact(Metadata!C467,"restricted access"))),IF(Metadata!C467="",FALSE,ISNUMBER(VALUE(Metadata!C467))))</f>
        <v>0</v>
      </c>
      <c r="W467">
        <f>AND(IF(Metadata!D467="",FALSE,TRUE),exact(Metadata!D467,"m"))</f>
        <v>0</v>
      </c>
      <c r="X467">
        <f>AND(IF(Metadata!E467="",FALSE,TRUE),OR(exact(Metadata!E467,"aerosol (non-saline)"),exact(Metadata!E467,"aerosol (saline)")))</f>
        <v>0</v>
      </c>
      <c r="Y467">
        <f>AND(IF(Metadata!F467="",FALSE,TRUE),exact(Metadata!F467,"air"))</f>
        <v>0</v>
      </c>
      <c r="Z467">
        <f>AND(IF(Metadata!G467="",FALSE,TRUE),exact(Metadata!G467,"air"))</f>
        <v>0</v>
      </c>
      <c r="AA467">
        <f>AND(IF(Metadata!H467="",FALSE,TRUE),exact(Metadata!H467,"air"))</f>
        <v>0</v>
      </c>
      <c r="AB467">
        <f>AND(IF(Metadata!I467="",FALSE,TRUE),exact(Metadata!I467,"air metagenome"))</f>
        <v>0</v>
      </c>
      <c r="AC467">
        <f>AND(IF(Metadata!J467="",FALSE,TRUE),exact(Metadata!J467,"655179"))</f>
        <v>0</v>
      </c>
    </row>
    <row r="468" spans="1:29">
      <c r="A468" s="5">
        <f>IF(B468=" "," ",HYPERLINK(CONCATENATE("#metadata!",ADDRESS(INDEX($P$2:$P$1001,MATCH(ROWS($N$2:N468),$N$2:$N$1001,0),0),1)),INDEX($S$2:$S$1001,MATCH(ROWS($N$2:N468),$N$2:$N$1001,0),0)))</f>
        <v>0</v>
      </c>
      <c r="B468" s="4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4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4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4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4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4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4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4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4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OR(AND(IF(Metadata!C468="",FALSE,TRUE),OR(exact(Metadata!C468,"not applicable"),exact(Metadata!C468,"not collected"),exact(Metadata!C468,"not provided"),exact(Metadata!C468,"restricted access"))),IF(Metadata!C468="",FALSE,ISNUMBER(VALUE(Metadata!C468))))</f>
        <v>0</v>
      </c>
      <c r="W468">
        <f>AND(IF(Metadata!D468="",FALSE,TRUE),exact(Metadata!D468,"m"))</f>
        <v>0</v>
      </c>
      <c r="X468">
        <f>AND(IF(Metadata!E468="",FALSE,TRUE),OR(exact(Metadata!E468,"aerosol (non-saline)"),exact(Metadata!E468,"aerosol (saline)")))</f>
        <v>0</v>
      </c>
      <c r="Y468">
        <f>AND(IF(Metadata!F468="",FALSE,TRUE),exact(Metadata!F468,"air"))</f>
        <v>0</v>
      </c>
      <c r="Z468">
        <f>AND(IF(Metadata!G468="",FALSE,TRUE),exact(Metadata!G468,"air"))</f>
        <v>0</v>
      </c>
      <c r="AA468">
        <f>AND(IF(Metadata!H468="",FALSE,TRUE),exact(Metadata!H468,"air"))</f>
        <v>0</v>
      </c>
      <c r="AB468">
        <f>AND(IF(Metadata!I468="",FALSE,TRUE),exact(Metadata!I468,"air metagenome"))</f>
        <v>0</v>
      </c>
      <c r="AC468">
        <f>AND(IF(Metadata!J468="",FALSE,TRUE),exact(Metadata!J468,"655179"))</f>
        <v>0</v>
      </c>
    </row>
    <row r="469" spans="1:29">
      <c r="A469" s="5">
        <f>IF(B469=" "," ",HYPERLINK(CONCATENATE("#metadata!",ADDRESS(INDEX($P$2:$P$1001,MATCH(ROWS($N$2:N469),$N$2:$N$1001,0),0),1)),INDEX($S$2:$S$1001,MATCH(ROWS($N$2:N469),$N$2:$N$1001,0),0)))</f>
        <v>0</v>
      </c>
      <c r="B469" s="4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4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4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4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4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4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4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4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4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OR(AND(IF(Metadata!C469="",FALSE,TRUE),OR(exact(Metadata!C469,"not applicable"),exact(Metadata!C469,"not collected"),exact(Metadata!C469,"not provided"),exact(Metadata!C469,"restricted access"))),IF(Metadata!C469="",FALSE,ISNUMBER(VALUE(Metadata!C469))))</f>
        <v>0</v>
      </c>
      <c r="W469">
        <f>AND(IF(Metadata!D469="",FALSE,TRUE),exact(Metadata!D469,"m"))</f>
        <v>0</v>
      </c>
      <c r="X469">
        <f>AND(IF(Metadata!E469="",FALSE,TRUE),OR(exact(Metadata!E469,"aerosol (non-saline)"),exact(Metadata!E469,"aerosol (saline)")))</f>
        <v>0</v>
      </c>
      <c r="Y469">
        <f>AND(IF(Metadata!F469="",FALSE,TRUE),exact(Metadata!F469,"air"))</f>
        <v>0</v>
      </c>
      <c r="Z469">
        <f>AND(IF(Metadata!G469="",FALSE,TRUE),exact(Metadata!G469,"air"))</f>
        <v>0</v>
      </c>
      <c r="AA469">
        <f>AND(IF(Metadata!H469="",FALSE,TRUE),exact(Metadata!H469,"air"))</f>
        <v>0</v>
      </c>
      <c r="AB469">
        <f>AND(IF(Metadata!I469="",FALSE,TRUE),exact(Metadata!I469,"air metagenome"))</f>
        <v>0</v>
      </c>
      <c r="AC469">
        <f>AND(IF(Metadata!J469="",FALSE,TRUE),exact(Metadata!J469,"655179"))</f>
        <v>0</v>
      </c>
    </row>
    <row r="470" spans="1:29">
      <c r="A470" s="5">
        <f>IF(B470=" "," ",HYPERLINK(CONCATENATE("#metadata!",ADDRESS(INDEX($P$2:$P$1001,MATCH(ROWS($N$2:N470),$N$2:$N$1001,0),0),1)),INDEX($S$2:$S$1001,MATCH(ROWS($N$2:N470),$N$2:$N$1001,0),0)))</f>
        <v>0</v>
      </c>
      <c r="B470" s="4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4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4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4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4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4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4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4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4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OR(AND(IF(Metadata!C470="",FALSE,TRUE),OR(exact(Metadata!C470,"not applicable"),exact(Metadata!C470,"not collected"),exact(Metadata!C470,"not provided"),exact(Metadata!C470,"restricted access"))),IF(Metadata!C470="",FALSE,ISNUMBER(VALUE(Metadata!C470))))</f>
        <v>0</v>
      </c>
      <c r="W470">
        <f>AND(IF(Metadata!D470="",FALSE,TRUE),exact(Metadata!D470,"m"))</f>
        <v>0</v>
      </c>
      <c r="X470">
        <f>AND(IF(Metadata!E470="",FALSE,TRUE),OR(exact(Metadata!E470,"aerosol (non-saline)"),exact(Metadata!E470,"aerosol (saline)")))</f>
        <v>0</v>
      </c>
      <c r="Y470">
        <f>AND(IF(Metadata!F470="",FALSE,TRUE),exact(Metadata!F470,"air"))</f>
        <v>0</v>
      </c>
      <c r="Z470">
        <f>AND(IF(Metadata!G470="",FALSE,TRUE),exact(Metadata!G470,"air"))</f>
        <v>0</v>
      </c>
      <c r="AA470">
        <f>AND(IF(Metadata!H470="",FALSE,TRUE),exact(Metadata!H470,"air"))</f>
        <v>0</v>
      </c>
      <c r="AB470">
        <f>AND(IF(Metadata!I470="",FALSE,TRUE),exact(Metadata!I470,"air metagenome"))</f>
        <v>0</v>
      </c>
      <c r="AC470">
        <f>AND(IF(Metadata!J470="",FALSE,TRUE),exact(Metadata!J470,"655179"))</f>
        <v>0</v>
      </c>
    </row>
    <row r="471" spans="1:29">
      <c r="A471" s="5">
        <f>IF(B471=" "," ",HYPERLINK(CONCATENATE("#metadata!",ADDRESS(INDEX($P$2:$P$1001,MATCH(ROWS($N$2:N471),$N$2:$N$1001,0),0),1)),INDEX($S$2:$S$1001,MATCH(ROWS($N$2:N471),$N$2:$N$1001,0),0)))</f>
        <v>0</v>
      </c>
      <c r="B471" s="4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4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4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4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4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4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4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4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4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OR(AND(IF(Metadata!C471="",FALSE,TRUE),OR(exact(Metadata!C471,"not applicable"),exact(Metadata!C471,"not collected"),exact(Metadata!C471,"not provided"),exact(Metadata!C471,"restricted access"))),IF(Metadata!C471="",FALSE,ISNUMBER(VALUE(Metadata!C471))))</f>
        <v>0</v>
      </c>
      <c r="W471">
        <f>AND(IF(Metadata!D471="",FALSE,TRUE),exact(Metadata!D471,"m"))</f>
        <v>0</v>
      </c>
      <c r="X471">
        <f>AND(IF(Metadata!E471="",FALSE,TRUE),OR(exact(Metadata!E471,"aerosol (non-saline)"),exact(Metadata!E471,"aerosol (saline)")))</f>
        <v>0</v>
      </c>
      <c r="Y471">
        <f>AND(IF(Metadata!F471="",FALSE,TRUE),exact(Metadata!F471,"air"))</f>
        <v>0</v>
      </c>
      <c r="Z471">
        <f>AND(IF(Metadata!G471="",FALSE,TRUE),exact(Metadata!G471,"air"))</f>
        <v>0</v>
      </c>
      <c r="AA471">
        <f>AND(IF(Metadata!H471="",FALSE,TRUE),exact(Metadata!H471,"air"))</f>
        <v>0</v>
      </c>
      <c r="AB471">
        <f>AND(IF(Metadata!I471="",FALSE,TRUE),exact(Metadata!I471,"air metagenome"))</f>
        <v>0</v>
      </c>
      <c r="AC471">
        <f>AND(IF(Metadata!J471="",FALSE,TRUE),exact(Metadata!J471,"655179"))</f>
        <v>0</v>
      </c>
    </row>
    <row r="472" spans="1:29">
      <c r="A472" s="5">
        <f>IF(B472=" "," ",HYPERLINK(CONCATENATE("#metadata!",ADDRESS(INDEX($P$2:$P$1001,MATCH(ROWS($N$2:N472),$N$2:$N$1001,0),0),1)),INDEX($S$2:$S$1001,MATCH(ROWS($N$2:N472),$N$2:$N$1001,0),0)))</f>
        <v>0</v>
      </c>
      <c r="B472" s="4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4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4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4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4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4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4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4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4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OR(AND(IF(Metadata!C472="",FALSE,TRUE),OR(exact(Metadata!C472,"not applicable"),exact(Metadata!C472,"not collected"),exact(Metadata!C472,"not provided"),exact(Metadata!C472,"restricted access"))),IF(Metadata!C472="",FALSE,ISNUMBER(VALUE(Metadata!C472))))</f>
        <v>0</v>
      </c>
      <c r="W472">
        <f>AND(IF(Metadata!D472="",FALSE,TRUE),exact(Metadata!D472,"m"))</f>
        <v>0</v>
      </c>
      <c r="X472">
        <f>AND(IF(Metadata!E472="",FALSE,TRUE),OR(exact(Metadata!E472,"aerosol (non-saline)"),exact(Metadata!E472,"aerosol (saline)")))</f>
        <v>0</v>
      </c>
      <c r="Y472">
        <f>AND(IF(Metadata!F472="",FALSE,TRUE),exact(Metadata!F472,"air"))</f>
        <v>0</v>
      </c>
      <c r="Z472">
        <f>AND(IF(Metadata!G472="",FALSE,TRUE),exact(Metadata!G472,"air"))</f>
        <v>0</v>
      </c>
      <c r="AA472">
        <f>AND(IF(Metadata!H472="",FALSE,TRUE),exact(Metadata!H472,"air"))</f>
        <v>0</v>
      </c>
      <c r="AB472">
        <f>AND(IF(Metadata!I472="",FALSE,TRUE),exact(Metadata!I472,"air metagenome"))</f>
        <v>0</v>
      </c>
      <c r="AC472">
        <f>AND(IF(Metadata!J472="",FALSE,TRUE),exact(Metadata!J472,"655179"))</f>
        <v>0</v>
      </c>
    </row>
    <row r="473" spans="1:29">
      <c r="A473" s="5">
        <f>IF(B473=" "," ",HYPERLINK(CONCATENATE("#metadata!",ADDRESS(INDEX($P$2:$P$1001,MATCH(ROWS($N$2:N473),$N$2:$N$1001,0),0),1)),INDEX($S$2:$S$1001,MATCH(ROWS($N$2:N473),$N$2:$N$1001,0),0)))</f>
        <v>0</v>
      </c>
      <c r="B473" s="4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4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4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4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4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4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4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4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4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OR(AND(IF(Metadata!C473="",FALSE,TRUE),OR(exact(Metadata!C473,"not applicable"),exact(Metadata!C473,"not collected"),exact(Metadata!C473,"not provided"),exact(Metadata!C473,"restricted access"))),IF(Metadata!C473="",FALSE,ISNUMBER(VALUE(Metadata!C473))))</f>
        <v>0</v>
      </c>
      <c r="W473">
        <f>AND(IF(Metadata!D473="",FALSE,TRUE),exact(Metadata!D473,"m"))</f>
        <v>0</v>
      </c>
      <c r="X473">
        <f>AND(IF(Metadata!E473="",FALSE,TRUE),OR(exact(Metadata!E473,"aerosol (non-saline)"),exact(Metadata!E473,"aerosol (saline)")))</f>
        <v>0</v>
      </c>
      <c r="Y473">
        <f>AND(IF(Metadata!F473="",FALSE,TRUE),exact(Metadata!F473,"air"))</f>
        <v>0</v>
      </c>
      <c r="Z473">
        <f>AND(IF(Metadata!G473="",FALSE,TRUE),exact(Metadata!G473,"air"))</f>
        <v>0</v>
      </c>
      <c r="AA473">
        <f>AND(IF(Metadata!H473="",FALSE,TRUE),exact(Metadata!H473,"air"))</f>
        <v>0</v>
      </c>
      <c r="AB473">
        <f>AND(IF(Metadata!I473="",FALSE,TRUE),exact(Metadata!I473,"air metagenome"))</f>
        <v>0</v>
      </c>
      <c r="AC473">
        <f>AND(IF(Metadata!J473="",FALSE,TRUE),exact(Metadata!J473,"655179"))</f>
        <v>0</v>
      </c>
    </row>
    <row r="474" spans="1:29">
      <c r="A474" s="5">
        <f>IF(B474=" "," ",HYPERLINK(CONCATENATE("#metadata!",ADDRESS(INDEX($P$2:$P$1001,MATCH(ROWS($N$2:N474),$N$2:$N$1001,0),0),1)),INDEX($S$2:$S$1001,MATCH(ROWS($N$2:N474),$N$2:$N$1001,0),0)))</f>
        <v>0</v>
      </c>
      <c r="B474" s="4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4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4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4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4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4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4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4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4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OR(AND(IF(Metadata!C474="",FALSE,TRUE),OR(exact(Metadata!C474,"not applicable"),exact(Metadata!C474,"not collected"),exact(Metadata!C474,"not provided"),exact(Metadata!C474,"restricted access"))),IF(Metadata!C474="",FALSE,ISNUMBER(VALUE(Metadata!C474))))</f>
        <v>0</v>
      </c>
      <c r="W474">
        <f>AND(IF(Metadata!D474="",FALSE,TRUE),exact(Metadata!D474,"m"))</f>
        <v>0</v>
      </c>
      <c r="X474">
        <f>AND(IF(Metadata!E474="",FALSE,TRUE),OR(exact(Metadata!E474,"aerosol (non-saline)"),exact(Metadata!E474,"aerosol (saline)")))</f>
        <v>0</v>
      </c>
      <c r="Y474">
        <f>AND(IF(Metadata!F474="",FALSE,TRUE),exact(Metadata!F474,"air"))</f>
        <v>0</v>
      </c>
      <c r="Z474">
        <f>AND(IF(Metadata!G474="",FALSE,TRUE),exact(Metadata!G474,"air"))</f>
        <v>0</v>
      </c>
      <c r="AA474">
        <f>AND(IF(Metadata!H474="",FALSE,TRUE),exact(Metadata!H474,"air"))</f>
        <v>0</v>
      </c>
      <c r="AB474">
        <f>AND(IF(Metadata!I474="",FALSE,TRUE),exact(Metadata!I474,"air metagenome"))</f>
        <v>0</v>
      </c>
      <c r="AC474">
        <f>AND(IF(Metadata!J474="",FALSE,TRUE),exact(Metadata!J474,"655179"))</f>
        <v>0</v>
      </c>
    </row>
    <row r="475" spans="1:29">
      <c r="A475" s="5">
        <f>IF(B475=" "," ",HYPERLINK(CONCATENATE("#metadata!",ADDRESS(INDEX($P$2:$P$1001,MATCH(ROWS($N$2:N475),$N$2:$N$1001,0),0),1)),INDEX($S$2:$S$1001,MATCH(ROWS($N$2:N475),$N$2:$N$1001,0),0)))</f>
        <v>0</v>
      </c>
      <c r="B475" s="4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4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4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4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4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4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4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4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4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OR(AND(IF(Metadata!C475="",FALSE,TRUE),OR(exact(Metadata!C475,"not applicable"),exact(Metadata!C475,"not collected"),exact(Metadata!C475,"not provided"),exact(Metadata!C475,"restricted access"))),IF(Metadata!C475="",FALSE,ISNUMBER(VALUE(Metadata!C475))))</f>
        <v>0</v>
      </c>
      <c r="W475">
        <f>AND(IF(Metadata!D475="",FALSE,TRUE),exact(Metadata!D475,"m"))</f>
        <v>0</v>
      </c>
      <c r="X475">
        <f>AND(IF(Metadata!E475="",FALSE,TRUE),OR(exact(Metadata!E475,"aerosol (non-saline)"),exact(Metadata!E475,"aerosol (saline)")))</f>
        <v>0</v>
      </c>
      <c r="Y475">
        <f>AND(IF(Metadata!F475="",FALSE,TRUE),exact(Metadata!F475,"air"))</f>
        <v>0</v>
      </c>
      <c r="Z475">
        <f>AND(IF(Metadata!G475="",FALSE,TRUE),exact(Metadata!G475,"air"))</f>
        <v>0</v>
      </c>
      <c r="AA475">
        <f>AND(IF(Metadata!H475="",FALSE,TRUE),exact(Metadata!H475,"air"))</f>
        <v>0</v>
      </c>
      <c r="AB475">
        <f>AND(IF(Metadata!I475="",FALSE,TRUE),exact(Metadata!I475,"air metagenome"))</f>
        <v>0</v>
      </c>
      <c r="AC475">
        <f>AND(IF(Metadata!J475="",FALSE,TRUE),exact(Metadata!J475,"655179"))</f>
        <v>0</v>
      </c>
    </row>
    <row r="476" spans="1:29">
      <c r="A476" s="5">
        <f>IF(B476=" "," ",HYPERLINK(CONCATENATE("#metadata!",ADDRESS(INDEX($P$2:$P$1001,MATCH(ROWS($N$2:N476),$N$2:$N$1001,0),0),1)),INDEX($S$2:$S$1001,MATCH(ROWS($N$2:N476),$N$2:$N$1001,0),0)))</f>
        <v>0</v>
      </c>
      <c r="B476" s="4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4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4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4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4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4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4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4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4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OR(AND(IF(Metadata!C476="",FALSE,TRUE),OR(exact(Metadata!C476,"not applicable"),exact(Metadata!C476,"not collected"),exact(Metadata!C476,"not provided"),exact(Metadata!C476,"restricted access"))),IF(Metadata!C476="",FALSE,ISNUMBER(VALUE(Metadata!C476))))</f>
        <v>0</v>
      </c>
      <c r="W476">
        <f>AND(IF(Metadata!D476="",FALSE,TRUE),exact(Metadata!D476,"m"))</f>
        <v>0</v>
      </c>
      <c r="X476">
        <f>AND(IF(Metadata!E476="",FALSE,TRUE),OR(exact(Metadata!E476,"aerosol (non-saline)"),exact(Metadata!E476,"aerosol (saline)")))</f>
        <v>0</v>
      </c>
      <c r="Y476">
        <f>AND(IF(Metadata!F476="",FALSE,TRUE),exact(Metadata!F476,"air"))</f>
        <v>0</v>
      </c>
      <c r="Z476">
        <f>AND(IF(Metadata!G476="",FALSE,TRUE),exact(Metadata!G476,"air"))</f>
        <v>0</v>
      </c>
      <c r="AA476">
        <f>AND(IF(Metadata!H476="",FALSE,TRUE),exact(Metadata!H476,"air"))</f>
        <v>0</v>
      </c>
      <c r="AB476">
        <f>AND(IF(Metadata!I476="",FALSE,TRUE),exact(Metadata!I476,"air metagenome"))</f>
        <v>0</v>
      </c>
      <c r="AC476">
        <f>AND(IF(Metadata!J476="",FALSE,TRUE),exact(Metadata!J476,"655179"))</f>
        <v>0</v>
      </c>
    </row>
    <row r="477" spans="1:29">
      <c r="A477" s="5">
        <f>IF(B477=" "," ",HYPERLINK(CONCATENATE("#metadata!",ADDRESS(INDEX($P$2:$P$1001,MATCH(ROWS($N$2:N477),$N$2:$N$1001,0),0),1)),INDEX($S$2:$S$1001,MATCH(ROWS($N$2:N477),$N$2:$N$1001,0),0)))</f>
        <v>0</v>
      </c>
      <c r="B477" s="4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4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4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4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4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4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4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4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4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OR(AND(IF(Metadata!C477="",FALSE,TRUE),OR(exact(Metadata!C477,"not applicable"),exact(Metadata!C477,"not collected"),exact(Metadata!C477,"not provided"),exact(Metadata!C477,"restricted access"))),IF(Metadata!C477="",FALSE,ISNUMBER(VALUE(Metadata!C477))))</f>
        <v>0</v>
      </c>
      <c r="W477">
        <f>AND(IF(Metadata!D477="",FALSE,TRUE),exact(Metadata!D477,"m"))</f>
        <v>0</v>
      </c>
      <c r="X477">
        <f>AND(IF(Metadata!E477="",FALSE,TRUE),OR(exact(Metadata!E477,"aerosol (non-saline)"),exact(Metadata!E477,"aerosol (saline)")))</f>
        <v>0</v>
      </c>
      <c r="Y477">
        <f>AND(IF(Metadata!F477="",FALSE,TRUE),exact(Metadata!F477,"air"))</f>
        <v>0</v>
      </c>
      <c r="Z477">
        <f>AND(IF(Metadata!G477="",FALSE,TRUE),exact(Metadata!G477,"air"))</f>
        <v>0</v>
      </c>
      <c r="AA477">
        <f>AND(IF(Metadata!H477="",FALSE,TRUE),exact(Metadata!H477,"air"))</f>
        <v>0</v>
      </c>
      <c r="AB477">
        <f>AND(IF(Metadata!I477="",FALSE,TRUE),exact(Metadata!I477,"air metagenome"))</f>
        <v>0</v>
      </c>
      <c r="AC477">
        <f>AND(IF(Metadata!J477="",FALSE,TRUE),exact(Metadata!J477,"655179"))</f>
        <v>0</v>
      </c>
    </row>
    <row r="478" spans="1:29">
      <c r="A478" s="5">
        <f>IF(B478=" "," ",HYPERLINK(CONCATENATE("#metadata!",ADDRESS(INDEX($P$2:$P$1001,MATCH(ROWS($N$2:N478),$N$2:$N$1001,0),0),1)),INDEX($S$2:$S$1001,MATCH(ROWS($N$2:N478),$N$2:$N$1001,0),0)))</f>
        <v>0</v>
      </c>
      <c r="B478" s="4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4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4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4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4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4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4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4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4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OR(AND(IF(Metadata!C478="",FALSE,TRUE),OR(exact(Metadata!C478,"not applicable"),exact(Metadata!C478,"not collected"),exact(Metadata!C478,"not provided"),exact(Metadata!C478,"restricted access"))),IF(Metadata!C478="",FALSE,ISNUMBER(VALUE(Metadata!C478))))</f>
        <v>0</v>
      </c>
      <c r="W478">
        <f>AND(IF(Metadata!D478="",FALSE,TRUE),exact(Metadata!D478,"m"))</f>
        <v>0</v>
      </c>
      <c r="X478">
        <f>AND(IF(Metadata!E478="",FALSE,TRUE),OR(exact(Metadata!E478,"aerosol (non-saline)"),exact(Metadata!E478,"aerosol (saline)")))</f>
        <v>0</v>
      </c>
      <c r="Y478">
        <f>AND(IF(Metadata!F478="",FALSE,TRUE),exact(Metadata!F478,"air"))</f>
        <v>0</v>
      </c>
      <c r="Z478">
        <f>AND(IF(Metadata!G478="",FALSE,TRUE),exact(Metadata!G478,"air"))</f>
        <v>0</v>
      </c>
      <c r="AA478">
        <f>AND(IF(Metadata!H478="",FALSE,TRUE),exact(Metadata!H478,"air"))</f>
        <v>0</v>
      </c>
      <c r="AB478">
        <f>AND(IF(Metadata!I478="",FALSE,TRUE),exact(Metadata!I478,"air metagenome"))</f>
        <v>0</v>
      </c>
      <c r="AC478">
        <f>AND(IF(Metadata!J478="",FALSE,TRUE),exact(Metadata!J478,"655179"))</f>
        <v>0</v>
      </c>
    </row>
    <row r="479" spans="1:29">
      <c r="A479" s="5">
        <f>IF(B479=" "," ",HYPERLINK(CONCATENATE("#metadata!",ADDRESS(INDEX($P$2:$P$1001,MATCH(ROWS($N$2:N479),$N$2:$N$1001,0),0),1)),INDEX($S$2:$S$1001,MATCH(ROWS($N$2:N479),$N$2:$N$1001,0),0)))</f>
        <v>0</v>
      </c>
      <c r="B479" s="4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4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4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4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4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4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4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4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4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OR(AND(IF(Metadata!C479="",FALSE,TRUE),OR(exact(Metadata!C479,"not applicable"),exact(Metadata!C479,"not collected"),exact(Metadata!C479,"not provided"),exact(Metadata!C479,"restricted access"))),IF(Metadata!C479="",FALSE,ISNUMBER(VALUE(Metadata!C479))))</f>
        <v>0</v>
      </c>
      <c r="W479">
        <f>AND(IF(Metadata!D479="",FALSE,TRUE),exact(Metadata!D479,"m"))</f>
        <v>0</v>
      </c>
      <c r="X479">
        <f>AND(IF(Metadata!E479="",FALSE,TRUE),OR(exact(Metadata!E479,"aerosol (non-saline)"),exact(Metadata!E479,"aerosol (saline)")))</f>
        <v>0</v>
      </c>
      <c r="Y479">
        <f>AND(IF(Metadata!F479="",FALSE,TRUE),exact(Metadata!F479,"air"))</f>
        <v>0</v>
      </c>
      <c r="Z479">
        <f>AND(IF(Metadata!G479="",FALSE,TRUE),exact(Metadata!G479,"air"))</f>
        <v>0</v>
      </c>
      <c r="AA479">
        <f>AND(IF(Metadata!H479="",FALSE,TRUE),exact(Metadata!H479,"air"))</f>
        <v>0</v>
      </c>
      <c r="AB479">
        <f>AND(IF(Metadata!I479="",FALSE,TRUE),exact(Metadata!I479,"air metagenome"))</f>
        <v>0</v>
      </c>
      <c r="AC479">
        <f>AND(IF(Metadata!J479="",FALSE,TRUE),exact(Metadata!J479,"655179"))</f>
        <v>0</v>
      </c>
    </row>
    <row r="480" spans="1:29">
      <c r="A480" s="5">
        <f>IF(B480=" "," ",HYPERLINK(CONCATENATE("#metadata!",ADDRESS(INDEX($P$2:$P$1001,MATCH(ROWS($N$2:N480),$N$2:$N$1001,0),0),1)),INDEX($S$2:$S$1001,MATCH(ROWS($N$2:N480),$N$2:$N$1001,0),0)))</f>
        <v>0</v>
      </c>
      <c r="B480" s="4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4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4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4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4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4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4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4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4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OR(AND(IF(Metadata!C480="",FALSE,TRUE),OR(exact(Metadata!C480,"not applicable"),exact(Metadata!C480,"not collected"),exact(Metadata!C480,"not provided"),exact(Metadata!C480,"restricted access"))),IF(Metadata!C480="",FALSE,ISNUMBER(VALUE(Metadata!C480))))</f>
        <v>0</v>
      </c>
      <c r="W480">
        <f>AND(IF(Metadata!D480="",FALSE,TRUE),exact(Metadata!D480,"m"))</f>
        <v>0</v>
      </c>
      <c r="X480">
        <f>AND(IF(Metadata!E480="",FALSE,TRUE),OR(exact(Metadata!E480,"aerosol (non-saline)"),exact(Metadata!E480,"aerosol (saline)")))</f>
        <v>0</v>
      </c>
      <c r="Y480">
        <f>AND(IF(Metadata!F480="",FALSE,TRUE),exact(Metadata!F480,"air"))</f>
        <v>0</v>
      </c>
      <c r="Z480">
        <f>AND(IF(Metadata!G480="",FALSE,TRUE),exact(Metadata!G480,"air"))</f>
        <v>0</v>
      </c>
      <c r="AA480">
        <f>AND(IF(Metadata!H480="",FALSE,TRUE),exact(Metadata!H480,"air"))</f>
        <v>0</v>
      </c>
      <c r="AB480">
        <f>AND(IF(Metadata!I480="",FALSE,TRUE),exact(Metadata!I480,"air metagenome"))</f>
        <v>0</v>
      </c>
      <c r="AC480">
        <f>AND(IF(Metadata!J480="",FALSE,TRUE),exact(Metadata!J480,"655179"))</f>
        <v>0</v>
      </c>
    </row>
    <row r="481" spans="1:29">
      <c r="A481" s="5">
        <f>IF(B481=" "," ",HYPERLINK(CONCATENATE("#metadata!",ADDRESS(INDEX($P$2:$P$1001,MATCH(ROWS($N$2:N481),$N$2:$N$1001,0),0),1)),INDEX($S$2:$S$1001,MATCH(ROWS($N$2:N481),$N$2:$N$1001,0),0)))</f>
        <v>0</v>
      </c>
      <c r="B481" s="4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4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4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4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4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4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4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4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4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OR(AND(IF(Metadata!C481="",FALSE,TRUE),OR(exact(Metadata!C481,"not applicable"),exact(Metadata!C481,"not collected"),exact(Metadata!C481,"not provided"),exact(Metadata!C481,"restricted access"))),IF(Metadata!C481="",FALSE,ISNUMBER(VALUE(Metadata!C481))))</f>
        <v>0</v>
      </c>
      <c r="W481">
        <f>AND(IF(Metadata!D481="",FALSE,TRUE),exact(Metadata!D481,"m"))</f>
        <v>0</v>
      </c>
      <c r="X481">
        <f>AND(IF(Metadata!E481="",FALSE,TRUE),OR(exact(Metadata!E481,"aerosol (non-saline)"),exact(Metadata!E481,"aerosol (saline)")))</f>
        <v>0</v>
      </c>
      <c r="Y481">
        <f>AND(IF(Metadata!F481="",FALSE,TRUE),exact(Metadata!F481,"air"))</f>
        <v>0</v>
      </c>
      <c r="Z481">
        <f>AND(IF(Metadata!G481="",FALSE,TRUE),exact(Metadata!G481,"air"))</f>
        <v>0</v>
      </c>
      <c r="AA481">
        <f>AND(IF(Metadata!H481="",FALSE,TRUE),exact(Metadata!H481,"air"))</f>
        <v>0</v>
      </c>
      <c r="AB481">
        <f>AND(IF(Metadata!I481="",FALSE,TRUE),exact(Metadata!I481,"air metagenome"))</f>
        <v>0</v>
      </c>
      <c r="AC481">
        <f>AND(IF(Metadata!J481="",FALSE,TRUE),exact(Metadata!J481,"655179"))</f>
        <v>0</v>
      </c>
    </row>
    <row r="482" spans="1:29">
      <c r="A482" s="5">
        <f>IF(B482=" "," ",HYPERLINK(CONCATENATE("#metadata!",ADDRESS(INDEX($P$2:$P$1001,MATCH(ROWS($N$2:N482),$N$2:$N$1001,0),0),1)),INDEX($S$2:$S$1001,MATCH(ROWS($N$2:N482),$N$2:$N$1001,0),0)))</f>
        <v>0</v>
      </c>
      <c r="B482" s="4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4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4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4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4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4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4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4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4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OR(AND(IF(Metadata!C482="",FALSE,TRUE),OR(exact(Metadata!C482,"not applicable"),exact(Metadata!C482,"not collected"),exact(Metadata!C482,"not provided"),exact(Metadata!C482,"restricted access"))),IF(Metadata!C482="",FALSE,ISNUMBER(VALUE(Metadata!C482))))</f>
        <v>0</v>
      </c>
      <c r="W482">
        <f>AND(IF(Metadata!D482="",FALSE,TRUE),exact(Metadata!D482,"m"))</f>
        <v>0</v>
      </c>
      <c r="X482">
        <f>AND(IF(Metadata!E482="",FALSE,TRUE),OR(exact(Metadata!E482,"aerosol (non-saline)"),exact(Metadata!E482,"aerosol (saline)")))</f>
        <v>0</v>
      </c>
      <c r="Y482">
        <f>AND(IF(Metadata!F482="",FALSE,TRUE),exact(Metadata!F482,"air"))</f>
        <v>0</v>
      </c>
      <c r="Z482">
        <f>AND(IF(Metadata!G482="",FALSE,TRUE),exact(Metadata!G482,"air"))</f>
        <v>0</v>
      </c>
      <c r="AA482">
        <f>AND(IF(Metadata!H482="",FALSE,TRUE),exact(Metadata!H482,"air"))</f>
        <v>0</v>
      </c>
      <c r="AB482">
        <f>AND(IF(Metadata!I482="",FALSE,TRUE),exact(Metadata!I482,"air metagenome"))</f>
        <v>0</v>
      </c>
      <c r="AC482">
        <f>AND(IF(Metadata!J482="",FALSE,TRUE),exact(Metadata!J482,"655179"))</f>
        <v>0</v>
      </c>
    </row>
    <row r="483" spans="1:29">
      <c r="A483" s="5">
        <f>IF(B483=" "," ",HYPERLINK(CONCATENATE("#metadata!",ADDRESS(INDEX($P$2:$P$1001,MATCH(ROWS($N$2:N483),$N$2:$N$1001,0),0),1)),INDEX($S$2:$S$1001,MATCH(ROWS($N$2:N483),$N$2:$N$1001,0),0)))</f>
        <v>0</v>
      </c>
      <c r="B483" s="4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4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4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4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4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4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4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4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4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OR(AND(IF(Metadata!C483="",FALSE,TRUE),OR(exact(Metadata!C483,"not applicable"),exact(Metadata!C483,"not collected"),exact(Metadata!C483,"not provided"),exact(Metadata!C483,"restricted access"))),IF(Metadata!C483="",FALSE,ISNUMBER(VALUE(Metadata!C483))))</f>
        <v>0</v>
      </c>
      <c r="W483">
        <f>AND(IF(Metadata!D483="",FALSE,TRUE),exact(Metadata!D483,"m"))</f>
        <v>0</v>
      </c>
      <c r="X483">
        <f>AND(IF(Metadata!E483="",FALSE,TRUE),OR(exact(Metadata!E483,"aerosol (non-saline)"),exact(Metadata!E483,"aerosol (saline)")))</f>
        <v>0</v>
      </c>
      <c r="Y483">
        <f>AND(IF(Metadata!F483="",FALSE,TRUE),exact(Metadata!F483,"air"))</f>
        <v>0</v>
      </c>
      <c r="Z483">
        <f>AND(IF(Metadata!G483="",FALSE,TRUE),exact(Metadata!G483,"air"))</f>
        <v>0</v>
      </c>
      <c r="AA483">
        <f>AND(IF(Metadata!H483="",FALSE,TRUE),exact(Metadata!H483,"air"))</f>
        <v>0</v>
      </c>
      <c r="AB483">
        <f>AND(IF(Metadata!I483="",FALSE,TRUE),exact(Metadata!I483,"air metagenome"))</f>
        <v>0</v>
      </c>
      <c r="AC483">
        <f>AND(IF(Metadata!J483="",FALSE,TRUE),exact(Metadata!J483,"655179"))</f>
        <v>0</v>
      </c>
    </row>
    <row r="484" spans="1:29">
      <c r="A484" s="5">
        <f>IF(B484=" "," ",HYPERLINK(CONCATENATE("#metadata!",ADDRESS(INDEX($P$2:$P$1001,MATCH(ROWS($N$2:N484),$N$2:$N$1001,0),0),1)),INDEX($S$2:$S$1001,MATCH(ROWS($N$2:N484),$N$2:$N$1001,0),0)))</f>
        <v>0</v>
      </c>
      <c r="B484" s="4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4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4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4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4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4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4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4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4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OR(AND(IF(Metadata!C484="",FALSE,TRUE),OR(exact(Metadata!C484,"not applicable"),exact(Metadata!C484,"not collected"),exact(Metadata!C484,"not provided"),exact(Metadata!C484,"restricted access"))),IF(Metadata!C484="",FALSE,ISNUMBER(VALUE(Metadata!C484))))</f>
        <v>0</v>
      </c>
      <c r="W484">
        <f>AND(IF(Metadata!D484="",FALSE,TRUE),exact(Metadata!D484,"m"))</f>
        <v>0</v>
      </c>
      <c r="X484">
        <f>AND(IF(Metadata!E484="",FALSE,TRUE),OR(exact(Metadata!E484,"aerosol (non-saline)"),exact(Metadata!E484,"aerosol (saline)")))</f>
        <v>0</v>
      </c>
      <c r="Y484">
        <f>AND(IF(Metadata!F484="",FALSE,TRUE),exact(Metadata!F484,"air"))</f>
        <v>0</v>
      </c>
      <c r="Z484">
        <f>AND(IF(Metadata!G484="",FALSE,TRUE),exact(Metadata!G484,"air"))</f>
        <v>0</v>
      </c>
      <c r="AA484">
        <f>AND(IF(Metadata!H484="",FALSE,TRUE),exact(Metadata!H484,"air"))</f>
        <v>0</v>
      </c>
      <c r="AB484">
        <f>AND(IF(Metadata!I484="",FALSE,TRUE),exact(Metadata!I484,"air metagenome"))</f>
        <v>0</v>
      </c>
      <c r="AC484">
        <f>AND(IF(Metadata!J484="",FALSE,TRUE),exact(Metadata!J484,"655179"))</f>
        <v>0</v>
      </c>
    </row>
    <row r="485" spans="1:29">
      <c r="A485" s="5">
        <f>IF(B485=" "," ",HYPERLINK(CONCATENATE("#metadata!",ADDRESS(INDEX($P$2:$P$1001,MATCH(ROWS($N$2:N485),$N$2:$N$1001,0),0),1)),INDEX($S$2:$S$1001,MATCH(ROWS($N$2:N485),$N$2:$N$1001,0),0)))</f>
        <v>0</v>
      </c>
      <c r="B485" s="4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4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4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4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4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4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4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4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4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OR(AND(IF(Metadata!C485="",FALSE,TRUE),OR(exact(Metadata!C485,"not applicable"),exact(Metadata!C485,"not collected"),exact(Metadata!C485,"not provided"),exact(Metadata!C485,"restricted access"))),IF(Metadata!C485="",FALSE,ISNUMBER(VALUE(Metadata!C485))))</f>
        <v>0</v>
      </c>
      <c r="W485">
        <f>AND(IF(Metadata!D485="",FALSE,TRUE),exact(Metadata!D485,"m"))</f>
        <v>0</v>
      </c>
      <c r="X485">
        <f>AND(IF(Metadata!E485="",FALSE,TRUE),OR(exact(Metadata!E485,"aerosol (non-saline)"),exact(Metadata!E485,"aerosol (saline)")))</f>
        <v>0</v>
      </c>
      <c r="Y485">
        <f>AND(IF(Metadata!F485="",FALSE,TRUE),exact(Metadata!F485,"air"))</f>
        <v>0</v>
      </c>
      <c r="Z485">
        <f>AND(IF(Metadata!G485="",FALSE,TRUE),exact(Metadata!G485,"air"))</f>
        <v>0</v>
      </c>
      <c r="AA485">
        <f>AND(IF(Metadata!H485="",FALSE,TRUE),exact(Metadata!H485,"air"))</f>
        <v>0</v>
      </c>
      <c r="AB485">
        <f>AND(IF(Metadata!I485="",FALSE,TRUE),exact(Metadata!I485,"air metagenome"))</f>
        <v>0</v>
      </c>
      <c r="AC485">
        <f>AND(IF(Metadata!J485="",FALSE,TRUE),exact(Metadata!J485,"655179"))</f>
        <v>0</v>
      </c>
    </row>
    <row r="486" spans="1:29">
      <c r="A486" s="5">
        <f>IF(B486=" "," ",HYPERLINK(CONCATENATE("#metadata!",ADDRESS(INDEX($P$2:$P$1001,MATCH(ROWS($N$2:N486),$N$2:$N$1001,0),0),1)),INDEX($S$2:$S$1001,MATCH(ROWS($N$2:N486),$N$2:$N$1001,0),0)))</f>
        <v>0</v>
      </c>
      <c r="B486" s="4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4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4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4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4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4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4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4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4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OR(AND(IF(Metadata!C486="",FALSE,TRUE),OR(exact(Metadata!C486,"not applicable"),exact(Metadata!C486,"not collected"),exact(Metadata!C486,"not provided"),exact(Metadata!C486,"restricted access"))),IF(Metadata!C486="",FALSE,ISNUMBER(VALUE(Metadata!C486))))</f>
        <v>0</v>
      </c>
      <c r="W486">
        <f>AND(IF(Metadata!D486="",FALSE,TRUE),exact(Metadata!D486,"m"))</f>
        <v>0</v>
      </c>
      <c r="X486">
        <f>AND(IF(Metadata!E486="",FALSE,TRUE),OR(exact(Metadata!E486,"aerosol (non-saline)"),exact(Metadata!E486,"aerosol (saline)")))</f>
        <v>0</v>
      </c>
      <c r="Y486">
        <f>AND(IF(Metadata!F486="",FALSE,TRUE),exact(Metadata!F486,"air"))</f>
        <v>0</v>
      </c>
      <c r="Z486">
        <f>AND(IF(Metadata!G486="",FALSE,TRUE),exact(Metadata!G486,"air"))</f>
        <v>0</v>
      </c>
      <c r="AA486">
        <f>AND(IF(Metadata!H486="",FALSE,TRUE),exact(Metadata!H486,"air"))</f>
        <v>0</v>
      </c>
      <c r="AB486">
        <f>AND(IF(Metadata!I486="",FALSE,TRUE),exact(Metadata!I486,"air metagenome"))</f>
        <v>0</v>
      </c>
      <c r="AC486">
        <f>AND(IF(Metadata!J486="",FALSE,TRUE),exact(Metadata!J486,"655179"))</f>
        <v>0</v>
      </c>
    </row>
    <row r="487" spans="1:29">
      <c r="A487" s="5">
        <f>IF(B487=" "," ",HYPERLINK(CONCATENATE("#metadata!",ADDRESS(INDEX($P$2:$P$1001,MATCH(ROWS($N$2:N487),$N$2:$N$1001,0),0),1)),INDEX($S$2:$S$1001,MATCH(ROWS($N$2:N487),$N$2:$N$1001,0),0)))</f>
        <v>0</v>
      </c>
      <c r="B487" s="4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4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4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4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4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4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4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4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4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OR(AND(IF(Metadata!C487="",FALSE,TRUE),OR(exact(Metadata!C487,"not applicable"),exact(Metadata!C487,"not collected"),exact(Metadata!C487,"not provided"),exact(Metadata!C487,"restricted access"))),IF(Metadata!C487="",FALSE,ISNUMBER(VALUE(Metadata!C487))))</f>
        <v>0</v>
      </c>
      <c r="W487">
        <f>AND(IF(Metadata!D487="",FALSE,TRUE),exact(Metadata!D487,"m"))</f>
        <v>0</v>
      </c>
      <c r="X487">
        <f>AND(IF(Metadata!E487="",FALSE,TRUE),OR(exact(Metadata!E487,"aerosol (non-saline)"),exact(Metadata!E487,"aerosol (saline)")))</f>
        <v>0</v>
      </c>
      <c r="Y487">
        <f>AND(IF(Metadata!F487="",FALSE,TRUE),exact(Metadata!F487,"air"))</f>
        <v>0</v>
      </c>
      <c r="Z487">
        <f>AND(IF(Metadata!G487="",FALSE,TRUE),exact(Metadata!G487,"air"))</f>
        <v>0</v>
      </c>
      <c r="AA487">
        <f>AND(IF(Metadata!H487="",FALSE,TRUE),exact(Metadata!H487,"air"))</f>
        <v>0</v>
      </c>
      <c r="AB487">
        <f>AND(IF(Metadata!I487="",FALSE,TRUE),exact(Metadata!I487,"air metagenome"))</f>
        <v>0</v>
      </c>
      <c r="AC487">
        <f>AND(IF(Metadata!J487="",FALSE,TRUE),exact(Metadata!J487,"655179"))</f>
        <v>0</v>
      </c>
    </row>
    <row r="488" spans="1:29">
      <c r="A488" s="5">
        <f>IF(B488=" "," ",HYPERLINK(CONCATENATE("#metadata!",ADDRESS(INDEX($P$2:$P$1001,MATCH(ROWS($N$2:N488),$N$2:$N$1001,0),0),1)),INDEX($S$2:$S$1001,MATCH(ROWS($N$2:N488),$N$2:$N$1001,0),0)))</f>
        <v>0</v>
      </c>
      <c r="B488" s="4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4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4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4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4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4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4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4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4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OR(AND(IF(Metadata!C488="",FALSE,TRUE),OR(exact(Metadata!C488,"not applicable"),exact(Metadata!C488,"not collected"),exact(Metadata!C488,"not provided"),exact(Metadata!C488,"restricted access"))),IF(Metadata!C488="",FALSE,ISNUMBER(VALUE(Metadata!C488))))</f>
        <v>0</v>
      </c>
      <c r="W488">
        <f>AND(IF(Metadata!D488="",FALSE,TRUE),exact(Metadata!D488,"m"))</f>
        <v>0</v>
      </c>
      <c r="X488">
        <f>AND(IF(Metadata!E488="",FALSE,TRUE),OR(exact(Metadata!E488,"aerosol (non-saline)"),exact(Metadata!E488,"aerosol (saline)")))</f>
        <v>0</v>
      </c>
      <c r="Y488">
        <f>AND(IF(Metadata!F488="",FALSE,TRUE),exact(Metadata!F488,"air"))</f>
        <v>0</v>
      </c>
      <c r="Z488">
        <f>AND(IF(Metadata!G488="",FALSE,TRUE),exact(Metadata!G488,"air"))</f>
        <v>0</v>
      </c>
      <c r="AA488">
        <f>AND(IF(Metadata!H488="",FALSE,TRUE),exact(Metadata!H488,"air"))</f>
        <v>0</v>
      </c>
      <c r="AB488">
        <f>AND(IF(Metadata!I488="",FALSE,TRUE),exact(Metadata!I488,"air metagenome"))</f>
        <v>0</v>
      </c>
      <c r="AC488">
        <f>AND(IF(Metadata!J488="",FALSE,TRUE),exact(Metadata!J488,"655179"))</f>
        <v>0</v>
      </c>
    </row>
    <row r="489" spans="1:29">
      <c r="A489" s="5">
        <f>IF(B489=" "," ",HYPERLINK(CONCATENATE("#metadata!",ADDRESS(INDEX($P$2:$P$1001,MATCH(ROWS($N$2:N489),$N$2:$N$1001,0),0),1)),INDEX($S$2:$S$1001,MATCH(ROWS($N$2:N489),$N$2:$N$1001,0),0)))</f>
        <v>0</v>
      </c>
      <c r="B489" s="4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4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4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4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4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4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4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4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4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OR(AND(IF(Metadata!C489="",FALSE,TRUE),OR(exact(Metadata!C489,"not applicable"),exact(Metadata!C489,"not collected"),exact(Metadata!C489,"not provided"),exact(Metadata!C489,"restricted access"))),IF(Metadata!C489="",FALSE,ISNUMBER(VALUE(Metadata!C489))))</f>
        <v>0</v>
      </c>
      <c r="W489">
        <f>AND(IF(Metadata!D489="",FALSE,TRUE),exact(Metadata!D489,"m"))</f>
        <v>0</v>
      </c>
      <c r="X489">
        <f>AND(IF(Metadata!E489="",FALSE,TRUE),OR(exact(Metadata!E489,"aerosol (non-saline)"),exact(Metadata!E489,"aerosol (saline)")))</f>
        <v>0</v>
      </c>
      <c r="Y489">
        <f>AND(IF(Metadata!F489="",FALSE,TRUE),exact(Metadata!F489,"air"))</f>
        <v>0</v>
      </c>
      <c r="Z489">
        <f>AND(IF(Metadata!G489="",FALSE,TRUE),exact(Metadata!G489,"air"))</f>
        <v>0</v>
      </c>
      <c r="AA489">
        <f>AND(IF(Metadata!H489="",FALSE,TRUE),exact(Metadata!H489,"air"))</f>
        <v>0</v>
      </c>
      <c r="AB489">
        <f>AND(IF(Metadata!I489="",FALSE,TRUE),exact(Metadata!I489,"air metagenome"))</f>
        <v>0</v>
      </c>
      <c r="AC489">
        <f>AND(IF(Metadata!J489="",FALSE,TRUE),exact(Metadata!J489,"655179"))</f>
        <v>0</v>
      </c>
    </row>
    <row r="490" spans="1:29">
      <c r="A490" s="5">
        <f>IF(B490=" "," ",HYPERLINK(CONCATENATE("#metadata!",ADDRESS(INDEX($P$2:$P$1001,MATCH(ROWS($N$2:N490),$N$2:$N$1001,0),0),1)),INDEX($S$2:$S$1001,MATCH(ROWS($N$2:N490),$N$2:$N$1001,0),0)))</f>
        <v>0</v>
      </c>
      <c r="B490" s="4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4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4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4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4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4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4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4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4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OR(AND(IF(Metadata!C490="",FALSE,TRUE),OR(exact(Metadata!C490,"not applicable"),exact(Metadata!C490,"not collected"),exact(Metadata!C490,"not provided"),exact(Metadata!C490,"restricted access"))),IF(Metadata!C490="",FALSE,ISNUMBER(VALUE(Metadata!C490))))</f>
        <v>0</v>
      </c>
      <c r="W490">
        <f>AND(IF(Metadata!D490="",FALSE,TRUE),exact(Metadata!D490,"m"))</f>
        <v>0</v>
      </c>
      <c r="X490">
        <f>AND(IF(Metadata!E490="",FALSE,TRUE),OR(exact(Metadata!E490,"aerosol (non-saline)"),exact(Metadata!E490,"aerosol (saline)")))</f>
        <v>0</v>
      </c>
      <c r="Y490">
        <f>AND(IF(Metadata!F490="",FALSE,TRUE),exact(Metadata!F490,"air"))</f>
        <v>0</v>
      </c>
      <c r="Z490">
        <f>AND(IF(Metadata!G490="",FALSE,TRUE),exact(Metadata!G490,"air"))</f>
        <v>0</v>
      </c>
      <c r="AA490">
        <f>AND(IF(Metadata!H490="",FALSE,TRUE),exact(Metadata!H490,"air"))</f>
        <v>0</v>
      </c>
      <c r="AB490">
        <f>AND(IF(Metadata!I490="",FALSE,TRUE),exact(Metadata!I490,"air metagenome"))</f>
        <v>0</v>
      </c>
      <c r="AC490">
        <f>AND(IF(Metadata!J490="",FALSE,TRUE),exact(Metadata!J490,"655179"))</f>
        <v>0</v>
      </c>
    </row>
    <row r="491" spans="1:29">
      <c r="A491" s="5">
        <f>IF(B491=" "," ",HYPERLINK(CONCATENATE("#metadata!",ADDRESS(INDEX($P$2:$P$1001,MATCH(ROWS($N$2:N491),$N$2:$N$1001,0),0),1)),INDEX($S$2:$S$1001,MATCH(ROWS($N$2:N491),$N$2:$N$1001,0),0)))</f>
        <v>0</v>
      </c>
      <c r="B491" s="4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4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4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4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4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4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4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4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4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OR(AND(IF(Metadata!C491="",FALSE,TRUE),OR(exact(Metadata!C491,"not applicable"),exact(Metadata!C491,"not collected"),exact(Metadata!C491,"not provided"),exact(Metadata!C491,"restricted access"))),IF(Metadata!C491="",FALSE,ISNUMBER(VALUE(Metadata!C491))))</f>
        <v>0</v>
      </c>
      <c r="W491">
        <f>AND(IF(Metadata!D491="",FALSE,TRUE),exact(Metadata!D491,"m"))</f>
        <v>0</v>
      </c>
      <c r="X491">
        <f>AND(IF(Metadata!E491="",FALSE,TRUE),OR(exact(Metadata!E491,"aerosol (non-saline)"),exact(Metadata!E491,"aerosol (saline)")))</f>
        <v>0</v>
      </c>
      <c r="Y491">
        <f>AND(IF(Metadata!F491="",FALSE,TRUE),exact(Metadata!F491,"air"))</f>
        <v>0</v>
      </c>
      <c r="Z491">
        <f>AND(IF(Metadata!G491="",FALSE,TRUE),exact(Metadata!G491,"air"))</f>
        <v>0</v>
      </c>
      <c r="AA491">
        <f>AND(IF(Metadata!H491="",FALSE,TRUE),exact(Metadata!H491,"air"))</f>
        <v>0</v>
      </c>
      <c r="AB491">
        <f>AND(IF(Metadata!I491="",FALSE,TRUE),exact(Metadata!I491,"air metagenome"))</f>
        <v>0</v>
      </c>
      <c r="AC491">
        <f>AND(IF(Metadata!J491="",FALSE,TRUE),exact(Metadata!J491,"655179"))</f>
        <v>0</v>
      </c>
    </row>
    <row r="492" spans="1:29">
      <c r="A492" s="5">
        <f>IF(B492=" "," ",HYPERLINK(CONCATENATE("#metadata!",ADDRESS(INDEX($P$2:$P$1001,MATCH(ROWS($N$2:N492),$N$2:$N$1001,0),0),1)),INDEX($S$2:$S$1001,MATCH(ROWS($N$2:N492),$N$2:$N$1001,0),0)))</f>
        <v>0</v>
      </c>
      <c r="B492" s="4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4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4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4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4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4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4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4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4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OR(AND(IF(Metadata!C492="",FALSE,TRUE),OR(exact(Metadata!C492,"not applicable"),exact(Metadata!C492,"not collected"),exact(Metadata!C492,"not provided"),exact(Metadata!C492,"restricted access"))),IF(Metadata!C492="",FALSE,ISNUMBER(VALUE(Metadata!C492))))</f>
        <v>0</v>
      </c>
      <c r="W492">
        <f>AND(IF(Metadata!D492="",FALSE,TRUE),exact(Metadata!D492,"m"))</f>
        <v>0</v>
      </c>
      <c r="X492">
        <f>AND(IF(Metadata!E492="",FALSE,TRUE),OR(exact(Metadata!E492,"aerosol (non-saline)"),exact(Metadata!E492,"aerosol (saline)")))</f>
        <v>0</v>
      </c>
      <c r="Y492">
        <f>AND(IF(Metadata!F492="",FALSE,TRUE),exact(Metadata!F492,"air"))</f>
        <v>0</v>
      </c>
      <c r="Z492">
        <f>AND(IF(Metadata!G492="",FALSE,TRUE),exact(Metadata!G492,"air"))</f>
        <v>0</v>
      </c>
      <c r="AA492">
        <f>AND(IF(Metadata!H492="",FALSE,TRUE),exact(Metadata!H492,"air"))</f>
        <v>0</v>
      </c>
      <c r="AB492">
        <f>AND(IF(Metadata!I492="",FALSE,TRUE),exact(Metadata!I492,"air metagenome"))</f>
        <v>0</v>
      </c>
      <c r="AC492">
        <f>AND(IF(Metadata!J492="",FALSE,TRUE),exact(Metadata!J492,"655179"))</f>
        <v>0</v>
      </c>
    </row>
    <row r="493" spans="1:29">
      <c r="A493" s="5">
        <f>IF(B493=" "," ",HYPERLINK(CONCATENATE("#metadata!",ADDRESS(INDEX($P$2:$P$1001,MATCH(ROWS($N$2:N493),$N$2:$N$1001,0),0),1)),INDEX($S$2:$S$1001,MATCH(ROWS($N$2:N493),$N$2:$N$1001,0),0)))</f>
        <v>0</v>
      </c>
      <c r="B493" s="4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4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4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4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4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4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4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4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4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OR(AND(IF(Metadata!C493="",FALSE,TRUE),OR(exact(Metadata!C493,"not applicable"),exact(Metadata!C493,"not collected"),exact(Metadata!C493,"not provided"),exact(Metadata!C493,"restricted access"))),IF(Metadata!C493="",FALSE,ISNUMBER(VALUE(Metadata!C493))))</f>
        <v>0</v>
      </c>
      <c r="W493">
        <f>AND(IF(Metadata!D493="",FALSE,TRUE),exact(Metadata!D493,"m"))</f>
        <v>0</v>
      </c>
      <c r="X493">
        <f>AND(IF(Metadata!E493="",FALSE,TRUE),OR(exact(Metadata!E493,"aerosol (non-saline)"),exact(Metadata!E493,"aerosol (saline)")))</f>
        <v>0</v>
      </c>
      <c r="Y493">
        <f>AND(IF(Metadata!F493="",FALSE,TRUE),exact(Metadata!F493,"air"))</f>
        <v>0</v>
      </c>
      <c r="Z493">
        <f>AND(IF(Metadata!G493="",FALSE,TRUE),exact(Metadata!G493,"air"))</f>
        <v>0</v>
      </c>
      <c r="AA493">
        <f>AND(IF(Metadata!H493="",FALSE,TRUE),exact(Metadata!H493,"air"))</f>
        <v>0</v>
      </c>
      <c r="AB493">
        <f>AND(IF(Metadata!I493="",FALSE,TRUE),exact(Metadata!I493,"air metagenome"))</f>
        <v>0</v>
      </c>
      <c r="AC493">
        <f>AND(IF(Metadata!J493="",FALSE,TRUE),exact(Metadata!J493,"655179"))</f>
        <v>0</v>
      </c>
    </row>
    <row r="494" spans="1:29">
      <c r="A494" s="5">
        <f>IF(B494=" "," ",HYPERLINK(CONCATENATE("#metadata!",ADDRESS(INDEX($P$2:$P$1001,MATCH(ROWS($N$2:N494),$N$2:$N$1001,0),0),1)),INDEX($S$2:$S$1001,MATCH(ROWS($N$2:N494),$N$2:$N$1001,0),0)))</f>
        <v>0</v>
      </c>
      <c r="B494" s="4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4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4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4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4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4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4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4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4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OR(AND(IF(Metadata!C494="",FALSE,TRUE),OR(exact(Metadata!C494,"not applicable"),exact(Metadata!C494,"not collected"),exact(Metadata!C494,"not provided"),exact(Metadata!C494,"restricted access"))),IF(Metadata!C494="",FALSE,ISNUMBER(VALUE(Metadata!C494))))</f>
        <v>0</v>
      </c>
      <c r="W494">
        <f>AND(IF(Metadata!D494="",FALSE,TRUE),exact(Metadata!D494,"m"))</f>
        <v>0</v>
      </c>
      <c r="X494">
        <f>AND(IF(Metadata!E494="",FALSE,TRUE),OR(exact(Metadata!E494,"aerosol (non-saline)"),exact(Metadata!E494,"aerosol (saline)")))</f>
        <v>0</v>
      </c>
      <c r="Y494">
        <f>AND(IF(Metadata!F494="",FALSE,TRUE),exact(Metadata!F494,"air"))</f>
        <v>0</v>
      </c>
      <c r="Z494">
        <f>AND(IF(Metadata!G494="",FALSE,TRUE),exact(Metadata!G494,"air"))</f>
        <v>0</v>
      </c>
      <c r="AA494">
        <f>AND(IF(Metadata!H494="",FALSE,TRUE),exact(Metadata!H494,"air"))</f>
        <v>0</v>
      </c>
      <c r="AB494">
        <f>AND(IF(Metadata!I494="",FALSE,TRUE),exact(Metadata!I494,"air metagenome"))</f>
        <v>0</v>
      </c>
      <c r="AC494">
        <f>AND(IF(Metadata!J494="",FALSE,TRUE),exact(Metadata!J494,"655179"))</f>
        <v>0</v>
      </c>
    </row>
    <row r="495" spans="1:29">
      <c r="A495" s="5">
        <f>IF(B495=" "," ",HYPERLINK(CONCATENATE("#metadata!",ADDRESS(INDEX($P$2:$P$1001,MATCH(ROWS($N$2:N495),$N$2:$N$1001,0),0),1)),INDEX($S$2:$S$1001,MATCH(ROWS($N$2:N495),$N$2:$N$1001,0),0)))</f>
        <v>0</v>
      </c>
      <c r="B495" s="4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4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4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4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4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4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4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4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4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OR(AND(IF(Metadata!C495="",FALSE,TRUE),OR(exact(Metadata!C495,"not applicable"),exact(Metadata!C495,"not collected"),exact(Metadata!C495,"not provided"),exact(Metadata!C495,"restricted access"))),IF(Metadata!C495="",FALSE,ISNUMBER(VALUE(Metadata!C495))))</f>
        <v>0</v>
      </c>
      <c r="W495">
        <f>AND(IF(Metadata!D495="",FALSE,TRUE),exact(Metadata!D495,"m"))</f>
        <v>0</v>
      </c>
      <c r="X495">
        <f>AND(IF(Metadata!E495="",FALSE,TRUE),OR(exact(Metadata!E495,"aerosol (non-saline)"),exact(Metadata!E495,"aerosol (saline)")))</f>
        <v>0</v>
      </c>
      <c r="Y495">
        <f>AND(IF(Metadata!F495="",FALSE,TRUE),exact(Metadata!F495,"air"))</f>
        <v>0</v>
      </c>
      <c r="Z495">
        <f>AND(IF(Metadata!G495="",FALSE,TRUE),exact(Metadata!G495,"air"))</f>
        <v>0</v>
      </c>
      <c r="AA495">
        <f>AND(IF(Metadata!H495="",FALSE,TRUE),exact(Metadata!H495,"air"))</f>
        <v>0</v>
      </c>
      <c r="AB495">
        <f>AND(IF(Metadata!I495="",FALSE,TRUE),exact(Metadata!I495,"air metagenome"))</f>
        <v>0</v>
      </c>
      <c r="AC495">
        <f>AND(IF(Metadata!J495="",FALSE,TRUE),exact(Metadata!J495,"655179"))</f>
        <v>0</v>
      </c>
    </row>
    <row r="496" spans="1:29">
      <c r="A496" s="5">
        <f>IF(B496=" "," ",HYPERLINK(CONCATENATE("#metadata!",ADDRESS(INDEX($P$2:$P$1001,MATCH(ROWS($N$2:N496),$N$2:$N$1001,0),0),1)),INDEX($S$2:$S$1001,MATCH(ROWS($N$2:N496),$N$2:$N$1001,0),0)))</f>
        <v>0</v>
      </c>
      <c r="B496" s="4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4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4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4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4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4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4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4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4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OR(AND(IF(Metadata!C496="",FALSE,TRUE),OR(exact(Metadata!C496,"not applicable"),exact(Metadata!C496,"not collected"),exact(Metadata!C496,"not provided"),exact(Metadata!C496,"restricted access"))),IF(Metadata!C496="",FALSE,ISNUMBER(VALUE(Metadata!C496))))</f>
        <v>0</v>
      </c>
      <c r="W496">
        <f>AND(IF(Metadata!D496="",FALSE,TRUE),exact(Metadata!D496,"m"))</f>
        <v>0</v>
      </c>
      <c r="X496">
        <f>AND(IF(Metadata!E496="",FALSE,TRUE),OR(exact(Metadata!E496,"aerosol (non-saline)"),exact(Metadata!E496,"aerosol (saline)")))</f>
        <v>0</v>
      </c>
      <c r="Y496">
        <f>AND(IF(Metadata!F496="",FALSE,TRUE),exact(Metadata!F496,"air"))</f>
        <v>0</v>
      </c>
      <c r="Z496">
        <f>AND(IF(Metadata!G496="",FALSE,TRUE),exact(Metadata!G496,"air"))</f>
        <v>0</v>
      </c>
      <c r="AA496">
        <f>AND(IF(Metadata!H496="",FALSE,TRUE),exact(Metadata!H496,"air"))</f>
        <v>0</v>
      </c>
      <c r="AB496">
        <f>AND(IF(Metadata!I496="",FALSE,TRUE),exact(Metadata!I496,"air metagenome"))</f>
        <v>0</v>
      </c>
      <c r="AC496">
        <f>AND(IF(Metadata!J496="",FALSE,TRUE),exact(Metadata!J496,"655179"))</f>
        <v>0</v>
      </c>
    </row>
    <row r="497" spans="1:29">
      <c r="A497" s="5">
        <f>IF(B497=" "," ",HYPERLINK(CONCATENATE("#metadata!",ADDRESS(INDEX($P$2:$P$1001,MATCH(ROWS($N$2:N497),$N$2:$N$1001,0),0),1)),INDEX($S$2:$S$1001,MATCH(ROWS($N$2:N497),$N$2:$N$1001,0),0)))</f>
        <v>0</v>
      </c>
      <c r="B497" s="4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4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4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4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4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4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4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4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4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OR(AND(IF(Metadata!C497="",FALSE,TRUE),OR(exact(Metadata!C497,"not applicable"),exact(Metadata!C497,"not collected"),exact(Metadata!C497,"not provided"),exact(Metadata!C497,"restricted access"))),IF(Metadata!C497="",FALSE,ISNUMBER(VALUE(Metadata!C497))))</f>
        <v>0</v>
      </c>
      <c r="W497">
        <f>AND(IF(Metadata!D497="",FALSE,TRUE),exact(Metadata!D497,"m"))</f>
        <v>0</v>
      </c>
      <c r="X497">
        <f>AND(IF(Metadata!E497="",FALSE,TRUE),OR(exact(Metadata!E497,"aerosol (non-saline)"),exact(Metadata!E497,"aerosol (saline)")))</f>
        <v>0</v>
      </c>
      <c r="Y497">
        <f>AND(IF(Metadata!F497="",FALSE,TRUE),exact(Metadata!F497,"air"))</f>
        <v>0</v>
      </c>
      <c r="Z497">
        <f>AND(IF(Metadata!G497="",FALSE,TRUE),exact(Metadata!G497,"air"))</f>
        <v>0</v>
      </c>
      <c r="AA497">
        <f>AND(IF(Metadata!H497="",FALSE,TRUE),exact(Metadata!H497,"air"))</f>
        <v>0</v>
      </c>
      <c r="AB497">
        <f>AND(IF(Metadata!I497="",FALSE,TRUE),exact(Metadata!I497,"air metagenome"))</f>
        <v>0</v>
      </c>
      <c r="AC497">
        <f>AND(IF(Metadata!J497="",FALSE,TRUE),exact(Metadata!J497,"655179"))</f>
        <v>0</v>
      </c>
    </row>
    <row r="498" spans="1:29">
      <c r="A498" s="5">
        <f>IF(B498=" "," ",HYPERLINK(CONCATENATE("#metadata!",ADDRESS(INDEX($P$2:$P$1001,MATCH(ROWS($N$2:N498),$N$2:$N$1001,0),0),1)),INDEX($S$2:$S$1001,MATCH(ROWS($N$2:N498),$N$2:$N$1001,0),0)))</f>
        <v>0</v>
      </c>
      <c r="B498" s="4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4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4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4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4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4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4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4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4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OR(AND(IF(Metadata!C498="",FALSE,TRUE),OR(exact(Metadata!C498,"not applicable"),exact(Metadata!C498,"not collected"),exact(Metadata!C498,"not provided"),exact(Metadata!C498,"restricted access"))),IF(Metadata!C498="",FALSE,ISNUMBER(VALUE(Metadata!C498))))</f>
        <v>0</v>
      </c>
      <c r="W498">
        <f>AND(IF(Metadata!D498="",FALSE,TRUE),exact(Metadata!D498,"m"))</f>
        <v>0</v>
      </c>
      <c r="X498">
        <f>AND(IF(Metadata!E498="",FALSE,TRUE),OR(exact(Metadata!E498,"aerosol (non-saline)"),exact(Metadata!E498,"aerosol (saline)")))</f>
        <v>0</v>
      </c>
      <c r="Y498">
        <f>AND(IF(Metadata!F498="",FALSE,TRUE),exact(Metadata!F498,"air"))</f>
        <v>0</v>
      </c>
      <c r="Z498">
        <f>AND(IF(Metadata!G498="",FALSE,TRUE),exact(Metadata!G498,"air"))</f>
        <v>0</v>
      </c>
      <c r="AA498">
        <f>AND(IF(Metadata!H498="",FALSE,TRUE),exact(Metadata!H498,"air"))</f>
        <v>0</v>
      </c>
      <c r="AB498">
        <f>AND(IF(Metadata!I498="",FALSE,TRUE),exact(Metadata!I498,"air metagenome"))</f>
        <v>0</v>
      </c>
      <c r="AC498">
        <f>AND(IF(Metadata!J498="",FALSE,TRUE),exact(Metadata!J498,"655179"))</f>
        <v>0</v>
      </c>
    </row>
    <row r="499" spans="1:29">
      <c r="A499" s="5">
        <f>IF(B499=" "," ",HYPERLINK(CONCATENATE("#metadata!",ADDRESS(INDEX($P$2:$P$1001,MATCH(ROWS($N$2:N499),$N$2:$N$1001,0),0),1)),INDEX($S$2:$S$1001,MATCH(ROWS($N$2:N499),$N$2:$N$1001,0),0)))</f>
        <v>0</v>
      </c>
      <c r="B499" s="4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4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4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4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4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4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4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4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4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OR(AND(IF(Metadata!C499="",FALSE,TRUE),OR(exact(Metadata!C499,"not applicable"),exact(Metadata!C499,"not collected"),exact(Metadata!C499,"not provided"),exact(Metadata!C499,"restricted access"))),IF(Metadata!C499="",FALSE,ISNUMBER(VALUE(Metadata!C499))))</f>
        <v>0</v>
      </c>
      <c r="W499">
        <f>AND(IF(Metadata!D499="",FALSE,TRUE),exact(Metadata!D499,"m"))</f>
        <v>0</v>
      </c>
      <c r="X499">
        <f>AND(IF(Metadata!E499="",FALSE,TRUE),OR(exact(Metadata!E499,"aerosol (non-saline)"),exact(Metadata!E499,"aerosol (saline)")))</f>
        <v>0</v>
      </c>
      <c r="Y499">
        <f>AND(IF(Metadata!F499="",FALSE,TRUE),exact(Metadata!F499,"air"))</f>
        <v>0</v>
      </c>
      <c r="Z499">
        <f>AND(IF(Metadata!G499="",FALSE,TRUE),exact(Metadata!G499,"air"))</f>
        <v>0</v>
      </c>
      <c r="AA499">
        <f>AND(IF(Metadata!H499="",FALSE,TRUE),exact(Metadata!H499,"air"))</f>
        <v>0</v>
      </c>
      <c r="AB499">
        <f>AND(IF(Metadata!I499="",FALSE,TRUE),exact(Metadata!I499,"air metagenome"))</f>
        <v>0</v>
      </c>
      <c r="AC499">
        <f>AND(IF(Metadata!J499="",FALSE,TRUE),exact(Metadata!J499,"655179"))</f>
        <v>0</v>
      </c>
    </row>
    <row r="500" spans="1:29">
      <c r="A500" s="5">
        <f>IF(B500=" "," ",HYPERLINK(CONCATENATE("#metadata!",ADDRESS(INDEX($P$2:$P$1001,MATCH(ROWS($N$2:N500),$N$2:$N$1001,0),0),1)),INDEX($S$2:$S$1001,MATCH(ROWS($N$2:N500),$N$2:$N$1001,0),0)))</f>
        <v>0</v>
      </c>
      <c r="B500" s="4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4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4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4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4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4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4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4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4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OR(AND(IF(Metadata!C500="",FALSE,TRUE),OR(exact(Metadata!C500,"not applicable"),exact(Metadata!C500,"not collected"),exact(Metadata!C500,"not provided"),exact(Metadata!C500,"restricted access"))),IF(Metadata!C500="",FALSE,ISNUMBER(VALUE(Metadata!C500))))</f>
        <v>0</v>
      </c>
      <c r="W500">
        <f>AND(IF(Metadata!D500="",FALSE,TRUE),exact(Metadata!D500,"m"))</f>
        <v>0</v>
      </c>
      <c r="X500">
        <f>AND(IF(Metadata!E500="",FALSE,TRUE),OR(exact(Metadata!E500,"aerosol (non-saline)"),exact(Metadata!E500,"aerosol (saline)")))</f>
        <v>0</v>
      </c>
      <c r="Y500">
        <f>AND(IF(Metadata!F500="",FALSE,TRUE),exact(Metadata!F500,"air"))</f>
        <v>0</v>
      </c>
      <c r="Z500">
        <f>AND(IF(Metadata!G500="",FALSE,TRUE),exact(Metadata!G500,"air"))</f>
        <v>0</v>
      </c>
      <c r="AA500">
        <f>AND(IF(Metadata!H500="",FALSE,TRUE),exact(Metadata!H500,"air"))</f>
        <v>0</v>
      </c>
      <c r="AB500">
        <f>AND(IF(Metadata!I500="",FALSE,TRUE),exact(Metadata!I500,"air metagenome"))</f>
        <v>0</v>
      </c>
      <c r="AC500">
        <f>AND(IF(Metadata!J500="",FALSE,TRUE),exact(Metadata!J500,"655179"))</f>
        <v>0</v>
      </c>
    </row>
    <row r="501" spans="1:29">
      <c r="A501" s="5">
        <f>IF(B501=" "," ",HYPERLINK(CONCATENATE("#metadata!",ADDRESS(INDEX($P$2:$P$1001,MATCH(ROWS($N$2:N501),$N$2:$N$1001,0),0),1)),INDEX($S$2:$S$1001,MATCH(ROWS($N$2:N501),$N$2:$N$1001,0),0)))</f>
        <v>0</v>
      </c>
      <c r="B501" s="4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4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4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4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4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4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4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4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4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OR(AND(IF(Metadata!C501="",FALSE,TRUE),OR(exact(Metadata!C501,"not applicable"),exact(Metadata!C501,"not collected"),exact(Metadata!C501,"not provided"),exact(Metadata!C501,"restricted access"))),IF(Metadata!C501="",FALSE,ISNUMBER(VALUE(Metadata!C501))))</f>
        <v>0</v>
      </c>
      <c r="W501">
        <f>AND(IF(Metadata!D501="",FALSE,TRUE),exact(Metadata!D501,"m"))</f>
        <v>0</v>
      </c>
      <c r="X501">
        <f>AND(IF(Metadata!E501="",FALSE,TRUE),OR(exact(Metadata!E501,"aerosol (non-saline)"),exact(Metadata!E501,"aerosol (saline)")))</f>
        <v>0</v>
      </c>
      <c r="Y501">
        <f>AND(IF(Metadata!F501="",FALSE,TRUE),exact(Metadata!F501,"air"))</f>
        <v>0</v>
      </c>
      <c r="Z501">
        <f>AND(IF(Metadata!G501="",FALSE,TRUE),exact(Metadata!G501,"air"))</f>
        <v>0</v>
      </c>
      <c r="AA501">
        <f>AND(IF(Metadata!H501="",FALSE,TRUE),exact(Metadata!H501,"air"))</f>
        <v>0</v>
      </c>
      <c r="AB501">
        <f>AND(IF(Metadata!I501="",FALSE,TRUE),exact(Metadata!I501,"air metagenome"))</f>
        <v>0</v>
      </c>
      <c r="AC501">
        <f>AND(IF(Metadata!J501="",FALSE,TRUE),exact(Metadata!J501,"655179"))</f>
        <v>0</v>
      </c>
    </row>
    <row r="502" spans="1:29">
      <c r="A502" s="5">
        <f>IF(B502=" "," ",HYPERLINK(CONCATENATE("#metadata!",ADDRESS(INDEX($P$2:$P$1001,MATCH(ROWS($N$2:N502),$N$2:$N$1001,0),0),1)),INDEX($S$2:$S$1001,MATCH(ROWS($N$2:N502),$N$2:$N$1001,0),0)))</f>
        <v>0</v>
      </c>
      <c r="B502" s="4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4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4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4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4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4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4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4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4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OR(AND(IF(Metadata!C502="",FALSE,TRUE),OR(exact(Metadata!C502,"not applicable"),exact(Metadata!C502,"not collected"),exact(Metadata!C502,"not provided"),exact(Metadata!C502,"restricted access"))),IF(Metadata!C502="",FALSE,ISNUMBER(VALUE(Metadata!C502))))</f>
        <v>0</v>
      </c>
      <c r="W502">
        <f>AND(IF(Metadata!D502="",FALSE,TRUE),exact(Metadata!D502,"m"))</f>
        <v>0</v>
      </c>
      <c r="X502">
        <f>AND(IF(Metadata!E502="",FALSE,TRUE),OR(exact(Metadata!E502,"aerosol (non-saline)"),exact(Metadata!E502,"aerosol (saline)")))</f>
        <v>0</v>
      </c>
      <c r="Y502">
        <f>AND(IF(Metadata!F502="",FALSE,TRUE),exact(Metadata!F502,"air"))</f>
        <v>0</v>
      </c>
      <c r="Z502">
        <f>AND(IF(Metadata!G502="",FALSE,TRUE),exact(Metadata!G502,"air"))</f>
        <v>0</v>
      </c>
      <c r="AA502">
        <f>AND(IF(Metadata!H502="",FALSE,TRUE),exact(Metadata!H502,"air"))</f>
        <v>0</v>
      </c>
      <c r="AB502">
        <f>AND(IF(Metadata!I502="",FALSE,TRUE),exact(Metadata!I502,"air metagenome"))</f>
        <v>0</v>
      </c>
      <c r="AC502">
        <f>AND(IF(Metadata!J502="",FALSE,TRUE),exact(Metadata!J502,"655179"))</f>
        <v>0</v>
      </c>
    </row>
    <row r="503" spans="1:29">
      <c r="A503" s="5">
        <f>IF(B503=" "," ",HYPERLINK(CONCATENATE("#metadata!",ADDRESS(INDEX($P$2:$P$1001,MATCH(ROWS($N$2:N503),$N$2:$N$1001,0),0),1)),INDEX($S$2:$S$1001,MATCH(ROWS($N$2:N503),$N$2:$N$1001,0),0)))</f>
        <v>0</v>
      </c>
      <c r="B503" s="4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4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4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4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4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4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4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4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4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OR(AND(IF(Metadata!C503="",FALSE,TRUE),OR(exact(Metadata!C503,"not applicable"),exact(Metadata!C503,"not collected"),exact(Metadata!C503,"not provided"),exact(Metadata!C503,"restricted access"))),IF(Metadata!C503="",FALSE,ISNUMBER(VALUE(Metadata!C503))))</f>
        <v>0</v>
      </c>
      <c r="W503">
        <f>AND(IF(Metadata!D503="",FALSE,TRUE),exact(Metadata!D503,"m"))</f>
        <v>0</v>
      </c>
      <c r="X503">
        <f>AND(IF(Metadata!E503="",FALSE,TRUE),OR(exact(Metadata!E503,"aerosol (non-saline)"),exact(Metadata!E503,"aerosol (saline)")))</f>
        <v>0</v>
      </c>
      <c r="Y503">
        <f>AND(IF(Metadata!F503="",FALSE,TRUE),exact(Metadata!F503,"air"))</f>
        <v>0</v>
      </c>
      <c r="Z503">
        <f>AND(IF(Metadata!G503="",FALSE,TRUE),exact(Metadata!G503,"air"))</f>
        <v>0</v>
      </c>
      <c r="AA503">
        <f>AND(IF(Metadata!H503="",FALSE,TRUE),exact(Metadata!H503,"air"))</f>
        <v>0</v>
      </c>
      <c r="AB503">
        <f>AND(IF(Metadata!I503="",FALSE,TRUE),exact(Metadata!I503,"air metagenome"))</f>
        <v>0</v>
      </c>
      <c r="AC503">
        <f>AND(IF(Metadata!J503="",FALSE,TRUE),exact(Metadata!J503,"655179"))</f>
        <v>0</v>
      </c>
    </row>
    <row r="504" spans="1:29">
      <c r="A504" s="5">
        <f>IF(B504=" "," ",HYPERLINK(CONCATENATE("#metadata!",ADDRESS(INDEX($P$2:$P$1001,MATCH(ROWS($N$2:N504),$N$2:$N$1001,0),0),1)),INDEX($S$2:$S$1001,MATCH(ROWS($N$2:N504),$N$2:$N$1001,0),0)))</f>
        <v>0</v>
      </c>
      <c r="B504" s="4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4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4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4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4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4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4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4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4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OR(AND(IF(Metadata!C504="",FALSE,TRUE),OR(exact(Metadata!C504,"not applicable"),exact(Metadata!C504,"not collected"),exact(Metadata!C504,"not provided"),exact(Metadata!C504,"restricted access"))),IF(Metadata!C504="",FALSE,ISNUMBER(VALUE(Metadata!C504))))</f>
        <v>0</v>
      </c>
      <c r="W504">
        <f>AND(IF(Metadata!D504="",FALSE,TRUE),exact(Metadata!D504,"m"))</f>
        <v>0</v>
      </c>
      <c r="X504">
        <f>AND(IF(Metadata!E504="",FALSE,TRUE),OR(exact(Metadata!E504,"aerosol (non-saline)"),exact(Metadata!E504,"aerosol (saline)")))</f>
        <v>0</v>
      </c>
      <c r="Y504">
        <f>AND(IF(Metadata!F504="",FALSE,TRUE),exact(Metadata!F504,"air"))</f>
        <v>0</v>
      </c>
      <c r="Z504">
        <f>AND(IF(Metadata!G504="",FALSE,TRUE),exact(Metadata!G504,"air"))</f>
        <v>0</v>
      </c>
      <c r="AA504">
        <f>AND(IF(Metadata!H504="",FALSE,TRUE),exact(Metadata!H504,"air"))</f>
        <v>0</v>
      </c>
      <c r="AB504">
        <f>AND(IF(Metadata!I504="",FALSE,TRUE),exact(Metadata!I504,"air metagenome"))</f>
        <v>0</v>
      </c>
      <c r="AC504">
        <f>AND(IF(Metadata!J504="",FALSE,TRUE),exact(Metadata!J504,"655179"))</f>
        <v>0</v>
      </c>
    </row>
    <row r="505" spans="1:29">
      <c r="A505" s="5">
        <f>IF(B505=" "," ",HYPERLINK(CONCATENATE("#metadata!",ADDRESS(INDEX($P$2:$P$1001,MATCH(ROWS($N$2:N505),$N$2:$N$1001,0),0),1)),INDEX($S$2:$S$1001,MATCH(ROWS($N$2:N505),$N$2:$N$1001,0),0)))</f>
        <v>0</v>
      </c>
      <c r="B505" s="4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4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4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4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4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4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4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4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4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OR(AND(IF(Metadata!C505="",FALSE,TRUE),OR(exact(Metadata!C505,"not applicable"),exact(Metadata!C505,"not collected"),exact(Metadata!C505,"not provided"),exact(Metadata!C505,"restricted access"))),IF(Metadata!C505="",FALSE,ISNUMBER(VALUE(Metadata!C505))))</f>
        <v>0</v>
      </c>
      <c r="W505">
        <f>AND(IF(Metadata!D505="",FALSE,TRUE),exact(Metadata!D505,"m"))</f>
        <v>0</v>
      </c>
      <c r="X505">
        <f>AND(IF(Metadata!E505="",FALSE,TRUE),OR(exact(Metadata!E505,"aerosol (non-saline)"),exact(Metadata!E505,"aerosol (saline)")))</f>
        <v>0</v>
      </c>
      <c r="Y505">
        <f>AND(IF(Metadata!F505="",FALSE,TRUE),exact(Metadata!F505,"air"))</f>
        <v>0</v>
      </c>
      <c r="Z505">
        <f>AND(IF(Metadata!G505="",FALSE,TRUE),exact(Metadata!G505,"air"))</f>
        <v>0</v>
      </c>
      <c r="AA505">
        <f>AND(IF(Metadata!H505="",FALSE,TRUE),exact(Metadata!H505,"air"))</f>
        <v>0</v>
      </c>
      <c r="AB505">
        <f>AND(IF(Metadata!I505="",FALSE,TRUE),exact(Metadata!I505,"air metagenome"))</f>
        <v>0</v>
      </c>
      <c r="AC505">
        <f>AND(IF(Metadata!J505="",FALSE,TRUE),exact(Metadata!J505,"655179"))</f>
        <v>0</v>
      </c>
    </row>
    <row r="506" spans="1:29">
      <c r="A506" s="5">
        <f>IF(B506=" "," ",HYPERLINK(CONCATENATE("#metadata!",ADDRESS(INDEX($P$2:$P$1001,MATCH(ROWS($N$2:N506),$N$2:$N$1001,0),0),1)),INDEX($S$2:$S$1001,MATCH(ROWS($N$2:N506),$N$2:$N$1001,0),0)))</f>
        <v>0</v>
      </c>
      <c r="B506" s="4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4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4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4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4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4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4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4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4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OR(AND(IF(Metadata!C506="",FALSE,TRUE),OR(exact(Metadata!C506,"not applicable"),exact(Metadata!C506,"not collected"),exact(Metadata!C506,"not provided"),exact(Metadata!C506,"restricted access"))),IF(Metadata!C506="",FALSE,ISNUMBER(VALUE(Metadata!C506))))</f>
        <v>0</v>
      </c>
      <c r="W506">
        <f>AND(IF(Metadata!D506="",FALSE,TRUE),exact(Metadata!D506,"m"))</f>
        <v>0</v>
      </c>
      <c r="X506">
        <f>AND(IF(Metadata!E506="",FALSE,TRUE),OR(exact(Metadata!E506,"aerosol (non-saline)"),exact(Metadata!E506,"aerosol (saline)")))</f>
        <v>0</v>
      </c>
      <c r="Y506">
        <f>AND(IF(Metadata!F506="",FALSE,TRUE),exact(Metadata!F506,"air"))</f>
        <v>0</v>
      </c>
      <c r="Z506">
        <f>AND(IF(Metadata!G506="",FALSE,TRUE),exact(Metadata!G506,"air"))</f>
        <v>0</v>
      </c>
      <c r="AA506">
        <f>AND(IF(Metadata!H506="",FALSE,TRUE),exact(Metadata!H506,"air"))</f>
        <v>0</v>
      </c>
      <c r="AB506">
        <f>AND(IF(Metadata!I506="",FALSE,TRUE),exact(Metadata!I506,"air metagenome"))</f>
        <v>0</v>
      </c>
      <c r="AC506">
        <f>AND(IF(Metadata!J506="",FALSE,TRUE),exact(Metadata!J506,"655179"))</f>
        <v>0</v>
      </c>
    </row>
    <row r="507" spans="1:29">
      <c r="A507" s="5">
        <f>IF(B507=" "," ",HYPERLINK(CONCATENATE("#metadata!",ADDRESS(INDEX($P$2:$P$1001,MATCH(ROWS($N$2:N507),$N$2:$N$1001,0),0),1)),INDEX($S$2:$S$1001,MATCH(ROWS($N$2:N507),$N$2:$N$1001,0),0)))</f>
        <v>0</v>
      </c>
      <c r="B507" s="4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4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4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4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4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4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4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4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4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OR(AND(IF(Metadata!C507="",FALSE,TRUE),OR(exact(Metadata!C507,"not applicable"),exact(Metadata!C507,"not collected"),exact(Metadata!C507,"not provided"),exact(Metadata!C507,"restricted access"))),IF(Metadata!C507="",FALSE,ISNUMBER(VALUE(Metadata!C507))))</f>
        <v>0</v>
      </c>
      <c r="W507">
        <f>AND(IF(Metadata!D507="",FALSE,TRUE),exact(Metadata!D507,"m"))</f>
        <v>0</v>
      </c>
      <c r="X507">
        <f>AND(IF(Metadata!E507="",FALSE,TRUE),OR(exact(Metadata!E507,"aerosol (non-saline)"),exact(Metadata!E507,"aerosol (saline)")))</f>
        <v>0</v>
      </c>
      <c r="Y507">
        <f>AND(IF(Metadata!F507="",FALSE,TRUE),exact(Metadata!F507,"air"))</f>
        <v>0</v>
      </c>
      <c r="Z507">
        <f>AND(IF(Metadata!G507="",FALSE,TRUE),exact(Metadata!G507,"air"))</f>
        <v>0</v>
      </c>
      <c r="AA507">
        <f>AND(IF(Metadata!H507="",FALSE,TRUE),exact(Metadata!H507,"air"))</f>
        <v>0</v>
      </c>
      <c r="AB507">
        <f>AND(IF(Metadata!I507="",FALSE,TRUE),exact(Metadata!I507,"air metagenome"))</f>
        <v>0</v>
      </c>
      <c r="AC507">
        <f>AND(IF(Metadata!J507="",FALSE,TRUE),exact(Metadata!J507,"655179"))</f>
        <v>0</v>
      </c>
    </row>
    <row r="508" spans="1:29">
      <c r="A508" s="5">
        <f>IF(B508=" "," ",HYPERLINK(CONCATENATE("#metadata!",ADDRESS(INDEX($P$2:$P$1001,MATCH(ROWS($N$2:N508),$N$2:$N$1001,0),0),1)),INDEX($S$2:$S$1001,MATCH(ROWS($N$2:N508),$N$2:$N$1001,0),0)))</f>
        <v>0</v>
      </c>
      <c r="B508" s="4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4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4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4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4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4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4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4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4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OR(AND(IF(Metadata!C508="",FALSE,TRUE),OR(exact(Metadata!C508,"not applicable"),exact(Metadata!C508,"not collected"),exact(Metadata!C508,"not provided"),exact(Metadata!C508,"restricted access"))),IF(Metadata!C508="",FALSE,ISNUMBER(VALUE(Metadata!C508))))</f>
        <v>0</v>
      </c>
      <c r="W508">
        <f>AND(IF(Metadata!D508="",FALSE,TRUE),exact(Metadata!D508,"m"))</f>
        <v>0</v>
      </c>
      <c r="X508">
        <f>AND(IF(Metadata!E508="",FALSE,TRUE),OR(exact(Metadata!E508,"aerosol (non-saline)"),exact(Metadata!E508,"aerosol (saline)")))</f>
        <v>0</v>
      </c>
      <c r="Y508">
        <f>AND(IF(Metadata!F508="",FALSE,TRUE),exact(Metadata!F508,"air"))</f>
        <v>0</v>
      </c>
      <c r="Z508">
        <f>AND(IF(Metadata!G508="",FALSE,TRUE),exact(Metadata!G508,"air"))</f>
        <v>0</v>
      </c>
      <c r="AA508">
        <f>AND(IF(Metadata!H508="",FALSE,TRUE),exact(Metadata!H508,"air"))</f>
        <v>0</v>
      </c>
      <c r="AB508">
        <f>AND(IF(Metadata!I508="",FALSE,TRUE),exact(Metadata!I508,"air metagenome"))</f>
        <v>0</v>
      </c>
      <c r="AC508">
        <f>AND(IF(Metadata!J508="",FALSE,TRUE),exact(Metadata!J508,"655179"))</f>
        <v>0</v>
      </c>
    </row>
    <row r="509" spans="1:29">
      <c r="A509" s="5">
        <f>IF(B509=" "," ",HYPERLINK(CONCATENATE("#metadata!",ADDRESS(INDEX($P$2:$P$1001,MATCH(ROWS($N$2:N509),$N$2:$N$1001,0),0),1)),INDEX($S$2:$S$1001,MATCH(ROWS($N$2:N509),$N$2:$N$1001,0),0)))</f>
        <v>0</v>
      </c>
      <c r="B509" s="4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4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4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4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4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4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4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4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4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OR(AND(IF(Metadata!C509="",FALSE,TRUE),OR(exact(Metadata!C509,"not applicable"),exact(Metadata!C509,"not collected"),exact(Metadata!C509,"not provided"),exact(Metadata!C509,"restricted access"))),IF(Metadata!C509="",FALSE,ISNUMBER(VALUE(Metadata!C509))))</f>
        <v>0</v>
      </c>
      <c r="W509">
        <f>AND(IF(Metadata!D509="",FALSE,TRUE),exact(Metadata!D509,"m"))</f>
        <v>0</v>
      </c>
      <c r="X509">
        <f>AND(IF(Metadata!E509="",FALSE,TRUE),OR(exact(Metadata!E509,"aerosol (non-saline)"),exact(Metadata!E509,"aerosol (saline)")))</f>
        <v>0</v>
      </c>
      <c r="Y509">
        <f>AND(IF(Metadata!F509="",FALSE,TRUE),exact(Metadata!F509,"air"))</f>
        <v>0</v>
      </c>
      <c r="Z509">
        <f>AND(IF(Metadata!G509="",FALSE,TRUE),exact(Metadata!G509,"air"))</f>
        <v>0</v>
      </c>
      <c r="AA509">
        <f>AND(IF(Metadata!H509="",FALSE,TRUE),exact(Metadata!H509,"air"))</f>
        <v>0</v>
      </c>
      <c r="AB509">
        <f>AND(IF(Metadata!I509="",FALSE,TRUE),exact(Metadata!I509,"air metagenome"))</f>
        <v>0</v>
      </c>
      <c r="AC509">
        <f>AND(IF(Metadata!J509="",FALSE,TRUE),exact(Metadata!J509,"655179"))</f>
        <v>0</v>
      </c>
    </row>
    <row r="510" spans="1:29">
      <c r="A510" s="5">
        <f>IF(B510=" "," ",HYPERLINK(CONCATENATE("#metadata!",ADDRESS(INDEX($P$2:$P$1001,MATCH(ROWS($N$2:N510),$N$2:$N$1001,0),0),1)),INDEX($S$2:$S$1001,MATCH(ROWS($N$2:N510),$N$2:$N$1001,0),0)))</f>
        <v>0</v>
      </c>
      <c r="B510" s="4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4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4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4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4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4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4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4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4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OR(AND(IF(Metadata!C510="",FALSE,TRUE),OR(exact(Metadata!C510,"not applicable"),exact(Metadata!C510,"not collected"),exact(Metadata!C510,"not provided"),exact(Metadata!C510,"restricted access"))),IF(Metadata!C510="",FALSE,ISNUMBER(VALUE(Metadata!C510))))</f>
        <v>0</v>
      </c>
      <c r="W510">
        <f>AND(IF(Metadata!D510="",FALSE,TRUE),exact(Metadata!D510,"m"))</f>
        <v>0</v>
      </c>
      <c r="X510">
        <f>AND(IF(Metadata!E510="",FALSE,TRUE),OR(exact(Metadata!E510,"aerosol (non-saline)"),exact(Metadata!E510,"aerosol (saline)")))</f>
        <v>0</v>
      </c>
      <c r="Y510">
        <f>AND(IF(Metadata!F510="",FALSE,TRUE),exact(Metadata!F510,"air"))</f>
        <v>0</v>
      </c>
      <c r="Z510">
        <f>AND(IF(Metadata!G510="",FALSE,TRUE),exact(Metadata!G510,"air"))</f>
        <v>0</v>
      </c>
      <c r="AA510">
        <f>AND(IF(Metadata!H510="",FALSE,TRUE),exact(Metadata!H510,"air"))</f>
        <v>0</v>
      </c>
      <c r="AB510">
        <f>AND(IF(Metadata!I510="",FALSE,TRUE),exact(Metadata!I510,"air metagenome"))</f>
        <v>0</v>
      </c>
      <c r="AC510">
        <f>AND(IF(Metadata!J510="",FALSE,TRUE),exact(Metadata!J510,"655179"))</f>
        <v>0</v>
      </c>
    </row>
    <row r="511" spans="1:29">
      <c r="A511" s="5">
        <f>IF(B511=" "," ",HYPERLINK(CONCATENATE("#metadata!",ADDRESS(INDEX($P$2:$P$1001,MATCH(ROWS($N$2:N511),$N$2:$N$1001,0),0),1)),INDEX($S$2:$S$1001,MATCH(ROWS($N$2:N511),$N$2:$N$1001,0),0)))</f>
        <v>0</v>
      </c>
      <c r="B511" s="4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4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4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4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4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4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4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4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4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OR(AND(IF(Metadata!C511="",FALSE,TRUE),OR(exact(Metadata!C511,"not applicable"),exact(Metadata!C511,"not collected"),exact(Metadata!C511,"not provided"),exact(Metadata!C511,"restricted access"))),IF(Metadata!C511="",FALSE,ISNUMBER(VALUE(Metadata!C511))))</f>
        <v>0</v>
      </c>
      <c r="W511">
        <f>AND(IF(Metadata!D511="",FALSE,TRUE),exact(Metadata!D511,"m"))</f>
        <v>0</v>
      </c>
      <c r="X511">
        <f>AND(IF(Metadata!E511="",FALSE,TRUE),OR(exact(Metadata!E511,"aerosol (non-saline)"),exact(Metadata!E511,"aerosol (saline)")))</f>
        <v>0</v>
      </c>
      <c r="Y511">
        <f>AND(IF(Metadata!F511="",FALSE,TRUE),exact(Metadata!F511,"air"))</f>
        <v>0</v>
      </c>
      <c r="Z511">
        <f>AND(IF(Metadata!G511="",FALSE,TRUE),exact(Metadata!G511,"air"))</f>
        <v>0</v>
      </c>
      <c r="AA511">
        <f>AND(IF(Metadata!H511="",FALSE,TRUE),exact(Metadata!H511,"air"))</f>
        <v>0</v>
      </c>
      <c r="AB511">
        <f>AND(IF(Metadata!I511="",FALSE,TRUE),exact(Metadata!I511,"air metagenome"))</f>
        <v>0</v>
      </c>
      <c r="AC511">
        <f>AND(IF(Metadata!J511="",FALSE,TRUE),exact(Metadata!J511,"655179"))</f>
        <v>0</v>
      </c>
    </row>
    <row r="512" spans="1:29">
      <c r="A512" s="5">
        <f>IF(B512=" "," ",HYPERLINK(CONCATENATE("#metadata!",ADDRESS(INDEX($P$2:$P$1001,MATCH(ROWS($N$2:N512),$N$2:$N$1001,0),0),1)),INDEX($S$2:$S$1001,MATCH(ROWS($N$2:N512),$N$2:$N$1001,0),0)))</f>
        <v>0</v>
      </c>
      <c r="B512" s="4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4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4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4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4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4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4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4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4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OR(AND(IF(Metadata!C512="",FALSE,TRUE),OR(exact(Metadata!C512,"not applicable"),exact(Metadata!C512,"not collected"),exact(Metadata!C512,"not provided"),exact(Metadata!C512,"restricted access"))),IF(Metadata!C512="",FALSE,ISNUMBER(VALUE(Metadata!C512))))</f>
        <v>0</v>
      </c>
      <c r="W512">
        <f>AND(IF(Metadata!D512="",FALSE,TRUE),exact(Metadata!D512,"m"))</f>
        <v>0</v>
      </c>
      <c r="X512">
        <f>AND(IF(Metadata!E512="",FALSE,TRUE),OR(exact(Metadata!E512,"aerosol (non-saline)"),exact(Metadata!E512,"aerosol (saline)")))</f>
        <v>0</v>
      </c>
      <c r="Y512">
        <f>AND(IF(Metadata!F512="",FALSE,TRUE),exact(Metadata!F512,"air"))</f>
        <v>0</v>
      </c>
      <c r="Z512">
        <f>AND(IF(Metadata!G512="",FALSE,TRUE),exact(Metadata!G512,"air"))</f>
        <v>0</v>
      </c>
      <c r="AA512">
        <f>AND(IF(Metadata!H512="",FALSE,TRUE),exact(Metadata!H512,"air"))</f>
        <v>0</v>
      </c>
      <c r="AB512">
        <f>AND(IF(Metadata!I512="",FALSE,TRUE),exact(Metadata!I512,"air metagenome"))</f>
        <v>0</v>
      </c>
      <c r="AC512">
        <f>AND(IF(Metadata!J512="",FALSE,TRUE),exact(Metadata!J512,"655179"))</f>
        <v>0</v>
      </c>
    </row>
    <row r="513" spans="1:29">
      <c r="A513" s="5">
        <f>IF(B513=" "," ",HYPERLINK(CONCATENATE("#metadata!",ADDRESS(INDEX($P$2:$P$1001,MATCH(ROWS($N$2:N513),$N$2:$N$1001,0),0),1)),INDEX($S$2:$S$1001,MATCH(ROWS($N$2:N513),$N$2:$N$1001,0),0)))</f>
        <v>0</v>
      </c>
      <c r="B513" s="4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4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4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4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4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4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4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4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4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OR(AND(IF(Metadata!C513="",FALSE,TRUE),OR(exact(Metadata!C513,"not applicable"),exact(Metadata!C513,"not collected"),exact(Metadata!C513,"not provided"),exact(Metadata!C513,"restricted access"))),IF(Metadata!C513="",FALSE,ISNUMBER(VALUE(Metadata!C513))))</f>
        <v>0</v>
      </c>
      <c r="W513">
        <f>AND(IF(Metadata!D513="",FALSE,TRUE),exact(Metadata!D513,"m"))</f>
        <v>0</v>
      </c>
      <c r="X513">
        <f>AND(IF(Metadata!E513="",FALSE,TRUE),OR(exact(Metadata!E513,"aerosol (non-saline)"),exact(Metadata!E513,"aerosol (saline)")))</f>
        <v>0</v>
      </c>
      <c r="Y513">
        <f>AND(IF(Metadata!F513="",FALSE,TRUE),exact(Metadata!F513,"air"))</f>
        <v>0</v>
      </c>
      <c r="Z513">
        <f>AND(IF(Metadata!G513="",FALSE,TRUE),exact(Metadata!G513,"air"))</f>
        <v>0</v>
      </c>
      <c r="AA513">
        <f>AND(IF(Metadata!H513="",FALSE,TRUE),exact(Metadata!H513,"air"))</f>
        <v>0</v>
      </c>
      <c r="AB513">
        <f>AND(IF(Metadata!I513="",FALSE,TRUE),exact(Metadata!I513,"air metagenome"))</f>
        <v>0</v>
      </c>
      <c r="AC513">
        <f>AND(IF(Metadata!J513="",FALSE,TRUE),exact(Metadata!J513,"655179"))</f>
        <v>0</v>
      </c>
    </row>
    <row r="514" spans="1:29">
      <c r="A514" s="5">
        <f>IF(B514=" "," ",HYPERLINK(CONCATENATE("#metadata!",ADDRESS(INDEX($P$2:$P$1001,MATCH(ROWS($N$2:N514),$N$2:$N$1001,0),0),1)),INDEX($S$2:$S$1001,MATCH(ROWS($N$2:N514),$N$2:$N$1001,0),0)))</f>
        <v>0</v>
      </c>
      <c r="B514" s="4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4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4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4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4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4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4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4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4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OR(AND(IF(Metadata!C514="",FALSE,TRUE),OR(exact(Metadata!C514,"not applicable"),exact(Metadata!C514,"not collected"),exact(Metadata!C514,"not provided"),exact(Metadata!C514,"restricted access"))),IF(Metadata!C514="",FALSE,ISNUMBER(VALUE(Metadata!C514))))</f>
        <v>0</v>
      </c>
      <c r="W514">
        <f>AND(IF(Metadata!D514="",FALSE,TRUE),exact(Metadata!D514,"m"))</f>
        <v>0</v>
      </c>
      <c r="X514">
        <f>AND(IF(Metadata!E514="",FALSE,TRUE),OR(exact(Metadata!E514,"aerosol (non-saline)"),exact(Metadata!E514,"aerosol (saline)")))</f>
        <v>0</v>
      </c>
      <c r="Y514">
        <f>AND(IF(Metadata!F514="",FALSE,TRUE),exact(Metadata!F514,"air"))</f>
        <v>0</v>
      </c>
      <c r="Z514">
        <f>AND(IF(Metadata!G514="",FALSE,TRUE),exact(Metadata!G514,"air"))</f>
        <v>0</v>
      </c>
      <c r="AA514">
        <f>AND(IF(Metadata!H514="",FALSE,TRUE),exact(Metadata!H514,"air"))</f>
        <v>0</v>
      </c>
      <c r="AB514">
        <f>AND(IF(Metadata!I514="",FALSE,TRUE),exact(Metadata!I514,"air metagenome"))</f>
        <v>0</v>
      </c>
      <c r="AC514">
        <f>AND(IF(Metadata!J514="",FALSE,TRUE),exact(Metadata!J514,"655179"))</f>
        <v>0</v>
      </c>
    </row>
    <row r="515" spans="1:29">
      <c r="A515" s="5">
        <f>IF(B515=" "," ",HYPERLINK(CONCATENATE("#metadata!",ADDRESS(INDEX($P$2:$P$1001,MATCH(ROWS($N$2:N515),$N$2:$N$1001,0),0),1)),INDEX($S$2:$S$1001,MATCH(ROWS($N$2:N515),$N$2:$N$1001,0),0)))</f>
        <v>0</v>
      </c>
      <c r="B515" s="4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4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4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4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4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4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4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4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4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OR(AND(IF(Metadata!C515="",FALSE,TRUE),OR(exact(Metadata!C515,"not applicable"),exact(Metadata!C515,"not collected"),exact(Metadata!C515,"not provided"),exact(Metadata!C515,"restricted access"))),IF(Metadata!C515="",FALSE,ISNUMBER(VALUE(Metadata!C515))))</f>
        <v>0</v>
      </c>
      <c r="W515">
        <f>AND(IF(Metadata!D515="",FALSE,TRUE),exact(Metadata!D515,"m"))</f>
        <v>0</v>
      </c>
      <c r="X515">
        <f>AND(IF(Metadata!E515="",FALSE,TRUE),OR(exact(Metadata!E515,"aerosol (non-saline)"),exact(Metadata!E515,"aerosol (saline)")))</f>
        <v>0</v>
      </c>
      <c r="Y515">
        <f>AND(IF(Metadata!F515="",FALSE,TRUE),exact(Metadata!F515,"air"))</f>
        <v>0</v>
      </c>
      <c r="Z515">
        <f>AND(IF(Metadata!G515="",FALSE,TRUE),exact(Metadata!G515,"air"))</f>
        <v>0</v>
      </c>
      <c r="AA515">
        <f>AND(IF(Metadata!H515="",FALSE,TRUE),exact(Metadata!H515,"air"))</f>
        <v>0</v>
      </c>
      <c r="AB515">
        <f>AND(IF(Metadata!I515="",FALSE,TRUE),exact(Metadata!I515,"air metagenome"))</f>
        <v>0</v>
      </c>
      <c r="AC515">
        <f>AND(IF(Metadata!J515="",FALSE,TRUE),exact(Metadata!J515,"655179"))</f>
        <v>0</v>
      </c>
    </row>
    <row r="516" spans="1:29">
      <c r="A516" s="5">
        <f>IF(B516=" "," ",HYPERLINK(CONCATENATE("#metadata!",ADDRESS(INDEX($P$2:$P$1001,MATCH(ROWS($N$2:N516),$N$2:$N$1001,0),0),1)),INDEX($S$2:$S$1001,MATCH(ROWS($N$2:N516),$N$2:$N$1001,0),0)))</f>
        <v>0</v>
      </c>
      <c r="B516" s="4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4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4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4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4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4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4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4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4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OR(AND(IF(Metadata!C516="",FALSE,TRUE),OR(exact(Metadata!C516,"not applicable"),exact(Metadata!C516,"not collected"),exact(Metadata!C516,"not provided"),exact(Metadata!C516,"restricted access"))),IF(Metadata!C516="",FALSE,ISNUMBER(VALUE(Metadata!C516))))</f>
        <v>0</v>
      </c>
      <c r="W516">
        <f>AND(IF(Metadata!D516="",FALSE,TRUE),exact(Metadata!D516,"m"))</f>
        <v>0</v>
      </c>
      <c r="X516">
        <f>AND(IF(Metadata!E516="",FALSE,TRUE),OR(exact(Metadata!E516,"aerosol (non-saline)"),exact(Metadata!E516,"aerosol (saline)")))</f>
        <v>0</v>
      </c>
      <c r="Y516">
        <f>AND(IF(Metadata!F516="",FALSE,TRUE),exact(Metadata!F516,"air"))</f>
        <v>0</v>
      </c>
      <c r="Z516">
        <f>AND(IF(Metadata!G516="",FALSE,TRUE),exact(Metadata!G516,"air"))</f>
        <v>0</v>
      </c>
      <c r="AA516">
        <f>AND(IF(Metadata!H516="",FALSE,TRUE),exact(Metadata!H516,"air"))</f>
        <v>0</v>
      </c>
      <c r="AB516">
        <f>AND(IF(Metadata!I516="",FALSE,TRUE),exact(Metadata!I516,"air metagenome"))</f>
        <v>0</v>
      </c>
      <c r="AC516">
        <f>AND(IF(Metadata!J516="",FALSE,TRUE),exact(Metadata!J516,"655179"))</f>
        <v>0</v>
      </c>
    </row>
    <row r="517" spans="1:29">
      <c r="A517" s="5">
        <f>IF(B517=" "," ",HYPERLINK(CONCATENATE("#metadata!",ADDRESS(INDEX($P$2:$P$1001,MATCH(ROWS($N$2:N517),$N$2:$N$1001,0),0),1)),INDEX($S$2:$S$1001,MATCH(ROWS($N$2:N517),$N$2:$N$1001,0),0)))</f>
        <v>0</v>
      </c>
      <c r="B517" s="4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4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4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4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4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4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4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4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4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OR(AND(IF(Metadata!C517="",FALSE,TRUE),OR(exact(Metadata!C517,"not applicable"),exact(Metadata!C517,"not collected"),exact(Metadata!C517,"not provided"),exact(Metadata!C517,"restricted access"))),IF(Metadata!C517="",FALSE,ISNUMBER(VALUE(Metadata!C517))))</f>
        <v>0</v>
      </c>
      <c r="W517">
        <f>AND(IF(Metadata!D517="",FALSE,TRUE),exact(Metadata!D517,"m"))</f>
        <v>0</v>
      </c>
      <c r="X517">
        <f>AND(IF(Metadata!E517="",FALSE,TRUE),OR(exact(Metadata!E517,"aerosol (non-saline)"),exact(Metadata!E517,"aerosol (saline)")))</f>
        <v>0</v>
      </c>
      <c r="Y517">
        <f>AND(IF(Metadata!F517="",FALSE,TRUE),exact(Metadata!F517,"air"))</f>
        <v>0</v>
      </c>
      <c r="Z517">
        <f>AND(IF(Metadata!G517="",FALSE,TRUE),exact(Metadata!G517,"air"))</f>
        <v>0</v>
      </c>
      <c r="AA517">
        <f>AND(IF(Metadata!H517="",FALSE,TRUE),exact(Metadata!H517,"air"))</f>
        <v>0</v>
      </c>
      <c r="AB517">
        <f>AND(IF(Metadata!I517="",FALSE,TRUE),exact(Metadata!I517,"air metagenome"))</f>
        <v>0</v>
      </c>
      <c r="AC517">
        <f>AND(IF(Metadata!J517="",FALSE,TRUE),exact(Metadata!J517,"655179"))</f>
        <v>0</v>
      </c>
    </row>
    <row r="518" spans="1:29">
      <c r="A518" s="5">
        <f>IF(B518=" "," ",HYPERLINK(CONCATENATE("#metadata!",ADDRESS(INDEX($P$2:$P$1001,MATCH(ROWS($N$2:N518),$N$2:$N$1001,0),0),1)),INDEX($S$2:$S$1001,MATCH(ROWS($N$2:N518),$N$2:$N$1001,0),0)))</f>
        <v>0</v>
      </c>
      <c r="B518" s="4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4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4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4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4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4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4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4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4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OR(AND(IF(Metadata!C518="",FALSE,TRUE),OR(exact(Metadata!C518,"not applicable"),exact(Metadata!C518,"not collected"),exact(Metadata!C518,"not provided"),exact(Metadata!C518,"restricted access"))),IF(Metadata!C518="",FALSE,ISNUMBER(VALUE(Metadata!C518))))</f>
        <v>0</v>
      </c>
      <c r="W518">
        <f>AND(IF(Metadata!D518="",FALSE,TRUE),exact(Metadata!D518,"m"))</f>
        <v>0</v>
      </c>
      <c r="X518">
        <f>AND(IF(Metadata!E518="",FALSE,TRUE),OR(exact(Metadata!E518,"aerosol (non-saline)"),exact(Metadata!E518,"aerosol (saline)")))</f>
        <v>0</v>
      </c>
      <c r="Y518">
        <f>AND(IF(Metadata!F518="",FALSE,TRUE),exact(Metadata!F518,"air"))</f>
        <v>0</v>
      </c>
      <c r="Z518">
        <f>AND(IF(Metadata!G518="",FALSE,TRUE),exact(Metadata!G518,"air"))</f>
        <v>0</v>
      </c>
      <c r="AA518">
        <f>AND(IF(Metadata!H518="",FALSE,TRUE),exact(Metadata!H518,"air"))</f>
        <v>0</v>
      </c>
      <c r="AB518">
        <f>AND(IF(Metadata!I518="",FALSE,TRUE),exact(Metadata!I518,"air metagenome"))</f>
        <v>0</v>
      </c>
      <c r="AC518">
        <f>AND(IF(Metadata!J518="",FALSE,TRUE),exact(Metadata!J518,"655179"))</f>
        <v>0</v>
      </c>
    </row>
    <row r="519" spans="1:29">
      <c r="A519" s="5">
        <f>IF(B519=" "," ",HYPERLINK(CONCATENATE("#metadata!",ADDRESS(INDEX($P$2:$P$1001,MATCH(ROWS($N$2:N519),$N$2:$N$1001,0),0),1)),INDEX($S$2:$S$1001,MATCH(ROWS($N$2:N519),$N$2:$N$1001,0),0)))</f>
        <v>0</v>
      </c>
      <c r="B519" s="4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4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4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4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4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4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4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4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4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OR(AND(IF(Metadata!C519="",FALSE,TRUE),OR(exact(Metadata!C519,"not applicable"),exact(Metadata!C519,"not collected"),exact(Metadata!C519,"not provided"),exact(Metadata!C519,"restricted access"))),IF(Metadata!C519="",FALSE,ISNUMBER(VALUE(Metadata!C519))))</f>
        <v>0</v>
      </c>
      <c r="W519">
        <f>AND(IF(Metadata!D519="",FALSE,TRUE),exact(Metadata!D519,"m"))</f>
        <v>0</v>
      </c>
      <c r="X519">
        <f>AND(IF(Metadata!E519="",FALSE,TRUE),OR(exact(Metadata!E519,"aerosol (non-saline)"),exact(Metadata!E519,"aerosol (saline)")))</f>
        <v>0</v>
      </c>
      <c r="Y519">
        <f>AND(IF(Metadata!F519="",FALSE,TRUE),exact(Metadata!F519,"air"))</f>
        <v>0</v>
      </c>
      <c r="Z519">
        <f>AND(IF(Metadata!G519="",FALSE,TRUE),exact(Metadata!G519,"air"))</f>
        <v>0</v>
      </c>
      <c r="AA519">
        <f>AND(IF(Metadata!H519="",FALSE,TRUE),exact(Metadata!H519,"air"))</f>
        <v>0</v>
      </c>
      <c r="AB519">
        <f>AND(IF(Metadata!I519="",FALSE,TRUE),exact(Metadata!I519,"air metagenome"))</f>
        <v>0</v>
      </c>
      <c r="AC519">
        <f>AND(IF(Metadata!J519="",FALSE,TRUE),exact(Metadata!J519,"655179"))</f>
        <v>0</v>
      </c>
    </row>
    <row r="520" spans="1:29">
      <c r="A520" s="5">
        <f>IF(B520=" "," ",HYPERLINK(CONCATENATE("#metadata!",ADDRESS(INDEX($P$2:$P$1001,MATCH(ROWS($N$2:N520),$N$2:$N$1001,0),0),1)),INDEX($S$2:$S$1001,MATCH(ROWS($N$2:N520),$N$2:$N$1001,0),0)))</f>
        <v>0</v>
      </c>
      <c r="B520" s="4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4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4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4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4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4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4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4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4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OR(AND(IF(Metadata!C520="",FALSE,TRUE),OR(exact(Metadata!C520,"not applicable"),exact(Metadata!C520,"not collected"),exact(Metadata!C520,"not provided"),exact(Metadata!C520,"restricted access"))),IF(Metadata!C520="",FALSE,ISNUMBER(VALUE(Metadata!C520))))</f>
        <v>0</v>
      </c>
      <c r="W520">
        <f>AND(IF(Metadata!D520="",FALSE,TRUE),exact(Metadata!D520,"m"))</f>
        <v>0</v>
      </c>
      <c r="X520">
        <f>AND(IF(Metadata!E520="",FALSE,TRUE),OR(exact(Metadata!E520,"aerosol (non-saline)"),exact(Metadata!E520,"aerosol (saline)")))</f>
        <v>0</v>
      </c>
      <c r="Y520">
        <f>AND(IF(Metadata!F520="",FALSE,TRUE),exact(Metadata!F520,"air"))</f>
        <v>0</v>
      </c>
      <c r="Z520">
        <f>AND(IF(Metadata!G520="",FALSE,TRUE),exact(Metadata!G520,"air"))</f>
        <v>0</v>
      </c>
      <c r="AA520">
        <f>AND(IF(Metadata!H520="",FALSE,TRUE),exact(Metadata!H520,"air"))</f>
        <v>0</v>
      </c>
      <c r="AB520">
        <f>AND(IF(Metadata!I520="",FALSE,TRUE),exact(Metadata!I520,"air metagenome"))</f>
        <v>0</v>
      </c>
      <c r="AC520">
        <f>AND(IF(Metadata!J520="",FALSE,TRUE),exact(Metadata!J520,"655179"))</f>
        <v>0</v>
      </c>
    </row>
    <row r="521" spans="1:29">
      <c r="A521" s="5">
        <f>IF(B521=" "," ",HYPERLINK(CONCATENATE("#metadata!",ADDRESS(INDEX($P$2:$P$1001,MATCH(ROWS($N$2:N521),$N$2:$N$1001,0),0),1)),INDEX($S$2:$S$1001,MATCH(ROWS($N$2:N521),$N$2:$N$1001,0),0)))</f>
        <v>0</v>
      </c>
      <c r="B521" s="4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4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4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4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4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4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4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4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4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OR(AND(IF(Metadata!C521="",FALSE,TRUE),OR(exact(Metadata!C521,"not applicable"),exact(Metadata!C521,"not collected"),exact(Metadata!C521,"not provided"),exact(Metadata!C521,"restricted access"))),IF(Metadata!C521="",FALSE,ISNUMBER(VALUE(Metadata!C521))))</f>
        <v>0</v>
      </c>
      <c r="W521">
        <f>AND(IF(Metadata!D521="",FALSE,TRUE),exact(Metadata!D521,"m"))</f>
        <v>0</v>
      </c>
      <c r="X521">
        <f>AND(IF(Metadata!E521="",FALSE,TRUE),OR(exact(Metadata!E521,"aerosol (non-saline)"),exact(Metadata!E521,"aerosol (saline)")))</f>
        <v>0</v>
      </c>
      <c r="Y521">
        <f>AND(IF(Metadata!F521="",FALSE,TRUE),exact(Metadata!F521,"air"))</f>
        <v>0</v>
      </c>
      <c r="Z521">
        <f>AND(IF(Metadata!G521="",FALSE,TRUE),exact(Metadata!G521,"air"))</f>
        <v>0</v>
      </c>
      <c r="AA521">
        <f>AND(IF(Metadata!H521="",FALSE,TRUE),exact(Metadata!H521,"air"))</f>
        <v>0</v>
      </c>
      <c r="AB521">
        <f>AND(IF(Metadata!I521="",FALSE,TRUE),exact(Metadata!I521,"air metagenome"))</f>
        <v>0</v>
      </c>
      <c r="AC521">
        <f>AND(IF(Metadata!J521="",FALSE,TRUE),exact(Metadata!J521,"655179"))</f>
        <v>0</v>
      </c>
    </row>
    <row r="522" spans="1:29">
      <c r="A522" s="5">
        <f>IF(B522=" "," ",HYPERLINK(CONCATENATE("#metadata!",ADDRESS(INDEX($P$2:$P$1001,MATCH(ROWS($N$2:N522),$N$2:$N$1001,0),0),1)),INDEX($S$2:$S$1001,MATCH(ROWS($N$2:N522),$N$2:$N$1001,0),0)))</f>
        <v>0</v>
      </c>
      <c r="B522" s="4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4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4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4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4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4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4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4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4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OR(AND(IF(Metadata!C522="",FALSE,TRUE),OR(exact(Metadata!C522,"not applicable"),exact(Metadata!C522,"not collected"),exact(Metadata!C522,"not provided"),exact(Metadata!C522,"restricted access"))),IF(Metadata!C522="",FALSE,ISNUMBER(VALUE(Metadata!C522))))</f>
        <v>0</v>
      </c>
      <c r="W522">
        <f>AND(IF(Metadata!D522="",FALSE,TRUE),exact(Metadata!D522,"m"))</f>
        <v>0</v>
      </c>
      <c r="X522">
        <f>AND(IF(Metadata!E522="",FALSE,TRUE),OR(exact(Metadata!E522,"aerosol (non-saline)"),exact(Metadata!E522,"aerosol (saline)")))</f>
        <v>0</v>
      </c>
      <c r="Y522">
        <f>AND(IF(Metadata!F522="",FALSE,TRUE),exact(Metadata!F522,"air"))</f>
        <v>0</v>
      </c>
      <c r="Z522">
        <f>AND(IF(Metadata!G522="",FALSE,TRUE),exact(Metadata!G522,"air"))</f>
        <v>0</v>
      </c>
      <c r="AA522">
        <f>AND(IF(Metadata!H522="",FALSE,TRUE),exact(Metadata!H522,"air"))</f>
        <v>0</v>
      </c>
      <c r="AB522">
        <f>AND(IF(Metadata!I522="",FALSE,TRUE),exact(Metadata!I522,"air metagenome"))</f>
        <v>0</v>
      </c>
      <c r="AC522">
        <f>AND(IF(Metadata!J522="",FALSE,TRUE),exact(Metadata!J522,"655179"))</f>
        <v>0</v>
      </c>
    </row>
    <row r="523" spans="1:29">
      <c r="A523" s="5">
        <f>IF(B523=" "," ",HYPERLINK(CONCATENATE("#metadata!",ADDRESS(INDEX($P$2:$P$1001,MATCH(ROWS($N$2:N523),$N$2:$N$1001,0),0),1)),INDEX($S$2:$S$1001,MATCH(ROWS($N$2:N523),$N$2:$N$1001,0),0)))</f>
        <v>0</v>
      </c>
      <c r="B523" s="4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4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4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4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4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4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4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4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4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OR(AND(IF(Metadata!C523="",FALSE,TRUE),OR(exact(Metadata!C523,"not applicable"),exact(Metadata!C523,"not collected"),exact(Metadata!C523,"not provided"),exact(Metadata!C523,"restricted access"))),IF(Metadata!C523="",FALSE,ISNUMBER(VALUE(Metadata!C523))))</f>
        <v>0</v>
      </c>
      <c r="W523">
        <f>AND(IF(Metadata!D523="",FALSE,TRUE),exact(Metadata!D523,"m"))</f>
        <v>0</v>
      </c>
      <c r="X523">
        <f>AND(IF(Metadata!E523="",FALSE,TRUE),OR(exact(Metadata!E523,"aerosol (non-saline)"),exact(Metadata!E523,"aerosol (saline)")))</f>
        <v>0</v>
      </c>
      <c r="Y523">
        <f>AND(IF(Metadata!F523="",FALSE,TRUE),exact(Metadata!F523,"air"))</f>
        <v>0</v>
      </c>
      <c r="Z523">
        <f>AND(IF(Metadata!G523="",FALSE,TRUE),exact(Metadata!G523,"air"))</f>
        <v>0</v>
      </c>
      <c r="AA523">
        <f>AND(IF(Metadata!H523="",FALSE,TRUE),exact(Metadata!H523,"air"))</f>
        <v>0</v>
      </c>
      <c r="AB523">
        <f>AND(IF(Metadata!I523="",FALSE,TRUE),exact(Metadata!I523,"air metagenome"))</f>
        <v>0</v>
      </c>
      <c r="AC523">
        <f>AND(IF(Metadata!J523="",FALSE,TRUE),exact(Metadata!J523,"655179"))</f>
        <v>0</v>
      </c>
    </row>
    <row r="524" spans="1:29">
      <c r="A524" s="5">
        <f>IF(B524=" "," ",HYPERLINK(CONCATENATE("#metadata!",ADDRESS(INDEX($P$2:$P$1001,MATCH(ROWS($N$2:N524),$N$2:$N$1001,0),0),1)),INDEX($S$2:$S$1001,MATCH(ROWS($N$2:N524),$N$2:$N$1001,0),0)))</f>
        <v>0</v>
      </c>
      <c r="B524" s="4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4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4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4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4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4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4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4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4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OR(AND(IF(Metadata!C524="",FALSE,TRUE),OR(exact(Metadata!C524,"not applicable"),exact(Metadata!C524,"not collected"),exact(Metadata!C524,"not provided"),exact(Metadata!C524,"restricted access"))),IF(Metadata!C524="",FALSE,ISNUMBER(VALUE(Metadata!C524))))</f>
        <v>0</v>
      </c>
      <c r="W524">
        <f>AND(IF(Metadata!D524="",FALSE,TRUE),exact(Metadata!D524,"m"))</f>
        <v>0</v>
      </c>
      <c r="X524">
        <f>AND(IF(Metadata!E524="",FALSE,TRUE),OR(exact(Metadata!E524,"aerosol (non-saline)"),exact(Metadata!E524,"aerosol (saline)")))</f>
        <v>0</v>
      </c>
      <c r="Y524">
        <f>AND(IF(Metadata!F524="",FALSE,TRUE),exact(Metadata!F524,"air"))</f>
        <v>0</v>
      </c>
      <c r="Z524">
        <f>AND(IF(Metadata!G524="",FALSE,TRUE),exact(Metadata!G524,"air"))</f>
        <v>0</v>
      </c>
      <c r="AA524">
        <f>AND(IF(Metadata!H524="",FALSE,TRUE),exact(Metadata!H524,"air"))</f>
        <v>0</v>
      </c>
      <c r="AB524">
        <f>AND(IF(Metadata!I524="",FALSE,TRUE),exact(Metadata!I524,"air metagenome"))</f>
        <v>0</v>
      </c>
      <c r="AC524">
        <f>AND(IF(Metadata!J524="",FALSE,TRUE),exact(Metadata!J524,"655179"))</f>
        <v>0</v>
      </c>
    </row>
    <row r="525" spans="1:29">
      <c r="A525" s="5">
        <f>IF(B525=" "," ",HYPERLINK(CONCATENATE("#metadata!",ADDRESS(INDEX($P$2:$P$1001,MATCH(ROWS($N$2:N525),$N$2:$N$1001,0),0),1)),INDEX($S$2:$S$1001,MATCH(ROWS($N$2:N525),$N$2:$N$1001,0),0)))</f>
        <v>0</v>
      </c>
      <c r="B525" s="4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4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4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4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4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4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4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4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4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OR(AND(IF(Metadata!C525="",FALSE,TRUE),OR(exact(Metadata!C525,"not applicable"),exact(Metadata!C525,"not collected"),exact(Metadata!C525,"not provided"),exact(Metadata!C525,"restricted access"))),IF(Metadata!C525="",FALSE,ISNUMBER(VALUE(Metadata!C525))))</f>
        <v>0</v>
      </c>
      <c r="W525">
        <f>AND(IF(Metadata!D525="",FALSE,TRUE),exact(Metadata!D525,"m"))</f>
        <v>0</v>
      </c>
      <c r="X525">
        <f>AND(IF(Metadata!E525="",FALSE,TRUE),OR(exact(Metadata!E525,"aerosol (non-saline)"),exact(Metadata!E525,"aerosol (saline)")))</f>
        <v>0</v>
      </c>
      <c r="Y525">
        <f>AND(IF(Metadata!F525="",FALSE,TRUE),exact(Metadata!F525,"air"))</f>
        <v>0</v>
      </c>
      <c r="Z525">
        <f>AND(IF(Metadata!G525="",FALSE,TRUE),exact(Metadata!G525,"air"))</f>
        <v>0</v>
      </c>
      <c r="AA525">
        <f>AND(IF(Metadata!H525="",FALSE,TRUE),exact(Metadata!H525,"air"))</f>
        <v>0</v>
      </c>
      <c r="AB525">
        <f>AND(IF(Metadata!I525="",FALSE,TRUE),exact(Metadata!I525,"air metagenome"))</f>
        <v>0</v>
      </c>
      <c r="AC525">
        <f>AND(IF(Metadata!J525="",FALSE,TRUE),exact(Metadata!J525,"655179"))</f>
        <v>0</v>
      </c>
    </row>
    <row r="526" spans="1:29">
      <c r="A526" s="5">
        <f>IF(B526=" "," ",HYPERLINK(CONCATENATE("#metadata!",ADDRESS(INDEX($P$2:$P$1001,MATCH(ROWS($N$2:N526),$N$2:$N$1001,0),0),1)),INDEX($S$2:$S$1001,MATCH(ROWS($N$2:N526),$N$2:$N$1001,0),0)))</f>
        <v>0</v>
      </c>
      <c r="B526" s="4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4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4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4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4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4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4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4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4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OR(AND(IF(Metadata!C526="",FALSE,TRUE),OR(exact(Metadata!C526,"not applicable"),exact(Metadata!C526,"not collected"),exact(Metadata!C526,"not provided"),exact(Metadata!C526,"restricted access"))),IF(Metadata!C526="",FALSE,ISNUMBER(VALUE(Metadata!C526))))</f>
        <v>0</v>
      </c>
      <c r="W526">
        <f>AND(IF(Metadata!D526="",FALSE,TRUE),exact(Metadata!D526,"m"))</f>
        <v>0</v>
      </c>
      <c r="X526">
        <f>AND(IF(Metadata!E526="",FALSE,TRUE),OR(exact(Metadata!E526,"aerosol (non-saline)"),exact(Metadata!E526,"aerosol (saline)")))</f>
        <v>0</v>
      </c>
      <c r="Y526">
        <f>AND(IF(Metadata!F526="",FALSE,TRUE),exact(Metadata!F526,"air"))</f>
        <v>0</v>
      </c>
      <c r="Z526">
        <f>AND(IF(Metadata!G526="",FALSE,TRUE),exact(Metadata!G526,"air"))</f>
        <v>0</v>
      </c>
      <c r="AA526">
        <f>AND(IF(Metadata!H526="",FALSE,TRUE),exact(Metadata!H526,"air"))</f>
        <v>0</v>
      </c>
      <c r="AB526">
        <f>AND(IF(Metadata!I526="",FALSE,TRUE),exact(Metadata!I526,"air metagenome"))</f>
        <v>0</v>
      </c>
      <c r="AC526">
        <f>AND(IF(Metadata!J526="",FALSE,TRUE),exact(Metadata!J526,"655179"))</f>
        <v>0</v>
      </c>
    </row>
    <row r="527" spans="1:29">
      <c r="A527" s="5">
        <f>IF(B527=" "," ",HYPERLINK(CONCATENATE("#metadata!",ADDRESS(INDEX($P$2:$P$1001,MATCH(ROWS($N$2:N527),$N$2:$N$1001,0),0),1)),INDEX($S$2:$S$1001,MATCH(ROWS($N$2:N527),$N$2:$N$1001,0),0)))</f>
        <v>0</v>
      </c>
      <c r="B527" s="4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4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4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4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4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4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4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4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4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OR(AND(IF(Metadata!C527="",FALSE,TRUE),OR(exact(Metadata!C527,"not applicable"),exact(Metadata!C527,"not collected"),exact(Metadata!C527,"not provided"),exact(Metadata!C527,"restricted access"))),IF(Metadata!C527="",FALSE,ISNUMBER(VALUE(Metadata!C527))))</f>
        <v>0</v>
      </c>
      <c r="W527">
        <f>AND(IF(Metadata!D527="",FALSE,TRUE),exact(Metadata!D527,"m"))</f>
        <v>0</v>
      </c>
      <c r="X527">
        <f>AND(IF(Metadata!E527="",FALSE,TRUE),OR(exact(Metadata!E527,"aerosol (non-saline)"),exact(Metadata!E527,"aerosol (saline)")))</f>
        <v>0</v>
      </c>
      <c r="Y527">
        <f>AND(IF(Metadata!F527="",FALSE,TRUE),exact(Metadata!F527,"air"))</f>
        <v>0</v>
      </c>
      <c r="Z527">
        <f>AND(IF(Metadata!G527="",FALSE,TRUE),exact(Metadata!G527,"air"))</f>
        <v>0</v>
      </c>
      <c r="AA527">
        <f>AND(IF(Metadata!H527="",FALSE,TRUE),exact(Metadata!H527,"air"))</f>
        <v>0</v>
      </c>
      <c r="AB527">
        <f>AND(IF(Metadata!I527="",FALSE,TRUE),exact(Metadata!I527,"air metagenome"))</f>
        <v>0</v>
      </c>
      <c r="AC527">
        <f>AND(IF(Metadata!J527="",FALSE,TRUE),exact(Metadata!J527,"655179"))</f>
        <v>0</v>
      </c>
    </row>
    <row r="528" spans="1:29">
      <c r="A528" s="5">
        <f>IF(B528=" "," ",HYPERLINK(CONCATENATE("#metadata!",ADDRESS(INDEX($P$2:$P$1001,MATCH(ROWS($N$2:N528),$N$2:$N$1001,0),0),1)),INDEX($S$2:$S$1001,MATCH(ROWS($N$2:N528),$N$2:$N$1001,0),0)))</f>
        <v>0</v>
      </c>
      <c r="B528" s="4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4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4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4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4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4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4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4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4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OR(AND(IF(Metadata!C528="",FALSE,TRUE),OR(exact(Metadata!C528,"not applicable"),exact(Metadata!C528,"not collected"),exact(Metadata!C528,"not provided"),exact(Metadata!C528,"restricted access"))),IF(Metadata!C528="",FALSE,ISNUMBER(VALUE(Metadata!C528))))</f>
        <v>0</v>
      </c>
      <c r="W528">
        <f>AND(IF(Metadata!D528="",FALSE,TRUE),exact(Metadata!D528,"m"))</f>
        <v>0</v>
      </c>
      <c r="X528">
        <f>AND(IF(Metadata!E528="",FALSE,TRUE),OR(exact(Metadata!E528,"aerosol (non-saline)"),exact(Metadata!E528,"aerosol (saline)")))</f>
        <v>0</v>
      </c>
      <c r="Y528">
        <f>AND(IF(Metadata!F528="",FALSE,TRUE),exact(Metadata!F528,"air"))</f>
        <v>0</v>
      </c>
      <c r="Z528">
        <f>AND(IF(Metadata!G528="",FALSE,TRUE),exact(Metadata!G528,"air"))</f>
        <v>0</v>
      </c>
      <c r="AA528">
        <f>AND(IF(Metadata!H528="",FALSE,TRUE),exact(Metadata!H528,"air"))</f>
        <v>0</v>
      </c>
      <c r="AB528">
        <f>AND(IF(Metadata!I528="",FALSE,TRUE),exact(Metadata!I528,"air metagenome"))</f>
        <v>0</v>
      </c>
      <c r="AC528">
        <f>AND(IF(Metadata!J528="",FALSE,TRUE),exact(Metadata!J528,"655179"))</f>
        <v>0</v>
      </c>
    </row>
    <row r="529" spans="1:29">
      <c r="A529" s="5">
        <f>IF(B529=" "," ",HYPERLINK(CONCATENATE("#metadata!",ADDRESS(INDEX($P$2:$P$1001,MATCH(ROWS($N$2:N529),$N$2:$N$1001,0),0),1)),INDEX($S$2:$S$1001,MATCH(ROWS($N$2:N529),$N$2:$N$1001,0),0)))</f>
        <v>0</v>
      </c>
      <c r="B529" s="4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4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4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4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4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4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4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4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4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OR(AND(IF(Metadata!C529="",FALSE,TRUE),OR(exact(Metadata!C529,"not applicable"),exact(Metadata!C529,"not collected"),exact(Metadata!C529,"not provided"),exact(Metadata!C529,"restricted access"))),IF(Metadata!C529="",FALSE,ISNUMBER(VALUE(Metadata!C529))))</f>
        <v>0</v>
      </c>
      <c r="W529">
        <f>AND(IF(Metadata!D529="",FALSE,TRUE),exact(Metadata!D529,"m"))</f>
        <v>0</v>
      </c>
      <c r="X529">
        <f>AND(IF(Metadata!E529="",FALSE,TRUE),OR(exact(Metadata!E529,"aerosol (non-saline)"),exact(Metadata!E529,"aerosol (saline)")))</f>
        <v>0</v>
      </c>
      <c r="Y529">
        <f>AND(IF(Metadata!F529="",FALSE,TRUE),exact(Metadata!F529,"air"))</f>
        <v>0</v>
      </c>
      <c r="Z529">
        <f>AND(IF(Metadata!G529="",FALSE,TRUE),exact(Metadata!G529,"air"))</f>
        <v>0</v>
      </c>
      <c r="AA529">
        <f>AND(IF(Metadata!H529="",FALSE,TRUE),exact(Metadata!H529,"air"))</f>
        <v>0</v>
      </c>
      <c r="AB529">
        <f>AND(IF(Metadata!I529="",FALSE,TRUE),exact(Metadata!I529,"air metagenome"))</f>
        <v>0</v>
      </c>
      <c r="AC529">
        <f>AND(IF(Metadata!J529="",FALSE,TRUE),exact(Metadata!J529,"655179"))</f>
        <v>0</v>
      </c>
    </row>
    <row r="530" spans="1:29">
      <c r="A530" s="5">
        <f>IF(B530=" "," ",HYPERLINK(CONCATENATE("#metadata!",ADDRESS(INDEX($P$2:$P$1001,MATCH(ROWS($N$2:N530),$N$2:$N$1001,0),0),1)),INDEX($S$2:$S$1001,MATCH(ROWS($N$2:N530),$N$2:$N$1001,0),0)))</f>
        <v>0</v>
      </c>
      <c r="B530" s="4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4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4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4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4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4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4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4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4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OR(AND(IF(Metadata!C530="",FALSE,TRUE),OR(exact(Metadata!C530,"not applicable"),exact(Metadata!C530,"not collected"),exact(Metadata!C530,"not provided"),exact(Metadata!C530,"restricted access"))),IF(Metadata!C530="",FALSE,ISNUMBER(VALUE(Metadata!C530))))</f>
        <v>0</v>
      </c>
      <c r="W530">
        <f>AND(IF(Metadata!D530="",FALSE,TRUE),exact(Metadata!D530,"m"))</f>
        <v>0</v>
      </c>
      <c r="X530">
        <f>AND(IF(Metadata!E530="",FALSE,TRUE),OR(exact(Metadata!E530,"aerosol (non-saline)"),exact(Metadata!E530,"aerosol (saline)")))</f>
        <v>0</v>
      </c>
      <c r="Y530">
        <f>AND(IF(Metadata!F530="",FALSE,TRUE),exact(Metadata!F530,"air"))</f>
        <v>0</v>
      </c>
      <c r="Z530">
        <f>AND(IF(Metadata!G530="",FALSE,TRUE),exact(Metadata!G530,"air"))</f>
        <v>0</v>
      </c>
      <c r="AA530">
        <f>AND(IF(Metadata!H530="",FALSE,TRUE),exact(Metadata!H530,"air"))</f>
        <v>0</v>
      </c>
      <c r="AB530">
        <f>AND(IF(Metadata!I530="",FALSE,TRUE),exact(Metadata!I530,"air metagenome"))</f>
        <v>0</v>
      </c>
      <c r="AC530">
        <f>AND(IF(Metadata!J530="",FALSE,TRUE),exact(Metadata!J530,"655179"))</f>
        <v>0</v>
      </c>
    </row>
    <row r="531" spans="1:29">
      <c r="A531" s="5">
        <f>IF(B531=" "," ",HYPERLINK(CONCATENATE("#metadata!",ADDRESS(INDEX($P$2:$P$1001,MATCH(ROWS($N$2:N531),$N$2:$N$1001,0),0),1)),INDEX($S$2:$S$1001,MATCH(ROWS($N$2:N531),$N$2:$N$1001,0),0)))</f>
        <v>0</v>
      </c>
      <c r="B531" s="4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4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4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4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4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4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4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4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4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OR(AND(IF(Metadata!C531="",FALSE,TRUE),OR(exact(Metadata!C531,"not applicable"),exact(Metadata!C531,"not collected"),exact(Metadata!C531,"not provided"),exact(Metadata!C531,"restricted access"))),IF(Metadata!C531="",FALSE,ISNUMBER(VALUE(Metadata!C531))))</f>
        <v>0</v>
      </c>
      <c r="W531">
        <f>AND(IF(Metadata!D531="",FALSE,TRUE),exact(Metadata!D531,"m"))</f>
        <v>0</v>
      </c>
      <c r="X531">
        <f>AND(IF(Metadata!E531="",FALSE,TRUE),OR(exact(Metadata!E531,"aerosol (non-saline)"),exact(Metadata!E531,"aerosol (saline)")))</f>
        <v>0</v>
      </c>
      <c r="Y531">
        <f>AND(IF(Metadata!F531="",FALSE,TRUE),exact(Metadata!F531,"air"))</f>
        <v>0</v>
      </c>
      <c r="Z531">
        <f>AND(IF(Metadata!G531="",FALSE,TRUE),exact(Metadata!G531,"air"))</f>
        <v>0</v>
      </c>
      <c r="AA531">
        <f>AND(IF(Metadata!H531="",FALSE,TRUE),exact(Metadata!H531,"air"))</f>
        <v>0</v>
      </c>
      <c r="AB531">
        <f>AND(IF(Metadata!I531="",FALSE,TRUE),exact(Metadata!I531,"air metagenome"))</f>
        <v>0</v>
      </c>
      <c r="AC531">
        <f>AND(IF(Metadata!J531="",FALSE,TRUE),exact(Metadata!J531,"655179"))</f>
        <v>0</v>
      </c>
    </row>
    <row r="532" spans="1:29">
      <c r="A532" s="5">
        <f>IF(B532=" "," ",HYPERLINK(CONCATENATE("#metadata!",ADDRESS(INDEX($P$2:$P$1001,MATCH(ROWS($N$2:N532),$N$2:$N$1001,0),0),1)),INDEX($S$2:$S$1001,MATCH(ROWS($N$2:N532),$N$2:$N$1001,0),0)))</f>
        <v>0</v>
      </c>
      <c r="B532" s="4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4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4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4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4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4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4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4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4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OR(AND(IF(Metadata!C532="",FALSE,TRUE),OR(exact(Metadata!C532,"not applicable"),exact(Metadata!C532,"not collected"),exact(Metadata!C532,"not provided"),exact(Metadata!C532,"restricted access"))),IF(Metadata!C532="",FALSE,ISNUMBER(VALUE(Metadata!C532))))</f>
        <v>0</v>
      </c>
      <c r="W532">
        <f>AND(IF(Metadata!D532="",FALSE,TRUE),exact(Metadata!D532,"m"))</f>
        <v>0</v>
      </c>
      <c r="X532">
        <f>AND(IF(Metadata!E532="",FALSE,TRUE),OR(exact(Metadata!E532,"aerosol (non-saline)"),exact(Metadata!E532,"aerosol (saline)")))</f>
        <v>0</v>
      </c>
      <c r="Y532">
        <f>AND(IF(Metadata!F532="",FALSE,TRUE),exact(Metadata!F532,"air"))</f>
        <v>0</v>
      </c>
      <c r="Z532">
        <f>AND(IF(Metadata!G532="",FALSE,TRUE),exact(Metadata!G532,"air"))</f>
        <v>0</v>
      </c>
      <c r="AA532">
        <f>AND(IF(Metadata!H532="",FALSE,TRUE),exact(Metadata!H532,"air"))</f>
        <v>0</v>
      </c>
      <c r="AB532">
        <f>AND(IF(Metadata!I532="",FALSE,TRUE),exact(Metadata!I532,"air metagenome"))</f>
        <v>0</v>
      </c>
      <c r="AC532">
        <f>AND(IF(Metadata!J532="",FALSE,TRUE),exact(Metadata!J532,"655179"))</f>
        <v>0</v>
      </c>
    </row>
    <row r="533" spans="1:29">
      <c r="A533" s="5">
        <f>IF(B533=" "," ",HYPERLINK(CONCATENATE("#metadata!",ADDRESS(INDEX($P$2:$P$1001,MATCH(ROWS($N$2:N533),$N$2:$N$1001,0),0),1)),INDEX($S$2:$S$1001,MATCH(ROWS($N$2:N533),$N$2:$N$1001,0),0)))</f>
        <v>0</v>
      </c>
      <c r="B533" s="4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4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4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4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4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4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4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4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4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OR(AND(IF(Metadata!C533="",FALSE,TRUE),OR(exact(Metadata!C533,"not applicable"),exact(Metadata!C533,"not collected"),exact(Metadata!C533,"not provided"),exact(Metadata!C533,"restricted access"))),IF(Metadata!C533="",FALSE,ISNUMBER(VALUE(Metadata!C533))))</f>
        <v>0</v>
      </c>
      <c r="W533">
        <f>AND(IF(Metadata!D533="",FALSE,TRUE),exact(Metadata!D533,"m"))</f>
        <v>0</v>
      </c>
      <c r="X533">
        <f>AND(IF(Metadata!E533="",FALSE,TRUE),OR(exact(Metadata!E533,"aerosol (non-saline)"),exact(Metadata!E533,"aerosol (saline)")))</f>
        <v>0</v>
      </c>
      <c r="Y533">
        <f>AND(IF(Metadata!F533="",FALSE,TRUE),exact(Metadata!F533,"air"))</f>
        <v>0</v>
      </c>
      <c r="Z533">
        <f>AND(IF(Metadata!G533="",FALSE,TRUE),exact(Metadata!G533,"air"))</f>
        <v>0</v>
      </c>
      <c r="AA533">
        <f>AND(IF(Metadata!H533="",FALSE,TRUE),exact(Metadata!H533,"air"))</f>
        <v>0</v>
      </c>
      <c r="AB533">
        <f>AND(IF(Metadata!I533="",FALSE,TRUE),exact(Metadata!I533,"air metagenome"))</f>
        <v>0</v>
      </c>
      <c r="AC533">
        <f>AND(IF(Metadata!J533="",FALSE,TRUE),exact(Metadata!J533,"655179"))</f>
        <v>0</v>
      </c>
    </row>
    <row r="534" spans="1:29">
      <c r="A534" s="5">
        <f>IF(B534=" "," ",HYPERLINK(CONCATENATE("#metadata!",ADDRESS(INDEX($P$2:$P$1001,MATCH(ROWS($N$2:N534),$N$2:$N$1001,0),0),1)),INDEX($S$2:$S$1001,MATCH(ROWS($N$2:N534),$N$2:$N$1001,0),0)))</f>
        <v>0</v>
      </c>
      <c r="B534" s="4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4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4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4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4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4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4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4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4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OR(AND(IF(Metadata!C534="",FALSE,TRUE),OR(exact(Metadata!C534,"not applicable"),exact(Metadata!C534,"not collected"),exact(Metadata!C534,"not provided"),exact(Metadata!C534,"restricted access"))),IF(Metadata!C534="",FALSE,ISNUMBER(VALUE(Metadata!C534))))</f>
        <v>0</v>
      </c>
      <c r="W534">
        <f>AND(IF(Metadata!D534="",FALSE,TRUE),exact(Metadata!D534,"m"))</f>
        <v>0</v>
      </c>
      <c r="X534">
        <f>AND(IF(Metadata!E534="",FALSE,TRUE),OR(exact(Metadata!E534,"aerosol (non-saline)"),exact(Metadata!E534,"aerosol (saline)")))</f>
        <v>0</v>
      </c>
      <c r="Y534">
        <f>AND(IF(Metadata!F534="",FALSE,TRUE),exact(Metadata!F534,"air"))</f>
        <v>0</v>
      </c>
      <c r="Z534">
        <f>AND(IF(Metadata!G534="",FALSE,TRUE),exact(Metadata!G534,"air"))</f>
        <v>0</v>
      </c>
      <c r="AA534">
        <f>AND(IF(Metadata!H534="",FALSE,TRUE),exact(Metadata!H534,"air"))</f>
        <v>0</v>
      </c>
      <c r="AB534">
        <f>AND(IF(Metadata!I534="",FALSE,TRUE),exact(Metadata!I534,"air metagenome"))</f>
        <v>0</v>
      </c>
      <c r="AC534">
        <f>AND(IF(Metadata!J534="",FALSE,TRUE),exact(Metadata!J534,"655179"))</f>
        <v>0</v>
      </c>
    </row>
    <row r="535" spans="1:29">
      <c r="A535" s="5">
        <f>IF(B535=" "," ",HYPERLINK(CONCATENATE("#metadata!",ADDRESS(INDEX($P$2:$P$1001,MATCH(ROWS($N$2:N535),$N$2:$N$1001,0),0),1)),INDEX($S$2:$S$1001,MATCH(ROWS($N$2:N535),$N$2:$N$1001,0),0)))</f>
        <v>0</v>
      </c>
      <c r="B535" s="4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4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4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4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4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4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4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4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4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OR(AND(IF(Metadata!C535="",FALSE,TRUE),OR(exact(Metadata!C535,"not applicable"),exact(Metadata!C535,"not collected"),exact(Metadata!C535,"not provided"),exact(Metadata!C535,"restricted access"))),IF(Metadata!C535="",FALSE,ISNUMBER(VALUE(Metadata!C535))))</f>
        <v>0</v>
      </c>
      <c r="W535">
        <f>AND(IF(Metadata!D535="",FALSE,TRUE),exact(Metadata!D535,"m"))</f>
        <v>0</v>
      </c>
      <c r="X535">
        <f>AND(IF(Metadata!E535="",FALSE,TRUE),OR(exact(Metadata!E535,"aerosol (non-saline)"),exact(Metadata!E535,"aerosol (saline)")))</f>
        <v>0</v>
      </c>
      <c r="Y535">
        <f>AND(IF(Metadata!F535="",FALSE,TRUE),exact(Metadata!F535,"air"))</f>
        <v>0</v>
      </c>
      <c r="Z535">
        <f>AND(IF(Metadata!G535="",FALSE,TRUE),exact(Metadata!G535,"air"))</f>
        <v>0</v>
      </c>
      <c r="AA535">
        <f>AND(IF(Metadata!H535="",FALSE,TRUE),exact(Metadata!H535,"air"))</f>
        <v>0</v>
      </c>
      <c r="AB535">
        <f>AND(IF(Metadata!I535="",FALSE,TRUE),exact(Metadata!I535,"air metagenome"))</f>
        <v>0</v>
      </c>
      <c r="AC535">
        <f>AND(IF(Metadata!J535="",FALSE,TRUE),exact(Metadata!J535,"655179"))</f>
        <v>0</v>
      </c>
    </row>
    <row r="536" spans="1:29">
      <c r="A536" s="5">
        <f>IF(B536=" "," ",HYPERLINK(CONCATENATE("#metadata!",ADDRESS(INDEX($P$2:$P$1001,MATCH(ROWS($N$2:N536),$N$2:$N$1001,0),0),1)),INDEX($S$2:$S$1001,MATCH(ROWS($N$2:N536),$N$2:$N$1001,0),0)))</f>
        <v>0</v>
      </c>
      <c r="B536" s="4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4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4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4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4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4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4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4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4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OR(AND(IF(Metadata!C536="",FALSE,TRUE),OR(exact(Metadata!C536,"not applicable"),exact(Metadata!C536,"not collected"),exact(Metadata!C536,"not provided"),exact(Metadata!C536,"restricted access"))),IF(Metadata!C536="",FALSE,ISNUMBER(VALUE(Metadata!C536))))</f>
        <v>0</v>
      </c>
      <c r="W536">
        <f>AND(IF(Metadata!D536="",FALSE,TRUE),exact(Metadata!D536,"m"))</f>
        <v>0</v>
      </c>
      <c r="X536">
        <f>AND(IF(Metadata!E536="",FALSE,TRUE),OR(exact(Metadata!E536,"aerosol (non-saline)"),exact(Metadata!E536,"aerosol (saline)")))</f>
        <v>0</v>
      </c>
      <c r="Y536">
        <f>AND(IF(Metadata!F536="",FALSE,TRUE),exact(Metadata!F536,"air"))</f>
        <v>0</v>
      </c>
      <c r="Z536">
        <f>AND(IF(Metadata!G536="",FALSE,TRUE),exact(Metadata!G536,"air"))</f>
        <v>0</v>
      </c>
      <c r="AA536">
        <f>AND(IF(Metadata!H536="",FALSE,TRUE),exact(Metadata!H536,"air"))</f>
        <v>0</v>
      </c>
      <c r="AB536">
        <f>AND(IF(Metadata!I536="",FALSE,TRUE),exact(Metadata!I536,"air metagenome"))</f>
        <v>0</v>
      </c>
      <c r="AC536">
        <f>AND(IF(Metadata!J536="",FALSE,TRUE),exact(Metadata!J536,"655179"))</f>
        <v>0</v>
      </c>
    </row>
    <row r="537" spans="1:29">
      <c r="A537" s="5">
        <f>IF(B537=" "," ",HYPERLINK(CONCATENATE("#metadata!",ADDRESS(INDEX($P$2:$P$1001,MATCH(ROWS($N$2:N537),$N$2:$N$1001,0),0),1)),INDEX($S$2:$S$1001,MATCH(ROWS($N$2:N537),$N$2:$N$1001,0),0)))</f>
        <v>0</v>
      </c>
      <c r="B537" s="4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4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4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4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4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4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4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4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4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OR(AND(IF(Metadata!C537="",FALSE,TRUE),OR(exact(Metadata!C537,"not applicable"),exact(Metadata!C537,"not collected"),exact(Metadata!C537,"not provided"),exact(Metadata!C537,"restricted access"))),IF(Metadata!C537="",FALSE,ISNUMBER(VALUE(Metadata!C537))))</f>
        <v>0</v>
      </c>
      <c r="W537">
        <f>AND(IF(Metadata!D537="",FALSE,TRUE),exact(Metadata!D537,"m"))</f>
        <v>0</v>
      </c>
      <c r="X537">
        <f>AND(IF(Metadata!E537="",FALSE,TRUE),OR(exact(Metadata!E537,"aerosol (non-saline)"),exact(Metadata!E537,"aerosol (saline)")))</f>
        <v>0</v>
      </c>
      <c r="Y537">
        <f>AND(IF(Metadata!F537="",FALSE,TRUE),exact(Metadata!F537,"air"))</f>
        <v>0</v>
      </c>
      <c r="Z537">
        <f>AND(IF(Metadata!G537="",FALSE,TRUE),exact(Metadata!G537,"air"))</f>
        <v>0</v>
      </c>
      <c r="AA537">
        <f>AND(IF(Metadata!H537="",FALSE,TRUE),exact(Metadata!H537,"air"))</f>
        <v>0</v>
      </c>
      <c r="AB537">
        <f>AND(IF(Metadata!I537="",FALSE,TRUE),exact(Metadata!I537,"air metagenome"))</f>
        <v>0</v>
      </c>
      <c r="AC537">
        <f>AND(IF(Metadata!J537="",FALSE,TRUE),exact(Metadata!J537,"655179"))</f>
        <v>0</v>
      </c>
    </row>
    <row r="538" spans="1:29">
      <c r="A538" s="5">
        <f>IF(B538=" "," ",HYPERLINK(CONCATENATE("#metadata!",ADDRESS(INDEX($P$2:$P$1001,MATCH(ROWS($N$2:N538),$N$2:$N$1001,0),0),1)),INDEX($S$2:$S$1001,MATCH(ROWS($N$2:N538),$N$2:$N$1001,0),0)))</f>
        <v>0</v>
      </c>
      <c r="B538" s="4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4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4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4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4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4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4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4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4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OR(AND(IF(Metadata!C538="",FALSE,TRUE),OR(exact(Metadata!C538,"not applicable"),exact(Metadata!C538,"not collected"),exact(Metadata!C538,"not provided"),exact(Metadata!C538,"restricted access"))),IF(Metadata!C538="",FALSE,ISNUMBER(VALUE(Metadata!C538))))</f>
        <v>0</v>
      </c>
      <c r="W538">
        <f>AND(IF(Metadata!D538="",FALSE,TRUE),exact(Metadata!D538,"m"))</f>
        <v>0</v>
      </c>
      <c r="X538">
        <f>AND(IF(Metadata!E538="",FALSE,TRUE),OR(exact(Metadata!E538,"aerosol (non-saline)"),exact(Metadata!E538,"aerosol (saline)")))</f>
        <v>0</v>
      </c>
      <c r="Y538">
        <f>AND(IF(Metadata!F538="",FALSE,TRUE),exact(Metadata!F538,"air"))</f>
        <v>0</v>
      </c>
      <c r="Z538">
        <f>AND(IF(Metadata!G538="",FALSE,TRUE),exact(Metadata!G538,"air"))</f>
        <v>0</v>
      </c>
      <c r="AA538">
        <f>AND(IF(Metadata!H538="",FALSE,TRUE),exact(Metadata!H538,"air"))</f>
        <v>0</v>
      </c>
      <c r="AB538">
        <f>AND(IF(Metadata!I538="",FALSE,TRUE),exact(Metadata!I538,"air metagenome"))</f>
        <v>0</v>
      </c>
      <c r="AC538">
        <f>AND(IF(Metadata!J538="",FALSE,TRUE),exact(Metadata!J538,"655179"))</f>
        <v>0</v>
      </c>
    </row>
    <row r="539" spans="1:29">
      <c r="A539" s="5">
        <f>IF(B539=" "," ",HYPERLINK(CONCATENATE("#metadata!",ADDRESS(INDEX($P$2:$P$1001,MATCH(ROWS($N$2:N539),$N$2:$N$1001,0),0),1)),INDEX($S$2:$S$1001,MATCH(ROWS($N$2:N539),$N$2:$N$1001,0),0)))</f>
        <v>0</v>
      </c>
      <c r="B539" s="4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4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4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4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4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4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4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4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4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OR(AND(IF(Metadata!C539="",FALSE,TRUE),OR(exact(Metadata!C539,"not applicable"),exact(Metadata!C539,"not collected"),exact(Metadata!C539,"not provided"),exact(Metadata!C539,"restricted access"))),IF(Metadata!C539="",FALSE,ISNUMBER(VALUE(Metadata!C539))))</f>
        <v>0</v>
      </c>
      <c r="W539">
        <f>AND(IF(Metadata!D539="",FALSE,TRUE),exact(Metadata!D539,"m"))</f>
        <v>0</v>
      </c>
      <c r="X539">
        <f>AND(IF(Metadata!E539="",FALSE,TRUE),OR(exact(Metadata!E539,"aerosol (non-saline)"),exact(Metadata!E539,"aerosol (saline)")))</f>
        <v>0</v>
      </c>
      <c r="Y539">
        <f>AND(IF(Metadata!F539="",FALSE,TRUE),exact(Metadata!F539,"air"))</f>
        <v>0</v>
      </c>
      <c r="Z539">
        <f>AND(IF(Metadata!G539="",FALSE,TRUE),exact(Metadata!G539,"air"))</f>
        <v>0</v>
      </c>
      <c r="AA539">
        <f>AND(IF(Metadata!H539="",FALSE,TRUE),exact(Metadata!H539,"air"))</f>
        <v>0</v>
      </c>
      <c r="AB539">
        <f>AND(IF(Metadata!I539="",FALSE,TRUE),exact(Metadata!I539,"air metagenome"))</f>
        <v>0</v>
      </c>
      <c r="AC539">
        <f>AND(IF(Metadata!J539="",FALSE,TRUE),exact(Metadata!J539,"655179"))</f>
        <v>0</v>
      </c>
    </row>
    <row r="540" spans="1:29">
      <c r="A540" s="5">
        <f>IF(B540=" "," ",HYPERLINK(CONCATENATE("#metadata!",ADDRESS(INDEX($P$2:$P$1001,MATCH(ROWS($N$2:N540),$N$2:$N$1001,0),0),1)),INDEX($S$2:$S$1001,MATCH(ROWS($N$2:N540),$N$2:$N$1001,0),0)))</f>
        <v>0</v>
      </c>
      <c r="B540" s="4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4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4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4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4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4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4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4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4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OR(AND(IF(Metadata!C540="",FALSE,TRUE),OR(exact(Metadata!C540,"not applicable"),exact(Metadata!C540,"not collected"),exact(Metadata!C540,"not provided"),exact(Metadata!C540,"restricted access"))),IF(Metadata!C540="",FALSE,ISNUMBER(VALUE(Metadata!C540))))</f>
        <v>0</v>
      </c>
      <c r="W540">
        <f>AND(IF(Metadata!D540="",FALSE,TRUE),exact(Metadata!D540,"m"))</f>
        <v>0</v>
      </c>
      <c r="X540">
        <f>AND(IF(Metadata!E540="",FALSE,TRUE),OR(exact(Metadata!E540,"aerosol (non-saline)"),exact(Metadata!E540,"aerosol (saline)")))</f>
        <v>0</v>
      </c>
      <c r="Y540">
        <f>AND(IF(Metadata!F540="",FALSE,TRUE),exact(Metadata!F540,"air"))</f>
        <v>0</v>
      </c>
      <c r="Z540">
        <f>AND(IF(Metadata!G540="",FALSE,TRUE),exact(Metadata!G540,"air"))</f>
        <v>0</v>
      </c>
      <c r="AA540">
        <f>AND(IF(Metadata!H540="",FALSE,TRUE),exact(Metadata!H540,"air"))</f>
        <v>0</v>
      </c>
      <c r="AB540">
        <f>AND(IF(Metadata!I540="",FALSE,TRUE),exact(Metadata!I540,"air metagenome"))</f>
        <v>0</v>
      </c>
      <c r="AC540">
        <f>AND(IF(Metadata!J540="",FALSE,TRUE),exact(Metadata!J540,"655179"))</f>
        <v>0</v>
      </c>
    </row>
    <row r="541" spans="1:29">
      <c r="A541" s="5">
        <f>IF(B541=" "," ",HYPERLINK(CONCATENATE("#metadata!",ADDRESS(INDEX($P$2:$P$1001,MATCH(ROWS($N$2:N541),$N$2:$N$1001,0),0),1)),INDEX($S$2:$S$1001,MATCH(ROWS($N$2:N541),$N$2:$N$1001,0),0)))</f>
        <v>0</v>
      </c>
      <c r="B541" s="4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4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4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4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4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4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4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4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4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OR(AND(IF(Metadata!C541="",FALSE,TRUE),OR(exact(Metadata!C541,"not applicable"),exact(Metadata!C541,"not collected"),exact(Metadata!C541,"not provided"),exact(Metadata!C541,"restricted access"))),IF(Metadata!C541="",FALSE,ISNUMBER(VALUE(Metadata!C541))))</f>
        <v>0</v>
      </c>
      <c r="W541">
        <f>AND(IF(Metadata!D541="",FALSE,TRUE),exact(Metadata!D541,"m"))</f>
        <v>0</v>
      </c>
      <c r="X541">
        <f>AND(IF(Metadata!E541="",FALSE,TRUE),OR(exact(Metadata!E541,"aerosol (non-saline)"),exact(Metadata!E541,"aerosol (saline)")))</f>
        <v>0</v>
      </c>
      <c r="Y541">
        <f>AND(IF(Metadata!F541="",FALSE,TRUE),exact(Metadata!F541,"air"))</f>
        <v>0</v>
      </c>
      <c r="Z541">
        <f>AND(IF(Metadata!G541="",FALSE,TRUE),exact(Metadata!G541,"air"))</f>
        <v>0</v>
      </c>
      <c r="AA541">
        <f>AND(IF(Metadata!H541="",FALSE,TRUE),exact(Metadata!H541,"air"))</f>
        <v>0</v>
      </c>
      <c r="AB541">
        <f>AND(IF(Metadata!I541="",FALSE,TRUE),exact(Metadata!I541,"air metagenome"))</f>
        <v>0</v>
      </c>
      <c r="AC541">
        <f>AND(IF(Metadata!J541="",FALSE,TRUE),exact(Metadata!J541,"655179"))</f>
        <v>0</v>
      </c>
    </row>
    <row r="542" spans="1:29">
      <c r="A542" s="5">
        <f>IF(B542=" "," ",HYPERLINK(CONCATENATE("#metadata!",ADDRESS(INDEX($P$2:$P$1001,MATCH(ROWS($N$2:N542),$N$2:$N$1001,0),0),1)),INDEX($S$2:$S$1001,MATCH(ROWS($N$2:N542),$N$2:$N$1001,0),0)))</f>
        <v>0</v>
      </c>
      <c r="B542" s="4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4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4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4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4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4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4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4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4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OR(AND(IF(Metadata!C542="",FALSE,TRUE),OR(exact(Metadata!C542,"not applicable"),exact(Metadata!C542,"not collected"),exact(Metadata!C542,"not provided"),exact(Metadata!C542,"restricted access"))),IF(Metadata!C542="",FALSE,ISNUMBER(VALUE(Metadata!C542))))</f>
        <v>0</v>
      </c>
      <c r="W542">
        <f>AND(IF(Metadata!D542="",FALSE,TRUE),exact(Metadata!D542,"m"))</f>
        <v>0</v>
      </c>
      <c r="X542">
        <f>AND(IF(Metadata!E542="",FALSE,TRUE),OR(exact(Metadata!E542,"aerosol (non-saline)"),exact(Metadata!E542,"aerosol (saline)")))</f>
        <v>0</v>
      </c>
      <c r="Y542">
        <f>AND(IF(Metadata!F542="",FALSE,TRUE),exact(Metadata!F542,"air"))</f>
        <v>0</v>
      </c>
      <c r="Z542">
        <f>AND(IF(Metadata!G542="",FALSE,TRUE),exact(Metadata!G542,"air"))</f>
        <v>0</v>
      </c>
      <c r="AA542">
        <f>AND(IF(Metadata!H542="",FALSE,TRUE),exact(Metadata!H542,"air"))</f>
        <v>0</v>
      </c>
      <c r="AB542">
        <f>AND(IF(Metadata!I542="",FALSE,TRUE),exact(Metadata!I542,"air metagenome"))</f>
        <v>0</v>
      </c>
      <c r="AC542">
        <f>AND(IF(Metadata!J542="",FALSE,TRUE),exact(Metadata!J542,"655179"))</f>
        <v>0</v>
      </c>
    </row>
    <row r="543" spans="1:29">
      <c r="A543" s="5">
        <f>IF(B543=" "," ",HYPERLINK(CONCATENATE("#metadata!",ADDRESS(INDEX($P$2:$P$1001,MATCH(ROWS($N$2:N543),$N$2:$N$1001,0),0),1)),INDEX($S$2:$S$1001,MATCH(ROWS($N$2:N543),$N$2:$N$1001,0),0)))</f>
        <v>0</v>
      </c>
      <c r="B543" s="4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4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4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4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4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4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4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4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4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OR(AND(IF(Metadata!C543="",FALSE,TRUE),OR(exact(Metadata!C543,"not applicable"),exact(Metadata!C543,"not collected"),exact(Metadata!C543,"not provided"),exact(Metadata!C543,"restricted access"))),IF(Metadata!C543="",FALSE,ISNUMBER(VALUE(Metadata!C543))))</f>
        <v>0</v>
      </c>
      <c r="W543">
        <f>AND(IF(Metadata!D543="",FALSE,TRUE),exact(Metadata!D543,"m"))</f>
        <v>0</v>
      </c>
      <c r="X543">
        <f>AND(IF(Metadata!E543="",FALSE,TRUE),OR(exact(Metadata!E543,"aerosol (non-saline)"),exact(Metadata!E543,"aerosol (saline)")))</f>
        <v>0</v>
      </c>
      <c r="Y543">
        <f>AND(IF(Metadata!F543="",FALSE,TRUE),exact(Metadata!F543,"air"))</f>
        <v>0</v>
      </c>
      <c r="Z543">
        <f>AND(IF(Metadata!G543="",FALSE,TRUE),exact(Metadata!G543,"air"))</f>
        <v>0</v>
      </c>
      <c r="AA543">
        <f>AND(IF(Metadata!H543="",FALSE,TRUE),exact(Metadata!H543,"air"))</f>
        <v>0</v>
      </c>
      <c r="AB543">
        <f>AND(IF(Metadata!I543="",FALSE,TRUE),exact(Metadata!I543,"air metagenome"))</f>
        <v>0</v>
      </c>
      <c r="AC543">
        <f>AND(IF(Metadata!J543="",FALSE,TRUE),exact(Metadata!J543,"655179"))</f>
        <v>0</v>
      </c>
    </row>
    <row r="544" spans="1:29">
      <c r="A544" s="5">
        <f>IF(B544=" "," ",HYPERLINK(CONCATENATE("#metadata!",ADDRESS(INDEX($P$2:$P$1001,MATCH(ROWS($N$2:N544),$N$2:$N$1001,0),0),1)),INDEX($S$2:$S$1001,MATCH(ROWS($N$2:N544),$N$2:$N$1001,0),0)))</f>
        <v>0</v>
      </c>
      <c r="B544" s="4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4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4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4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4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4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4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4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4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OR(AND(IF(Metadata!C544="",FALSE,TRUE),OR(exact(Metadata!C544,"not applicable"),exact(Metadata!C544,"not collected"),exact(Metadata!C544,"not provided"),exact(Metadata!C544,"restricted access"))),IF(Metadata!C544="",FALSE,ISNUMBER(VALUE(Metadata!C544))))</f>
        <v>0</v>
      </c>
      <c r="W544">
        <f>AND(IF(Metadata!D544="",FALSE,TRUE),exact(Metadata!D544,"m"))</f>
        <v>0</v>
      </c>
      <c r="X544">
        <f>AND(IF(Metadata!E544="",FALSE,TRUE),OR(exact(Metadata!E544,"aerosol (non-saline)"),exact(Metadata!E544,"aerosol (saline)")))</f>
        <v>0</v>
      </c>
      <c r="Y544">
        <f>AND(IF(Metadata!F544="",FALSE,TRUE),exact(Metadata!F544,"air"))</f>
        <v>0</v>
      </c>
      <c r="Z544">
        <f>AND(IF(Metadata!G544="",FALSE,TRUE),exact(Metadata!G544,"air"))</f>
        <v>0</v>
      </c>
      <c r="AA544">
        <f>AND(IF(Metadata!H544="",FALSE,TRUE),exact(Metadata!H544,"air"))</f>
        <v>0</v>
      </c>
      <c r="AB544">
        <f>AND(IF(Metadata!I544="",FALSE,TRUE),exact(Metadata!I544,"air metagenome"))</f>
        <v>0</v>
      </c>
      <c r="AC544">
        <f>AND(IF(Metadata!J544="",FALSE,TRUE),exact(Metadata!J544,"655179"))</f>
        <v>0</v>
      </c>
    </row>
    <row r="545" spans="1:29">
      <c r="A545" s="5">
        <f>IF(B545=" "," ",HYPERLINK(CONCATENATE("#metadata!",ADDRESS(INDEX($P$2:$P$1001,MATCH(ROWS($N$2:N545),$N$2:$N$1001,0),0),1)),INDEX($S$2:$S$1001,MATCH(ROWS($N$2:N545),$N$2:$N$1001,0),0)))</f>
        <v>0</v>
      </c>
      <c r="B545" s="4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4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4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4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4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4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4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4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4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OR(AND(IF(Metadata!C545="",FALSE,TRUE),OR(exact(Metadata!C545,"not applicable"),exact(Metadata!C545,"not collected"),exact(Metadata!C545,"not provided"),exact(Metadata!C545,"restricted access"))),IF(Metadata!C545="",FALSE,ISNUMBER(VALUE(Metadata!C545))))</f>
        <v>0</v>
      </c>
      <c r="W545">
        <f>AND(IF(Metadata!D545="",FALSE,TRUE),exact(Metadata!D545,"m"))</f>
        <v>0</v>
      </c>
      <c r="X545">
        <f>AND(IF(Metadata!E545="",FALSE,TRUE),OR(exact(Metadata!E545,"aerosol (non-saline)"),exact(Metadata!E545,"aerosol (saline)")))</f>
        <v>0</v>
      </c>
      <c r="Y545">
        <f>AND(IF(Metadata!F545="",FALSE,TRUE),exact(Metadata!F545,"air"))</f>
        <v>0</v>
      </c>
      <c r="Z545">
        <f>AND(IF(Metadata!G545="",FALSE,TRUE),exact(Metadata!G545,"air"))</f>
        <v>0</v>
      </c>
      <c r="AA545">
        <f>AND(IF(Metadata!H545="",FALSE,TRUE),exact(Metadata!H545,"air"))</f>
        <v>0</v>
      </c>
      <c r="AB545">
        <f>AND(IF(Metadata!I545="",FALSE,TRUE),exact(Metadata!I545,"air metagenome"))</f>
        <v>0</v>
      </c>
      <c r="AC545">
        <f>AND(IF(Metadata!J545="",FALSE,TRUE),exact(Metadata!J545,"655179"))</f>
        <v>0</v>
      </c>
    </row>
    <row r="546" spans="1:29">
      <c r="A546" s="5">
        <f>IF(B546=" "," ",HYPERLINK(CONCATENATE("#metadata!",ADDRESS(INDEX($P$2:$P$1001,MATCH(ROWS($N$2:N546),$N$2:$N$1001,0),0),1)),INDEX($S$2:$S$1001,MATCH(ROWS($N$2:N546),$N$2:$N$1001,0),0)))</f>
        <v>0</v>
      </c>
      <c r="B546" s="4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4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4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4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4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4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4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4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4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OR(AND(IF(Metadata!C546="",FALSE,TRUE),OR(exact(Metadata!C546,"not applicable"),exact(Metadata!C546,"not collected"),exact(Metadata!C546,"not provided"),exact(Metadata!C546,"restricted access"))),IF(Metadata!C546="",FALSE,ISNUMBER(VALUE(Metadata!C546))))</f>
        <v>0</v>
      </c>
      <c r="W546">
        <f>AND(IF(Metadata!D546="",FALSE,TRUE),exact(Metadata!D546,"m"))</f>
        <v>0</v>
      </c>
      <c r="X546">
        <f>AND(IF(Metadata!E546="",FALSE,TRUE),OR(exact(Metadata!E546,"aerosol (non-saline)"),exact(Metadata!E546,"aerosol (saline)")))</f>
        <v>0</v>
      </c>
      <c r="Y546">
        <f>AND(IF(Metadata!F546="",FALSE,TRUE),exact(Metadata!F546,"air"))</f>
        <v>0</v>
      </c>
      <c r="Z546">
        <f>AND(IF(Metadata!G546="",FALSE,TRUE),exact(Metadata!G546,"air"))</f>
        <v>0</v>
      </c>
      <c r="AA546">
        <f>AND(IF(Metadata!H546="",FALSE,TRUE),exact(Metadata!H546,"air"))</f>
        <v>0</v>
      </c>
      <c r="AB546">
        <f>AND(IF(Metadata!I546="",FALSE,TRUE),exact(Metadata!I546,"air metagenome"))</f>
        <v>0</v>
      </c>
      <c r="AC546">
        <f>AND(IF(Metadata!J546="",FALSE,TRUE),exact(Metadata!J546,"655179"))</f>
        <v>0</v>
      </c>
    </row>
    <row r="547" spans="1:29">
      <c r="A547" s="5">
        <f>IF(B547=" "," ",HYPERLINK(CONCATENATE("#metadata!",ADDRESS(INDEX($P$2:$P$1001,MATCH(ROWS($N$2:N547),$N$2:$N$1001,0),0),1)),INDEX($S$2:$S$1001,MATCH(ROWS($N$2:N547),$N$2:$N$1001,0),0)))</f>
        <v>0</v>
      </c>
      <c r="B547" s="4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4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4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4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4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4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4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4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4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OR(AND(IF(Metadata!C547="",FALSE,TRUE),OR(exact(Metadata!C547,"not applicable"),exact(Metadata!C547,"not collected"),exact(Metadata!C547,"not provided"),exact(Metadata!C547,"restricted access"))),IF(Metadata!C547="",FALSE,ISNUMBER(VALUE(Metadata!C547))))</f>
        <v>0</v>
      </c>
      <c r="W547">
        <f>AND(IF(Metadata!D547="",FALSE,TRUE),exact(Metadata!D547,"m"))</f>
        <v>0</v>
      </c>
      <c r="X547">
        <f>AND(IF(Metadata!E547="",FALSE,TRUE),OR(exact(Metadata!E547,"aerosol (non-saline)"),exact(Metadata!E547,"aerosol (saline)")))</f>
        <v>0</v>
      </c>
      <c r="Y547">
        <f>AND(IF(Metadata!F547="",FALSE,TRUE),exact(Metadata!F547,"air"))</f>
        <v>0</v>
      </c>
      <c r="Z547">
        <f>AND(IF(Metadata!G547="",FALSE,TRUE),exact(Metadata!G547,"air"))</f>
        <v>0</v>
      </c>
      <c r="AA547">
        <f>AND(IF(Metadata!H547="",FALSE,TRUE),exact(Metadata!H547,"air"))</f>
        <v>0</v>
      </c>
      <c r="AB547">
        <f>AND(IF(Metadata!I547="",FALSE,TRUE),exact(Metadata!I547,"air metagenome"))</f>
        <v>0</v>
      </c>
      <c r="AC547">
        <f>AND(IF(Metadata!J547="",FALSE,TRUE),exact(Metadata!J547,"655179"))</f>
        <v>0</v>
      </c>
    </row>
    <row r="548" spans="1:29">
      <c r="A548" s="5">
        <f>IF(B548=" "," ",HYPERLINK(CONCATENATE("#metadata!",ADDRESS(INDEX($P$2:$P$1001,MATCH(ROWS($N$2:N548),$N$2:$N$1001,0),0),1)),INDEX($S$2:$S$1001,MATCH(ROWS($N$2:N548),$N$2:$N$1001,0),0)))</f>
        <v>0</v>
      </c>
      <c r="B548" s="4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4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4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4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4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4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4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4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4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OR(AND(IF(Metadata!C548="",FALSE,TRUE),OR(exact(Metadata!C548,"not applicable"),exact(Metadata!C548,"not collected"),exact(Metadata!C548,"not provided"),exact(Metadata!C548,"restricted access"))),IF(Metadata!C548="",FALSE,ISNUMBER(VALUE(Metadata!C548))))</f>
        <v>0</v>
      </c>
      <c r="W548">
        <f>AND(IF(Metadata!D548="",FALSE,TRUE),exact(Metadata!D548,"m"))</f>
        <v>0</v>
      </c>
      <c r="X548">
        <f>AND(IF(Metadata!E548="",FALSE,TRUE),OR(exact(Metadata!E548,"aerosol (non-saline)"),exact(Metadata!E548,"aerosol (saline)")))</f>
        <v>0</v>
      </c>
      <c r="Y548">
        <f>AND(IF(Metadata!F548="",FALSE,TRUE),exact(Metadata!F548,"air"))</f>
        <v>0</v>
      </c>
      <c r="Z548">
        <f>AND(IF(Metadata!G548="",FALSE,TRUE),exact(Metadata!G548,"air"))</f>
        <v>0</v>
      </c>
      <c r="AA548">
        <f>AND(IF(Metadata!H548="",FALSE,TRUE),exact(Metadata!H548,"air"))</f>
        <v>0</v>
      </c>
      <c r="AB548">
        <f>AND(IF(Metadata!I548="",FALSE,TRUE),exact(Metadata!I548,"air metagenome"))</f>
        <v>0</v>
      </c>
      <c r="AC548">
        <f>AND(IF(Metadata!J548="",FALSE,TRUE),exact(Metadata!J548,"655179"))</f>
        <v>0</v>
      </c>
    </row>
    <row r="549" spans="1:29">
      <c r="A549" s="5">
        <f>IF(B549=" "," ",HYPERLINK(CONCATENATE("#metadata!",ADDRESS(INDEX($P$2:$P$1001,MATCH(ROWS($N$2:N549),$N$2:$N$1001,0),0),1)),INDEX($S$2:$S$1001,MATCH(ROWS($N$2:N549),$N$2:$N$1001,0),0)))</f>
        <v>0</v>
      </c>
      <c r="B549" s="4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4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4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4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4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4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4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4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4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OR(AND(IF(Metadata!C549="",FALSE,TRUE),OR(exact(Metadata!C549,"not applicable"),exact(Metadata!C549,"not collected"),exact(Metadata!C549,"not provided"),exact(Metadata!C549,"restricted access"))),IF(Metadata!C549="",FALSE,ISNUMBER(VALUE(Metadata!C549))))</f>
        <v>0</v>
      </c>
      <c r="W549">
        <f>AND(IF(Metadata!D549="",FALSE,TRUE),exact(Metadata!D549,"m"))</f>
        <v>0</v>
      </c>
      <c r="X549">
        <f>AND(IF(Metadata!E549="",FALSE,TRUE),OR(exact(Metadata!E549,"aerosol (non-saline)"),exact(Metadata!E549,"aerosol (saline)")))</f>
        <v>0</v>
      </c>
      <c r="Y549">
        <f>AND(IF(Metadata!F549="",FALSE,TRUE),exact(Metadata!F549,"air"))</f>
        <v>0</v>
      </c>
      <c r="Z549">
        <f>AND(IF(Metadata!G549="",FALSE,TRUE),exact(Metadata!G549,"air"))</f>
        <v>0</v>
      </c>
      <c r="AA549">
        <f>AND(IF(Metadata!H549="",FALSE,TRUE),exact(Metadata!H549,"air"))</f>
        <v>0</v>
      </c>
      <c r="AB549">
        <f>AND(IF(Metadata!I549="",FALSE,TRUE),exact(Metadata!I549,"air metagenome"))</f>
        <v>0</v>
      </c>
      <c r="AC549">
        <f>AND(IF(Metadata!J549="",FALSE,TRUE),exact(Metadata!J549,"655179"))</f>
        <v>0</v>
      </c>
    </row>
    <row r="550" spans="1:29">
      <c r="A550" s="5">
        <f>IF(B550=" "," ",HYPERLINK(CONCATENATE("#metadata!",ADDRESS(INDEX($P$2:$P$1001,MATCH(ROWS($N$2:N550),$N$2:$N$1001,0),0),1)),INDEX($S$2:$S$1001,MATCH(ROWS($N$2:N550),$N$2:$N$1001,0),0)))</f>
        <v>0</v>
      </c>
      <c r="B550" s="4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4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4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4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4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4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4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4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4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OR(AND(IF(Metadata!C550="",FALSE,TRUE),OR(exact(Metadata!C550,"not applicable"),exact(Metadata!C550,"not collected"),exact(Metadata!C550,"not provided"),exact(Metadata!C550,"restricted access"))),IF(Metadata!C550="",FALSE,ISNUMBER(VALUE(Metadata!C550))))</f>
        <v>0</v>
      </c>
      <c r="W550">
        <f>AND(IF(Metadata!D550="",FALSE,TRUE),exact(Metadata!D550,"m"))</f>
        <v>0</v>
      </c>
      <c r="X550">
        <f>AND(IF(Metadata!E550="",FALSE,TRUE),OR(exact(Metadata!E550,"aerosol (non-saline)"),exact(Metadata!E550,"aerosol (saline)")))</f>
        <v>0</v>
      </c>
      <c r="Y550">
        <f>AND(IF(Metadata!F550="",FALSE,TRUE),exact(Metadata!F550,"air"))</f>
        <v>0</v>
      </c>
      <c r="Z550">
        <f>AND(IF(Metadata!G550="",FALSE,TRUE),exact(Metadata!G550,"air"))</f>
        <v>0</v>
      </c>
      <c r="AA550">
        <f>AND(IF(Metadata!H550="",FALSE,TRUE),exact(Metadata!H550,"air"))</f>
        <v>0</v>
      </c>
      <c r="AB550">
        <f>AND(IF(Metadata!I550="",FALSE,TRUE),exact(Metadata!I550,"air metagenome"))</f>
        <v>0</v>
      </c>
      <c r="AC550">
        <f>AND(IF(Metadata!J550="",FALSE,TRUE),exact(Metadata!J550,"655179"))</f>
        <v>0</v>
      </c>
    </row>
    <row r="551" spans="1:29">
      <c r="A551" s="5">
        <f>IF(B551=" "," ",HYPERLINK(CONCATENATE("#metadata!",ADDRESS(INDEX($P$2:$P$1001,MATCH(ROWS($N$2:N551),$N$2:$N$1001,0),0),1)),INDEX($S$2:$S$1001,MATCH(ROWS($N$2:N551),$N$2:$N$1001,0),0)))</f>
        <v>0</v>
      </c>
      <c r="B551" s="4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4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4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4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4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4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4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4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4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OR(AND(IF(Metadata!C551="",FALSE,TRUE),OR(exact(Metadata!C551,"not applicable"),exact(Metadata!C551,"not collected"),exact(Metadata!C551,"not provided"),exact(Metadata!C551,"restricted access"))),IF(Metadata!C551="",FALSE,ISNUMBER(VALUE(Metadata!C551))))</f>
        <v>0</v>
      </c>
      <c r="W551">
        <f>AND(IF(Metadata!D551="",FALSE,TRUE),exact(Metadata!D551,"m"))</f>
        <v>0</v>
      </c>
      <c r="X551">
        <f>AND(IF(Metadata!E551="",FALSE,TRUE),OR(exact(Metadata!E551,"aerosol (non-saline)"),exact(Metadata!E551,"aerosol (saline)")))</f>
        <v>0</v>
      </c>
      <c r="Y551">
        <f>AND(IF(Metadata!F551="",FALSE,TRUE),exact(Metadata!F551,"air"))</f>
        <v>0</v>
      </c>
      <c r="Z551">
        <f>AND(IF(Metadata!G551="",FALSE,TRUE),exact(Metadata!G551,"air"))</f>
        <v>0</v>
      </c>
      <c r="AA551">
        <f>AND(IF(Metadata!H551="",FALSE,TRUE),exact(Metadata!H551,"air"))</f>
        <v>0</v>
      </c>
      <c r="AB551">
        <f>AND(IF(Metadata!I551="",FALSE,TRUE),exact(Metadata!I551,"air metagenome"))</f>
        <v>0</v>
      </c>
      <c r="AC551">
        <f>AND(IF(Metadata!J551="",FALSE,TRUE),exact(Metadata!J551,"655179"))</f>
        <v>0</v>
      </c>
    </row>
    <row r="552" spans="1:29">
      <c r="A552" s="5">
        <f>IF(B552=" "," ",HYPERLINK(CONCATENATE("#metadata!",ADDRESS(INDEX($P$2:$P$1001,MATCH(ROWS($N$2:N552),$N$2:$N$1001,0),0),1)),INDEX($S$2:$S$1001,MATCH(ROWS($N$2:N552),$N$2:$N$1001,0),0)))</f>
        <v>0</v>
      </c>
      <c r="B552" s="4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4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4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4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4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4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4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4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4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OR(AND(IF(Metadata!C552="",FALSE,TRUE),OR(exact(Metadata!C552,"not applicable"),exact(Metadata!C552,"not collected"),exact(Metadata!C552,"not provided"),exact(Metadata!C552,"restricted access"))),IF(Metadata!C552="",FALSE,ISNUMBER(VALUE(Metadata!C552))))</f>
        <v>0</v>
      </c>
      <c r="W552">
        <f>AND(IF(Metadata!D552="",FALSE,TRUE),exact(Metadata!D552,"m"))</f>
        <v>0</v>
      </c>
      <c r="X552">
        <f>AND(IF(Metadata!E552="",FALSE,TRUE),OR(exact(Metadata!E552,"aerosol (non-saline)"),exact(Metadata!E552,"aerosol (saline)")))</f>
        <v>0</v>
      </c>
      <c r="Y552">
        <f>AND(IF(Metadata!F552="",FALSE,TRUE),exact(Metadata!F552,"air"))</f>
        <v>0</v>
      </c>
      <c r="Z552">
        <f>AND(IF(Metadata!G552="",FALSE,TRUE),exact(Metadata!G552,"air"))</f>
        <v>0</v>
      </c>
      <c r="AA552">
        <f>AND(IF(Metadata!H552="",FALSE,TRUE),exact(Metadata!H552,"air"))</f>
        <v>0</v>
      </c>
      <c r="AB552">
        <f>AND(IF(Metadata!I552="",FALSE,TRUE),exact(Metadata!I552,"air metagenome"))</f>
        <v>0</v>
      </c>
      <c r="AC552">
        <f>AND(IF(Metadata!J552="",FALSE,TRUE),exact(Metadata!J552,"655179"))</f>
        <v>0</v>
      </c>
    </row>
    <row r="553" spans="1:29">
      <c r="A553" s="5">
        <f>IF(B553=" "," ",HYPERLINK(CONCATENATE("#metadata!",ADDRESS(INDEX($P$2:$P$1001,MATCH(ROWS($N$2:N553),$N$2:$N$1001,0),0),1)),INDEX($S$2:$S$1001,MATCH(ROWS($N$2:N553),$N$2:$N$1001,0),0)))</f>
        <v>0</v>
      </c>
      <c r="B553" s="4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4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4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4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4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4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4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4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4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OR(AND(IF(Metadata!C553="",FALSE,TRUE),OR(exact(Metadata!C553,"not applicable"),exact(Metadata!C553,"not collected"),exact(Metadata!C553,"not provided"),exact(Metadata!C553,"restricted access"))),IF(Metadata!C553="",FALSE,ISNUMBER(VALUE(Metadata!C553))))</f>
        <v>0</v>
      </c>
      <c r="W553">
        <f>AND(IF(Metadata!D553="",FALSE,TRUE),exact(Metadata!D553,"m"))</f>
        <v>0</v>
      </c>
      <c r="X553">
        <f>AND(IF(Metadata!E553="",FALSE,TRUE),OR(exact(Metadata!E553,"aerosol (non-saline)"),exact(Metadata!E553,"aerosol (saline)")))</f>
        <v>0</v>
      </c>
      <c r="Y553">
        <f>AND(IF(Metadata!F553="",FALSE,TRUE),exact(Metadata!F553,"air"))</f>
        <v>0</v>
      </c>
      <c r="Z553">
        <f>AND(IF(Metadata!G553="",FALSE,TRUE),exact(Metadata!G553,"air"))</f>
        <v>0</v>
      </c>
      <c r="AA553">
        <f>AND(IF(Metadata!H553="",FALSE,TRUE),exact(Metadata!H553,"air"))</f>
        <v>0</v>
      </c>
      <c r="AB553">
        <f>AND(IF(Metadata!I553="",FALSE,TRUE),exact(Metadata!I553,"air metagenome"))</f>
        <v>0</v>
      </c>
      <c r="AC553">
        <f>AND(IF(Metadata!J553="",FALSE,TRUE),exact(Metadata!J553,"655179"))</f>
        <v>0</v>
      </c>
    </row>
    <row r="554" spans="1:29">
      <c r="A554" s="5">
        <f>IF(B554=" "," ",HYPERLINK(CONCATENATE("#metadata!",ADDRESS(INDEX($P$2:$P$1001,MATCH(ROWS($N$2:N554),$N$2:$N$1001,0),0),1)),INDEX($S$2:$S$1001,MATCH(ROWS($N$2:N554),$N$2:$N$1001,0),0)))</f>
        <v>0</v>
      </c>
      <c r="B554" s="4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4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4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4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4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4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4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4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4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OR(AND(IF(Metadata!C554="",FALSE,TRUE),OR(exact(Metadata!C554,"not applicable"),exact(Metadata!C554,"not collected"),exact(Metadata!C554,"not provided"),exact(Metadata!C554,"restricted access"))),IF(Metadata!C554="",FALSE,ISNUMBER(VALUE(Metadata!C554))))</f>
        <v>0</v>
      </c>
      <c r="W554">
        <f>AND(IF(Metadata!D554="",FALSE,TRUE),exact(Metadata!D554,"m"))</f>
        <v>0</v>
      </c>
      <c r="X554">
        <f>AND(IF(Metadata!E554="",FALSE,TRUE),OR(exact(Metadata!E554,"aerosol (non-saline)"),exact(Metadata!E554,"aerosol (saline)")))</f>
        <v>0</v>
      </c>
      <c r="Y554">
        <f>AND(IF(Metadata!F554="",FALSE,TRUE),exact(Metadata!F554,"air"))</f>
        <v>0</v>
      </c>
      <c r="Z554">
        <f>AND(IF(Metadata!G554="",FALSE,TRUE),exact(Metadata!G554,"air"))</f>
        <v>0</v>
      </c>
      <c r="AA554">
        <f>AND(IF(Metadata!H554="",FALSE,TRUE),exact(Metadata!H554,"air"))</f>
        <v>0</v>
      </c>
      <c r="AB554">
        <f>AND(IF(Metadata!I554="",FALSE,TRUE),exact(Metadata!I554,"air metagenome"))</f>
        <v>0</v>
      </c>
      <c r="AC554">
        <f>AND(IF(Metadata!J554="",FALSE,TRUE),exact(Metadata!J554,"655179"))</f>
        <v>0</v>
      </c>
    </row>
    <row r="555" spans="1:29">
      <c r="A555" s="5">
        <f>IF(B555=" "," ",HYPERLINK(CONCATENATE("#metadata!",ADDRESS(INDEX($P$2:$P$1001,MATCH(ROWS($N$2:N555),$N$2:$N$1001,0),0),1)),INDEX($S$2:$S$1001,MATCH(ROWS($N$2:N555),$N$2:$N$1001,0),0)))</f>
        <v>0</v>
      </c>
      <c r="B555" s="4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4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4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4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4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4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4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4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4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OR(AND(IF(Metadata!C555="",FALSE,TRUE),OR(exact(Metadata!C555,"not applicable"),exact(Metadata!C555,"not collected"),exact(Metadata!C555,"not provided"),exact(Metadata!C555,"restricted access"))),IF(Metadata!C555="",FALSE,ISNUMBER(VALUE(Metadata!C555))))</f>
        <v>0</v>
      </c>
      <c r="W555">
        <f>AND(IF(Metadata!D555="",FALSE,TRUE),exact(Metadata!D555,"m"))</f>
        <v>0</v>
      </c>
      <c r="X555">
        <f>AND(IF(Metadata!E555="",FALSE,TRUE),OR(exact(Metadata!E555,"aerosol (non-saline)"),exact(Metadata!E555,"aerosol (saline)")))</f>
        <v>0</v>
      </c>
      <c r="Y555">
        <f>AND(IF(Metadata!F555="",FALSE,TRUE),exact(Metadata!F555,"air"))</f>
        <v>0</v>
      </c>
      <c r="Z555">
        <f>AND(IF(Metadata!G555="",FALSE,TRUE),exact(Metadata!G555,"air"))</f>
        <v>0</v>
      </c>
      <c r="AA555">
        <f>AND(IF(Metadata!H555="",FALSE,TRUE),exact(Metadata!H555,"air"))</f>
        <v>0</v>
      </c>
      <c r="AB555">
        <f>AND(IF(Metadata!I555="",FALSE,TRUE),exact(Metadata!I555,"air metagenome"))</f>
        <v>0</v>
      </c>
      <c r="AC555">
        <f>AND(IF(Metadata!J555="",FALSE,TRUE),exact(Metadata!J555,"655179"))</f>
        <v>0</v>
      </c>
    </row>
    <row r="556" spans="1:29">
      <c r="A556" s="5">
        <f>IF(B556=" "," ",HYPERLINK(CONCATENATE("#metadata!",ADDRESS(INDEX($P$2:$P$1001,MATCH(ROWS($N$2:N556),$N$2:$N$1001,0),0),1)),INDEX($S$2:$S$1001,MATCH(ROWS($N$2:N556),$N$2:$N$1001,0),0)))</f>
        <v>0</v>
      </c>
      <c r="B556" s="4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4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4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4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4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4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4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4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4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OR(AND(IF(Metadata!C556="",FALSE,TRUE),OR(exact(Metadata!C556,"not applicable"),exact(Metadata!C556,"not collected"),exact(Metadata!C556,"not provided"),exact(Metadata!C556,"restricted access"))),IF(Metadata!C556="",FALSE,ISNUMBER(VALUE(Metadata!C556))))</f>
        <v>0</v>
      </c>
      <c r="W556">
        <f>AND(IF(Metadata!D556="",FALSE,TRUE),exact(Metadata!D556,"m"))</f>
        <v>0</v>
      </c>
      <c r="X556">
        <f>AND(IF(Metadata!E556="",FALSE,TRUE),OR(exact(Metadata!E556,"aerosol (non-saline)"),exact(Metadata!E556,"aerosol (saline)")))</f>
        <v>0</v>
      </c>
      <c r="Y556">
        <f>AND(IF(Metadata!F556="",FALSE,TRUE),exact(Metadata!F556,"air"))</f>
        <v>0</v>
      </c>
      <c r="Z556">
        <f>AND(IF(Metadata!G556="",FALSE,TRUE),exact(Metadata!G556,"air"))</f>
        <v>0</v>
      </c>
      <c r="AA556">
        <f>AND(IF(Metadata!H556="",FALSE,TRUE),exact(Metadata!H556,"air"))</f>
        <v>0</v>
      </c>
      <c r="AB556">
        <f>AND(IF(Metadata!I556="",FALSE,TRUE),exact(Metadata!I556,"air metagenome"))</f>
        <v>0</v>
      </c>
      <c r="AC556">
        <f>AND(IF(Metadata!J556="",FALSE,TRUE),exact(Metadata!J556,"655179"))</f>
        <v>0</v>
      </c>
    </row>
    <row r="557" spans="1:29">
      <c r="A557" s="5">
        <f>IF(B557=" "," ",HYPERLINK(CONCATENATE("#metadata!",ADDRESS(INDEX($P$2:$P$1001,MATCH(ROWS($N$2:N557),$N$2:$N$1001,0),0),1)),INDEX($S$2:$S$1001,MATCH(ROWS($N$2:N557),$N$2:$N$1001,0),0)))</f>
        <v>0</v>
      </c>
      <c r="B557" s="4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4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4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4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4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4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4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4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4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OR(AND(IF(Metadata!C557="",FALSE,TRUE),OR(exact(Metadata!C557,"not applicable"),exact(Metadata!C557,"not collected"),exact(Metadata!C557,"not provided"),exact(Metadata!C557,"restricted access"))),IF(Metadata!C557="",FALSE,ISNUMBER(VALUE(Metadata!C557))))</f>
        <v>0</v>
      </c>
      <c r="W557">
        <f>AND(IF(Metadata!D557="",FALSE,TRUE),exact(Metadata!D557,"m"))</f>
        <v>0</v>
      </c>
      <c r="X557">
        <f>AND(IF(Metadata!E557="",FALSE,TRUE),OR(exact(Metadata!E557,"aerosol (non-saline)"),exact(Metadata!E557,"aerosol (saline)")))</f>
        <v>0</v>
      </c>
      <c r="Y557">
        <f>AND(IF(Metadata!F557="",FALSE,TRUE),exact(Metadata!F557,"air"))</f>
        <v>0</v>
      </c>
      <c r="Z557">
        <f>AND(IF(Metadata!G557="",FALSE,TRUE),exact(Metadata!G557,"air"))</f>
        <v>0</v>
      </c>
      <c r="AA557">
        <f>AND(IF(Metadata!H557="",FALSE,TRUE),exact(Metadata!H557,"air"))</f>
        <v>0</v>
      </c>
      <c r="AB557">
        <f>AND(IF(Metadata!I557="",FALSE,TRUE),exact(Metadata!I557,"air metagenome"))</f>
        <v>0</v>
      </c>
      <c r="AC557">
        <f>AND(IF(Metadata!J557="",FALSE,TRUE),exact(Metadata!J557,"655179"))</f>
        <v>0</v>
      </c>
    </row>
    <row r="558" spans="1:29">
      <c r="A558" s="5">
        <f>IF(B558=" "," ",HYPERLINK(CONCATENATE("#metadata!",ADDRESS(INDEX($P$2:$P$1001,MATCH(ROWS($N$2:N558),$N$2:$N$1001,0),0),1)),INDEX($S$2:$S$1001,MATCH(ROWS($N$2:N558),$N$2:$N$1001,0),0)))</f>
        <v>0</v>
      </c>
      <c r="B558" s="4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4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4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4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4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4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4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4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4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OR(AND(IF(Metadata!C558="",FALSE,TRUE),OR(exact(Metadata!C558,"not applicable"),exact(Metadata!C558,"not collected"),exact(Metadata!C558,"not provided"),exact(Metadata!C558,"restricted access"))),IF(Metadata!C558="",FALSE,ISNUMBER(VALUE(Metadata!C558))))</f>
        <v>0</v>
      </c>
      <c r="W558">
        <f>AND(IF(Metadata!D558="",FALSE,TRUE),exact(Metadata!D558,"m"))</f>
        <v>0</v>
      </c>
      <c r="X558">
        <f>AND(IF(Metadata!E558="",FALSE,TRUE),OR(exact(Metadata!E558,"aerosol (non-saline)"),exact(Metadata!E558,"aerosol (saline)")))</f>
        <v>0</v>
      </c>
      <c r="Y558">
        <f>AND(IF(Metadata!F558="",FALSE,TRUE),exact(Metadata!F558,"air"))</f>
        <v>0</v>
      </c>
      <c r="Z558">
        <f>AND(IF(Metadata!G558="",FALSE,TRUE),exact(Metadata!G558,"air"))</f>
        <v>0</v>
      </c>
      <c r="AA558">
        <f>AND(IF(Metadata!H558="",FALSE,TRUE),exact(Metadata!H558,"air"))</f>
        <v>0</v>
      </c>
      <c r="AB558">
        <f>AND(IF(Metadata!I558="",FALSE,TRUE),exact(Metadata!I558,"air metagenome"))</f>
        <v>0</v>
      </c>
      <c r="AC558">
        <f>AND(IF(Metadata!J558="",FALSE,TRUE),exact(Metadata!J558,"655179"))</f>
        <v>0</v>
      </c>
    </row>
    <row r="559" spans="1:29">
      <c r="A559" s="5">
        <f>IF(B559=" "," ",HYPERLINK(CONCATENATE("#metadata!",ADDRESS(INDEX($P$2:$P$1001,MATCH(ROWS($N$2:N559),$N$2:$N$1001,0),0),1)),INDEX($S$2:$S$1001,MATCH(ROWS($N$2:N559),$N$2:$N$1001,0),0)))</f>
        <v>0</v>
      </c>
      <c r="B559" s="4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4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4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4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4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4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4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4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4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OR(AND(IF(Metadata!C559="",FALSE,TRUE),OR(exact(Metadata!C559,"not applicable"),exact(Metadata!C559,"not collected"),exact(Metadata!C559,"not provided"),exact(Metadata!C559,"restricted access"))),IF(Metadata!C559="",FALSE,ISNUMBER(VALUE(Metadata!C559))))</f>
        <v>0</v>
      </c>
      <c r="W559">
        <f>AND(IF(Metadata!D559="",FALSE,TRUE),exact(Metadata!D559,"m"))</f>
        <v>0</v>
      </c>
      <c r="X559">
        <f>AND(IF(Metadata!E559="",FALSE,TRUE),OR(exact(Metadata!E559,"aerosol (non-saline)"),exact(Metadata!E559,"aerosol (saline)")))</f>
        <v>0</v>
      </c>
      <c r="Y559">
        <f>AND(IF(Metadata!F559="",FALSE,TRUE),exact(Metadata!F559,"air"))</f>
        <v>0</v>
      </c>
      <c r="Z559">
        <f>AND(IF(Metadata!G559="",FALSE,TRUE),exact(Metadata!G559,"air"))</f>
        <v>0</v>
      </c>
      <c r="AA559">
        <f>AND(IF(Metadata!H559="",FALSE,TRUE),exact(Metadata!H559,"air"))</f>
        <v>0</v>
      </c>
      <c r="AB559">
        <f>AND(IF(Metadata!I559="",FALSE,TRUE),exact(Metadata!I559,"air metagenome"))</f>
        <v>0</v>
      </c>
      <c r="AC559">
        <f>AND(IF(Metadata!J559="",FALSE,TRUE),exact(Metadata!J559,"655179"))</f>
        <v>0</v>
      </c>
    </row>
    <row r="560" spans="1:29">
      <c r="A560" s="5">
        <f>IF(B560=" "," ",HYPERLINK(CONCATENATE("#metadata!",ADDRESS(INDEX($P$2:$P$1001,MATCH(ROWS($N$2:N560),$N$2:$N$1001,0),0),1)),INDEX($S$2:$S$1001,MATCH(ROWS($N$2:N560),$N$2:$N$1001,0),0)))</f>
        <v>0</v>
      </c>
      <c r="B560" s="4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4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4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4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4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4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4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4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4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OR(AND(IF(Metadata!C560="",FALSE,TRUE),OR(exact(Metadata!C560,"not applicable"),exact(Metadata!C560,"not collected"),exact(Metadata!C560,"not provided"),exact(Metadata!C560,"restricted access"))),IF(Metadata!C560="",FALSE,ISNUMBER(VALUE(Metadata!C560))))</f>
        <v>0</v>
      </c>
      <c r="W560">
        <f>AND(IF(Metadata!D560="",FALSE,TRUE),exact(Metadata!D560,"m"))</f>
        <v>0</v>
      </c>
      <c r="X560">
        <f>AND(IF(Metadata!E560="",FALSE,TRUE),OR(exact(Metadata!E560,"aerosol (non-saline)"),exact(Metadata!E560,"aerosol (saline)")))</f>
        <v>0</v>
      </c>
      <c r="Y560">
        <f>AND(IF(Metadata!F560="",FALSE,TRUE),exact(Metadata!F560,"air"))</f>
        <v>0</v>
      </c>
      <c r="Z560">
        <f>AND(IF(Metadata!G560="",FALSE,TRUE),exact(Metadata!G560,"air"))</f>
        <v>0</v>
      </c>
      <c r="AA560">
        <f>AND(IF(Metadata!H560="",FALSE,TRUE),exact(Metadata!H560,"air"))</f>
        <v>0</v>
      </c>
      <c r="AB560">
        <f>AND(IF(Metadata!I560="",FALSE,TRUE),exact(Metadata!I560,"air metagenome"))</f>
        <v>0</v>
      </c>
      <c r="AC560">
        <f>AND(IF(Metadata!J560="",FALSE,TRUE),exact(Metadata!J560,"655179"))</f>
        <v>0</v>
      </c>
    </row>
    <row r="561" spans="1:29">
      <c r="A561" s="5">
        <f>IF(B561=" "," ",HYPERLINK(CONCATENATE("#metadata!",ADDRESS(INDEX($P$2:$P$1001,MATCH(ROWS($N$2:N561),$N$2:$N$1001,0),0),1)),INDEX($S$2:$S$1001,MATCH(ROWS($N$2:N561),$N$2:$N$1001,0),0)))</f>
        <v>0</v>
      </c>
      <c r="B561" s="4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4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4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4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4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4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4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4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4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OR(AND(IF(Metadata!C561="",FALSE,TRUE),OR(exact(Metadata!C561,"not applicable"),exact(Metadata!C561,"not collected"),exact(Metadata!C561,"not provided"),exact(Metadata!C561,"restricted access"))),IF(Metadata!C561="",FALSE,ISNUMBER(VALUE(Metadata!C561))))</f>
        <v>0</v>
      </c>
      <c r="W561">
        <f>AND(IF(Metadata!D561="",FALSE,TRUE),exact(Metadata!D561,"m"))</f>
        <v>0</v>
      </c>
      <c r="X561">
        <f>AND(IF(Metadata!E561="",FALSE,TRUE),OR(exact(Metadata!E561,"aerosol (non-saline)"),exact(Metadata!E561,"aerosol (saline)")))</f>
        <v>0</v>
      </c>
      <c r="Y561">
        <f>AND(IF(Metadata!F561="",FALSE,TRUE),exact(Metadata!F561,"air"))</f>
        <v>0</v>
      </c>
      <c r="Z561">
        <f>AND(IF(Metadata!G561="",FALSE,TRUE),exact(Metadata!G561,"air"))</f>
        <v>0</v>
      </c>
      <c r="AA561">
        <f>AND(IF(Metadata!H561="",FALSE,TRUE),exact(Metadata!H561,"air"))</f>
        <v>0</v>
      </c>
      <c r="AB561">
        <f>AND(IF(Metadata!I561="",FALSE,TRUE),exact(Metadata!I561,"air metagenome"))</f>
        <v>0</v>
      </c>
      <c r="AC561">
        <f>AND(IF(Metadata!J561="",FALSE,TRUE),exact(Metadata!J561,"655179"))</f>
        <v>0</v>
      </c>
    </row>
    <row r="562" spans="1:29">
      <c r="A562" s="5">
        <f>IF(B562=" "," ",HYPERLINK(CONCATENATE("#metadata!",ADDRESS(INDEX($P$2:$P$1001,MATCH(ROWS($N$2:N562),$N$2:$N$1001,0),0),1)),INDEX($S$2:$S$1001,MATCH(ROWS($N$2:N562),$N$2:$N$1001,0),0)))</f>
        <v>0</v>
      </c>
      <c r="B562" s="4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4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4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4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4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4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4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4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4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OR(AND(IF(Metadata!C562="",FALSE,TRUE),OR(exact(Metadata!C562,"not applicable"),exact(Metadata!C562,"not collected"),exact(Metadata!C562,"not provided"),exact(Metadata!C562,"restricted access"))),IF(Metadata!C562="",FALSE,ISNUMBER(VALUE(Metadata!C562))))</f>
        <v>0</v>
      </c>
      <c r="W562">
        <f>AND(IF(Metadata!D562="",FALSE,TRUE),exact(Metadata!D562,"m"))</f>
        <v>0</v>
      </c>
      <c r="X562">
        <f>AND(IF(Metadata!E562="",FALSE,TRUE),OR(exact(Metadata!E562,"aerosol (non-saline)"),exact(Metadata!E562,"aerosol (saline)")))</f>
        <v>0</v>
      </c>
      <c r="Y562">
        <f>AND(IF(Metadata!F562="",FALSE,TRUE),exact(Metadata!F562,"air"))</f>
        <v>0</v>
      </c>
      <c r="Z562">
        <f>AND(IF(Metadata!G562="",FALSE,TRUE),exact(Metadata!G562,"air"))</f>
        <v>0</v>
      </c>
      <c r="AA562">
        <f>AND(IF(Metadata!H562="",FALSE,TRUE),exact(Metadata!H562,"air"))</f>
        <v>0</v>
      </c>
      <c r="AB562">
        <f>AND(IF(Metadata!I562="",FALSE,TRUE),exact(Metadata!I562,"air metagenome"))</f>
        <v>0</v>
      </c>
      <c r="AC562">
        <f>AND(IF(Metadata!J562="",FALSE,TRUE),exact(Metadata!J562,"655179"))</f>
        <v>0</v>
      </c>
    </row>
    <row r="563" spans="1:29">
      <c r="A563" s="5">
        <f>IF(B563=" "," ",HYPERLINK(CONCATENATE("#metadata!",ADDRESS(INDEX($P$2:$P$1001,MATCH(ROWS($N$2:N563),$N$2:$N$1001,0),0),1)),INDEX($S$2:$S$1001,MATCH(ROWS($N$2:N563),$N$2:$N$1001,0),0)))</f>
        <v>0</v>
      </c>
      <c r="B563" s="4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4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4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4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4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4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4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4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4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OR(AND(IF(Metadata!C563="",FALSE,TRUE),OR(exact(Metadata!C563,"not applicable"),exact(Metadata!C563,"not collected"),exact(Metadata!C563,"not provided"),exact(Metadata!C563,"restricted access"))),IF(Metadata!C563="",FALSE,ISNUMBER(VALUE(Metadata!C563))))</f>
        <v>0</v>
      </c>
      <c r="W563">
        <f>AND(IF(Metadata!D563="",FALSE,TRUE),exact(Metadata!D563,"m"))</f>
        <v>0</v>
      </c>
      <c r="X563">
        <f>AND(IF(Metadata!E563="",FALSE,TRUE),OR(exact(Metadata!E563,"aerosol (non-saline)"),exact(Metadata!E563,"aerosol (saline)")))</f>
        <v>0</v>
      </c>
      <c r="Y563">
        <f>AND(IF(Metadata!F563="",FALSE,TRUE),exact(Metadata!F563,"air"))</f>
        <v>0</v>
      </c>
      <c r="Z563">
        <f>AND(IF(Metadata!G563="",FALSE,TRUE),exact(Metadata!G563,"air"))</f>
        <v>0</v>
      </c>
      <c r="AA563">
        <f>AND(IF(Metadata!H563="",FALSE,TRUE),exact(Metadata!H563,"air"))</f>
        <v>0</v>
      </c>
      <c r="AB563">
        <f>AND(IF(Metadata!I563="",FALSE,TRUE),exact(Metadata!I563,"air metagenome"))</f>
        <v>0</v>
      </c>
      <c r="AC563">
        <f>AND(IF(Metadata!J563="",FALSE,TRUE),exact(Metadata!J563,"655179"))</f>
        <v>0</v>
      </c>
    </row>
    <row r="564" spans="1:29">
      <c r="A564" s="5">
        <f>IF(B564=" "," ",HYPERLINK(CONCATENATE("#metadata!",ADDRESS(INDEX($P$2:$P$1001,MATCH(ROWS($N$2:N564),$N$2:$N$1001,0),0),1)),INDEX($S$2:$S$1001,MATCH(ROWS($N$2:N564),$N$2:$N$1001,0),0)))</f>
        <v>0</v>
      </c>
      <c r="B564" s="4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4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4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4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4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4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4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4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4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OR(AND(IF(Metadata!C564="",FALSE,TRUE),OR(exact(Metadata!C564,"not applicable"),exact(Metadata!C564,"not collected"),exact(Metadata!C564,"not provided"),exact(Metadata!C564,"restricted access"))),IF(Metadata!C564="",FALSE,ISNUMBER(VALUE(Metadata!C564))))</f>
        <v>0</v>
      </c>
      <c r="W564">
        <f>AND(IF(Metadata!D564="",FALSE,TRUE),exact(Metadata!D564,"m"))</f>
        <v>0</v>
      </c>
      <c r="X564">
        <f>AND(IF(Metadata!E564="",FALSE,TRUE),OR(exact(Metadata!E564,"aerosol (non-saline)"),exact(Metadata!E564,"aerosol (saline)")))</f>
        <v>0</v>
      </c>
      <c r="Y564">
        <f>AND(IF(Metadata!F564="",FALSE,TRUE),exact(Metadata!F564,"air"))</f>
        <v>0</v>
      </c>
      <c r="Z564">
        <f>AND(IF(Metadata!G564="",FALSE,TRUE),exact(Metadata!G564,"air"))</f>
        <v>0</v>
      </c>
      <c r="AA564">
        <f>AND(IF(Metadata!H564="",FALSE,TRUE),exact(Metadata!H564,"air"))</f>
        <v>0</v>
      </c>
      <c r="AB564">
        <f>AND(IF(Metadata!I564="",FALSE,TRUE),exact(Metadata!I564,"air metagenome"))</f>
        <v>0</v>
      </c>
      <c r="AC564">
        <f>AND(IF(Metadata!J564="",FALSE,TRUE),exact(Metadata!J564,"655179"))</f>
        <v>0</v>
      </c>
    </row>
    <row r="565" spans="1:29">
      <c r="A565" s="5">
        <f>IF(B565=" "," ",HYPERLINK(CONCATENATE("#metadata!",ADDRESS(INDEX($P$2:$P$1001,MATCH(ROWS($N$2:N565),$N$2:$N$1001,0),0),1)),INDEX($S$2:$S$1001,MATCH(ROWS($N$2:N565),$N$2:$N$1001,0),0)))</f>
        <v>0</v>
      </c>
      <c r="B565" s="4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4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4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4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4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4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4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4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4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OR(AND(IF(Metadata!C565="",FALSE,TRUE),OR(exact(Metadata!C565,"not applicable"),exact(Metadata!C565,"not collected"),exact(Metadata!C565,"not provided"),exact(Metadata!C565,"restricted access"))),IF(Metadata!C565="",FALSE,ISNUMBER(VALUE(Metadata!C565))))</f>
        <v>0</v>
      </c>
      <c r="W565">
        <f>AND(IF(Metadata!D565="",FALSE,TRUE),exact(Metadata!D565,"m"))</f>
        <v>0</v>
      </c>
      <c r="X565">
        <f>AND(IF(Metadata!E565="",FALSE,TRUE),OR(exact(Metadata!E565,"aerosol (non-saline)"),exact(Metadata!E565,"aerosol (saline)")))</f>
        <v>0</v>
      </c>
      <c r="Y565">
        <f>AND(IF(Metadata!F565="",FALSE,TRUE),exact(Metadata!F565,"air"))</f>
        <v>0</v>
      </c>
      <c r="Z565">
        <f>AND(IF(Metadata!G565="",FALSE,TRUE),exact(Metadata!G565,"air"))</f>
        <v>0</v>
      </c>
      <c r="AA565">
        <f>AND(IF(Metadata!H565="",FALSE,TRUE),exact(Metadata!H565,"air"))</f>
        <v>0</v>
      </c>
      <c r="AB565">
        <f>AND(IF(Metadata!I565="",FALSE,TRUE),exact(Metadata!I565,"air metagenome"))</f>
        <v>0</v>
      </c>
      <c r="AC565">
        <f>AND(IF(Metadata!J565="",FALSE,TRUE),exact(Metadata!J565,"655179"))</f>
        <v>0</v>
      </c>
    </row>
    <row r="566" spans="1:29">
      <c r="A566" s="5">
        <f>IF(B566=" "," ",HYPERLINK(CONCATENATE("#metadata!",ADDRESS(INDEX($P$2:$P$1001,MATCH(ROWS($N$2:N566),$N$2:$N$1001,0),0),1)),INDEX($S$2:$S$1001,MATCH(ROWS($N$2:N566),$N$2:$N$1001,0),0)))</f>
        <v>0</v>
      </c>
      <c r="B566" s="4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4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4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4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4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4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4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4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4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OR(AND(IF(Metadata!C566="",FALSE,TRUE),OR(exact(Metadata!C566,"not applicable"),exact(Metadata!C566,"not collected"),exact(Metadata!C566,"not provided"),exact(Metadata!C566,"restricted access"))),IF(Metadata!C566="",FALSE,ISNUMBER(VALUE(Metadata!C566))))</f>
        <v>0</v>
      </c>
      <c r="W566">
        <f>AND(IF(Metadata!D566="",FALSE,TRUE),exact(Metadata!D566,"m"))</f>
        <v>0</v>
      </c>
      <c r="X566">
        <f>AND(IF(Metadata!E566="",FALSE,TRUE),OR(exact(Metadata!E566,"aerosol (non-saline)"),exact(Metadata!E566,"aerosol (saline)")))</f>
        <v>0</v>
      </c>
      <c r="Y566">
        <f>AND(IF(Metadata!F566="",FALSE,TRUE),exact(Metadata!F566,"air"))</f>
        <v>0</v>
      </c>
      <c r="Z566">
        <f>AND(IF(Metadata!G566="",FALSE,TRUE),exact(Metadata!G566,"air"))</f>
        <v>0</v>
      </c>
      <c r="AA566">
        <f>AND(IF(Metadata!H566="",FALSE,TRUE),exact(Metadata!H566,"air"))</f>
        <v>0</v>
      </c>
      <c r="AB566">
        <f>AND(IF(Metadata!I566="",FALSE,TRUE),exact(Metadata!I566,"air metagenome"))</f>
        <v>0</v>
      </c>
      <c r="AC566">
        <f>AND(IF(Metadata!J566="",FALSE,TRUE),exact(Metadata!J566,"655179"))</f>
        <v>0</v>
      </c>
    </row>
    <row r="567" spans="1:29">
      <c r="A567" s="5">
        <f>IF(B567=" "," ",HYPERLINK(CONCATENATE("#metadata!",ADDRESS(INDEX($P$2:$P$1001,MATCH(ROWS($N$2:N567),$N$2:$N$1001,0),0),1)),INDEX($S$2:$S$1001,MATCH(ROWS($N$2:N567),$N$2:$N$1001,0),0)))</f>
        <v>0</v>
      </c>
      <c r="B567" s="4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4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4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4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4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4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4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4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4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OR(AND(IF(Metadata!C567="",FALSE,TRUE),OR(exact(Metadata!C567,"not applicable"),exact(Metadata!C567,"not collected"),exact(Metadata!C567,"not provided"),exact(Metadata!C567,"restricted access"))),IF(Metadata!C567="",FALSE,ISNUMBER(VALUE(Metadata!C567))))</f>
        <v>0</v>
      </c>
      <c r="W567">
        <f>AND(IF(Metadata!D567="",FALSE,TRUE),exact(Metadata!D567,"m"))</f>
        <v>0</v>
      </c>
      <c r="X567">
        <f>AND(IF(Metadata!E567="",FALSE,TRUE),OR(exact(Metadata!E567,"aerosol (non-saline)"),exact(Metadata!E567,"aerosol (saline)")))</f>
        <v>0</v>
      </c>
      <c r="Y567">
        <f>AND(IF(Metadata!F567="",FALSE,TRUE),exact(Metadata!F567,"air"))</f>
        <v>0</v>
      </c>
      <c r="Z567">
        <f>AND(IF(Metadata!G567="",FALSE,TRUE),exact(Metadata!G567,"air"))</f>
        <v>0</v>
      </c>
      <c r="AA567">
        <f>AND(IF(Metadata!H567="",FALSE,TRUE),exact(Metadata!H567,"air"))</f>
        <v>0</v>
      </c>
      <c r="AB567">
        <f>AND(IF(Metadata!I567="",FALSE,TRUE),exact(Metadata!I567,"air metagenome"))</f>
        <v>0</v>
      </c>
      <c r="AC567">
        <f>AND(IF(Metadata!J567="",FALSE,TRUE),exact(Metadata!J567,"655179"))</f>
        <v>0</v>
      </c>
    </row>
    <row r="568" spans="1:29">
      <c r="A568" s="5">
        <f>IF(B568=" "," ",HYPERLINK(CONCATENATE("#metadata!",ADDRESS(INDEX($P$2:$P$1001,MATCH(ROWS($N$2:N568),$N$2:$N$1001,0),0),1)),INDEX($S$2:$S$1001,MATCH(ROWS($N$2:N568),$N$2:$N$1001,0),0)))</f>
        <v>0</v>
      </c>
      <c r="B568" s="4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4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4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4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4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4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4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4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4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OR(AND(IF(Metadata!C568="",FALSE,TRUE),OR(exact(Metadata!C568,"not applicable"),exact(Metadata!C568,"not collected"),exact(Metadata!C568,"not provided"),exact(Metadata!C568,"restricted access"))),IF(Metadata!C568="",FALSE,ISNUMBER(VALUE(Metadata!C568))))</f>
        <v>0</v>
      </c>
      <c r="W568">
        <f>AND(IF(Metadata!D568="",FALSE,TRUE),exact(Metadata!D568,"m"))</f>
        <v>0</v>
      </c>
      <c r="X568">
        <f>AND(IF(Metadata!E568="",FALSE,TRUE),OR(exact(Metadata!E568,"aerosol (non-saline)"),exact(Metadata!E568,"aerosol (saline)")))</f>
        <v>0</v>
      </c>
      <c r="Y568">
        <f>AND(IF(Metadata!F568="",FALSE,TRUE),exact(Metadata!F568,"air"))</f>
        <v>0</v>
      </c>
      <c r="Z568">
        <f>AND(IF(Metadata!G568="",FALSE,TRUE),exact(Metadata!G568,"air"))</f>
        <v>0</v>
      </c>
      <c r="AA568">
        <f>AND(IF(Metadata!H568="",FALSE,TRUE),exact(Metadata!H568,"air"))</f>
        <v>0</v>
      </c>
      <c r="AB568">
        <f>AND(IF(Metadata!I568="",FALSE,TRUE),exact(Metadata!I568,"air metagenome"))</f>
        <v>0</v>
      </c>
      <c r="AC568">
        <f>AND(IF(Metadata!J568="",FALSE,TRUE),exact(Metadata!J568,"655179"))</f>
        <v>0</v>
      </c>
    </row>
    <row r="569" spans="1:29">
      <c r="A569" s="5">
        <f>IF(B569=" "," ",HYPERLINK(CONCATENATE("#metadata!",ADDRESS(INDEX($P$2:$P$1001,MATCH(ROWS($N$2:N569),$N$2:$N$1001,0),0),1)),INDEX($S$2:$S$1001,MATCH(ROWS($N$2:N569),$N$2:$N$1001,0),0)))</f>
        <v>0</v>
      </c>
      <c r="B569" s="4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4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4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4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4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4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4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4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4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OR(AND(IF(Metadata!C569="",FALSE,TRUE),OR(exact(Metadata!C569,"not applicable"),exact(Metadata!C569,"not collected"),exact(Metadata!C569,"not provided"),exact(Metadata!C569,"restricted access"))),IF(Metadata!C569="",FALSE,ISNUMBER(VALUE(Metadata!C569))))</f>
        <v>0</v>
      </c>
      <c r="W569">
        <f>AND(IF(Metadata!D569="",FALSE,TRUE),exact(Metadata!D569,"m"))</f>
        <v>0</v>
      </c>
      <c r="X569">
        <f>AND(IF(Metadata!E569="",FALSE,TRUE),OR(exact(Metadata!E569,"aerosol (non-saline)"),exact(Metadata!E569,"aerosol (saline)")))</f>
        <v>0</v>
      </c>
      <c r="Y569">
        <f>AND(IF(Metadata!F569="",FALSE,TRUE),exact(Metadata!F569,"air"))</f>
        <v>0</v>
      </c>
      <c r="Z569">
        <f>AND(IF(Metadata!G569="",FALSE,TRUE),exact(Metadata!G569,"air"))</f>
        <v>0</v>
      </c>
      <c r="AA569">
        <f>AND(IF(Metadata!H569="",FALSE,TRUE),exact(Metadata!H569,"air"))</f>
        <v>0</v>
      </c>
      <c r="AB569">
        <f>AND(IF(Metadata!I569="",FALSE,TRUE),exact(Metadata!I569,"air metagenome"))</f>
        <v>0</v>
      </c>
      <c r="AC569">
        <f>AND(IF(Metadata!J569="",FALSE,TRUE),exact(Metadata!J569,"655179"))</f>
        <v>0</v>
      </c>
    </row>
    <row r="570" spans="1:29">
      <c r="A570" s="5">
        <f>IF(B570=" "," ",HYPERLINK(CONCATENATE("#metadata!",ADDRESS(INDEX($P$2:$P$1001,MATCH(ROWS($N$2:N570),$N$2:$N$1001,0),0),1)),INDEX($S$2:$S$1001,MATCH(ROWS($N$2:N570),$N$2:$N$1001,0),0)))</f>
        <v>0</v>
      </c>
      <c r="B570" s="4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4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4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4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4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4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4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4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4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OR(AND(IF(Metadata!C570="",FALSE,TRUE),OR(exact(Metadata!C570,"not applicable"),exact(Metadata!C570,"not collected"),exact(Metadata!C570,"not provided"),exact(Metadata!C570,"restricted access"))),IF(Metadata!C570="",FALSE,ISNUMBER(VALUE(Metadata!C570))))</f>
        <v>0</v>
      </c>
      <c r="W570">
        <f>AND(IF(Metadata!D570="",FALSE,TRUE),exact(Metadata!D570,"m"))</f>
        <v>0</v>
      </c>
      <c r="X570">
        <f>AND(IF(Metadata!E570="",FALSE,TRUE),OR(exact(Metadata!E570,"aerosol (non-saline)"),exact(Metadata!E570,"aerosol (saline)")))</f>
        <v>0</v>
      </c>
      <c r="Y570">
        <f>AND(IF(Metadata!F570="",FALSE,TRUE),exact(Metadata!F570,"air"))</f>
        <v>0</v>
      </c>
      <c r="Z570">
        <f>AND(IF(Metadata!G570="",FALSE,TRUE),exact(Metadata!G570,"air"))</f>
        <v>0</v>
      </c>
      <c r="AA570">
        <f>AND(IF(Metadata!H570="",FALSE,TRUE),exact(Metadata!H570,"air"))</f>
        <v>0</v>
      </c>
      <c r="AB570">
        <f>AND(IF(Metadata!I570="",FALSE,TRUE),exact(Metadata!I570,"air metagenome"))</f>
        <v>0</v>
      </c>
      <c r="AC570">
        <f>AND(IF(Metadata!J570="",FALSE,TRUE),exact(Metadata!J570,"655179"))</f>
        <v>0</v>
      </c>
    </row>
    <row r="571" spans="1:29">
      <c r="A571" s="5">
        <f>IF(B571=" "," ",HYPERLINK(CONCATENATE("#metadata!",ADDRESS(INDEX($P$2:$P$1001,MATCH(ROWS($N$2:N571),$N$2:$N$1001,0),0),1)),INDEX($S$2:$S$1001,MATCH(ROWS($N$2:N571),$N$2:$N$1001,0),0)))</f>
        <v>0</v>
      </c>
      <c r="B571" s="4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4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4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4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4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4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4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4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4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OR(AND(IF(Metadata!C571="",FALSE,TRUE),OR(exact(Metadata!C571,"not applicable"),exact(Metadata!C571,"not collected"),exact(Metadata!C571,"not provided"),exact(Metadata!C571,"restricted access"))),IF(Metadata!C571="",FALSE,ISNUMBER(VALUE(Metadata!C571))))</f>
        <v>0</v>
      </c>
      <c r="W571">
        <f>AND(IF(Metadata!D571="",FALSE,TRUE),exact(Metadata!D571,"m"))</f>
        <v>0</v>
      </c>
      <c r="X571">
        <f>AND(IF(Metadata!E571="",FALSE,TRUE),OR(exact(Metadata!E571,"aerosol (non-saline)"),exact(Metadata!E571,"aerosol (saline)")))</f>
        <v>0</v>
      </c>
      <c r="Y571">
        <f>AND(IF(Metadata!F571="",FALSE,TRUE),exact(Metadata!F571,"air"))</f>
        <v>0</v>
      </c>
      <c r="Z571">
        <f>AND(IF(Metadata!G571="",FALSE,TRUE),exact(Metadata!G571,"air"))</f>
        <v>0</v>
      </c>
      <c r="AA571">
        <f>AND(IF(Metadata!H571="",FALSE,TRUE),exact(Metadata!H571,"air"))</f>
        <v>0</v>
      </c>
      <c r="AB571">
        <f>AND(IF(Metadata!I571="",FALSE,TRUE),exact(Metadata!I571,"air metagenome"))</f>
        <v>0</v>
      </c>
      <c r="AC571">
        <f>AND(IF(Metadata!J571="",FALSE,TRUE),exact(Metadata!J571,"655179"))</f>
        <v>0</v>
      </c>
    </row>
    <row r="572" spans="1:29">
      <c r="A572" s="5">
        <f>IF(B572=" "," ",HYPERLINK(CONCATENATE("#metadata!",ADDRESS(INDEX($P$2:$P$1001,MATCH(ROWS($N$2:N572),$N$2:$N$1001,0),0),1)),INDEX($S$2:$S$1001,MATCH(ROWS($N$2:N572),$N$2:$N$1001,0),0)))</f>
        <v>0</v>
      </c>
      <c r="B572" s="4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4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4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4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4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4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4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4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4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OR(AND(IF(Metadata!C572="",FALSE,TRUE),OR(exact(Metadata!C572,"not applicable"),exact(Metadata!C572,"not collected"),exact(Metadata!C572,"not provided"),exact(Metadata!C572,"restricted access"))),IF(Metadata!C572="",FALSE,ISNUMBER(VALUE(Metadata!C572))))</f>
        <v>0</v>
      </c>
      <c r="W572">
        <f>AND(IF(Metadata!D572="",FALSE,TRUE),exact(Metadata!D572,"m"))</f>
        <v>0</v>
      </c>
      <c r="X572">
        <f>AND(IF(Metadata!E572="",FALSE,TRUE),OR(exact(Metadata!E572,"aerosol (non-saline)"),exact(Metadata!E572,"aerosol (saline)")))</f>
        <v>0</v>
      </c>
      <c r="Y572">
        <f>AND(IF(Metadata!F572="",FALSE,TRUE),exact(Metadata!F572,"air"))</f>
        <v>0</v>
      </c>
      <c r="Z572">
        <f>AND(IF(Metadata!G572="",FALSE,TRUE),exact(Metadata!G572,"air"))</f>
        <v>0</v>
      </c>
      <c r="AA572">
        <f>AND(IF(Metadata!H572="",FALSE,TRUE),exact(Metadata!H572,"air"))</f>
        <v>0</v>
      </c>
      <c r="AB572">
        <f>AND(IF(Metadata!I572="",FALSE,TRUE),exact(Metadata!I572,"air metagenome"))</f>
        <v>0</v>
      </c>
      <c r="AC572">
        <f>AND(IF(Metadata!J572="",FALSE,TRUE),exact(Metadata!J572,"655179"))</f>
        <v>0</v>
      </c>
    </row>
    <row r="573" spans="1:29">
      <c r="A573" s="5">
        <f>IF(B573=" "," ",HYPERLINK(CONCATENATE("#metadata!",ADDRESS(INDEX($P$2:$P$1001,MATCH(ROWS($N$2:N573),$N$2:$N$1001,0),0),1)),INDEX($S$2:$S$1001,MATCH(ROWS($N$2:N573),$N$2:$N$1001,0),0)))</f>
        <v>0</v>
      </c>
      <c r="B573" s="4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4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4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4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4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4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4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4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4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OR(AND(IF(Metadata!C573="",FALSE,TRUE),OR(exact(Metadata!C573,"not applicable"),exact(Metadata!C573,"not collected"),exact(Metadata!C573,"not provided"),exact(Metadata!C573,"restricted access"))),IF(Metadata!C573="",FALSE,ISNUMBER(VALUE(Metadata!C573))))</f>
        <v>0</v>
      </c>
      <c r="W573">
        <f>AND(IF(Metadata!D573="",FALSE,TRUE),exact(Metadata!D573,"m"))</f>
        <v>0</v>
      </c>
      <c r="X573">
        <f>AND(IF(Metadata!E573="",FALSE,TRUE),OR(exact(Metadata!E573,"aerosol (non-saline)"),exact(Metadata!E573,"aerosol (saline)")))</f>
        <v>0</v>
      </c>
      <c r="Y573">
        <f>AND(IF(Metadata!F573="",FALSE,TRUE),exact(Metadata!F573,"air"))</f>
        <v>0</v>
      </c>
      <c r="Z573">
        <f>AND(IF(Metadata!G573="",FALSE,TRUE),exact(Metadata!G573,"air"))</f>
        <v>0</v>
      </c>
      <c r="AA573">
        <f>AND(IF(Metadata!H573="",FALSE,TRUE),exact(Metadata!H573,"air"))</f>
        <v>0</v>
      </c>
      <c r="AB573">
        <f>AND(IF(Metadata!I573="",FALSE,TRUE),exact(Metadata!I573,"air metagenome"))</f>
        <v>0</v>
      </c>
      <c r="AC573">
        <f>AND(IF(Metadata!J573="",FALSE,TRUE),exact(Metadata!J573,"655179"))</f>
        <v>0</v>
      </c>
    </row>
    <row r="574" spans="1:29">
      <c r="A574" s="5">
        <f>IF(B574=" "," ",HYPERLINK(CONCATENATE("#metadata!",ADDRESS(INDEX($P$2:$P$1001,MATCH(ROWS($N$2:N574),$N$2:$N$1001,0),0),1)),INDEX($S$2:$S$1001,MATCH(ROWS($N$2:N574),$N$2:$N$1001,0),0)))</f>
        <v>0</v>
      </c>
      <c r="B574" s="4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4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4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4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4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4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4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4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4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OR(AND(IF(Metadata!C574="",FALSE,TRUE),OR(exact(Metadata!C574,"not applicable"),exact(Metadata!C574,"not collected"),exact(Metadata!C574,"not provided"),exact(Metadata!C574,"restricted access"))),IF(Metadata!C574="",FALSE,ISNUMBER(VALUE(Metadata!C574))))</f>
        <v>0</v>
      </c>
      <c r="W574">
        <f>AND(IF(Metadata!D574="",FALSE,TRUE),exact(Metadata!D574,"m"))</f>
        <v>0</v>
      </c>
      <c r="X574">
        <f>AND(IF(Metadata!E574="",FALSE,TRUE),OR(exact(Metadata!E574,"aerosol (non-saline)"),exact(Metadata!E574,"aerosol (saline)")))</f>
        <v>0</v>
      </c>
      <c r="Y574">
        <f>AND(IF(Metadata!F574="",FALSE,TRUE),exact(Metadata!F574,"air"))</f>
        <v>0</v>
      </c>
      <c r="Z574">
        <f>AND(IF(Metadata!G574="",FALSE,TRUE),exact(Metadata!G574,"air"))</f>
        <v>0</v>
      </c>
      <c r="AA574">
        <f>AND(IF(Metadata!H574="",FALSE,TRUE),exact(Metadata!H574,"air"))</f>
        <v>0</v>
      </c>
      <c r="AB574">
        <f>AND(IF(Metadata!I574="",FALSE,TRUE),exact(Metadata!I574,"air metagenome"))</f>
        <v>0</v>
      </c>
      <c r="AC574">
        <f>AND(IF(Metadata!J574="",FALSE,TRUE),exact(Metadata!J574,"655179"))</f>
        <v>0</v>
      </c>
    </row>
    <row r="575" spans="1:29">
      <c r="A575" s="5">
        <f>IF(B575=" "," ",HYPERLINK(CONCATENATE("#metadata!",ADDRESS(INDEX($P$2:$P$1001,MATCH(ROWS($N$2:N575),$N$2:$N$1001,0),0),1)),INDEX($S$2:$S$1001,MATCH(ROWS($N$2:N575),$N$2:$N$1001,0),0)))</f>
        <v>0</v>
      </c>
      <c r="B575" s="4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4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4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4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4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4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4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4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4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OR(AND(IF(Metadata!C575="",FALSE,TRUE),OR(exact(Metadata!C575,"not applicable"),exact(Metadata!C575,"not collected"),exact(Metadata!C575,"not provided"),exact(Metadata!C575,"restricted access"))),IF(Metadata!C575="",FALSE,ISNUMBER(VALUE(Metadata!C575))))</f>
        <v>0</v>
      </c>
      <c r="W575">
        <f>AND(IF(Metadata!D575="",FALSE,TRUE),exact(Metadata!D575,"m"))</f>
        <v>0</v>
      </c>
      <c r="X575">
        <f>AND(IF(Metadata!E575="",FALSE,TRUE),OR(exact(Metadata!E575,"aerosol (non-saline)"),exact(Metadata!E575,"aerosol (saline)")))</f>
        <v>0</v>
      </c>
      <c r="Y575">
        <f>AND(IF(Metadata!F575="",FALSE,TRUE),exact(Metadata!F575,"air"))</f>
        <v>0</v>
      </c>
      <c r="Z575">
        <f>AND(IF(Metadata!G575="",FALSE,TRUE),exact(Metadata!G575,"air"))</f>
        <v>0</v>
      </c>
      <c r="AA575">
        <f>AND(IF(Metadata!H575="",FALSE,TRUE),exact(Metadata!H575,"air"))</f>
        <v>0</v>
      </c>
      <c r="AB575">
        <f>AND(IF(Metadata!I575="",FALSE,TRUE),exact(Metadata!I575,"air metagenome"))</f>
        <v>0</v>
      </c>
      <c r="AC575">
        <f>AND(IF(Metadata!J575="",FALSE,TRUE),exact(Metadata!J575,"655179"))</f>
        <v>0</v>
      </c>
    </row>
    <row r="576" spans="1:29">
      <c r="A576" s="5">
        <f>IF(B576=" "," ",HYPERLINK(CONCATENATE("#metadata!",ADDRESS(INDEX($P$2:$P$1001,MATCH(ROWS($N$2:N576),$N$2:$N$1001,0),0),1)),INDEX($S$2:$S$1001,MATCH(ROWS($N$2:N576),$N$2:$N$1001,0),0)))</f>
        <v>0</v>
      </c>
      <c r="B576" s="4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4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4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4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4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4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4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4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4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OR(AND(IF(Metadata!C576="",FALSE,TRUE),OR(exact(Metadata!C576,"not applicable"),exact(Metadata!C576,"not collected"),exact(Metadata!C576,"not provided"),exact(Metadata!C576,"restricted access"))),IF(Metadata!C576="",FALSE,ISNUMBER(VALUE(Metadata!C576))))</f>
        <v>0</v>
      </c>
      <c r="W576">
        <f>AND(IF(Metadata!D576="",FALSE,TRUE),exact(Metadata!D576,"m"))</f>
        <v>0</v>
      </c>
      <c r="X576">
        <f>AND(IF(Metadata!E576="",FALSE,TRUE),OR(exact(Metadata!E576,"aerosol (non-saline)"),exact(Metadata!E576,"aerosol (saline)")))</f>
        <v>0</v>
      </c>
      <c r="Y576">
        <f>AND(IF(Metadata!F576="",FALSE,TRUE),exact(Metadata!F576,"air"))</f>
        <v>0</v>
      </c>
      <c r="Z576">
        <f>AND(IF(Metadata!G576="",FALSE,TRUE),exact(Metadata!G576,"air"))</f>
        <v>0</v>
      </c>
      <c r="AA576">
        <f>AND(IF(Metadata!H576="",FALSE,TRUE),exact(Metadata!H576,"air"))</f>
        <v>0</v>
      </c>
      <c r="AB576">
        <f>AND(IF(Metadata!I576="",FALSE,TRUE),exact(Metadata!I576,"air metagenome"))</f>
        <v>0</v>
      </c>
      <c r="AC576">
        <f>AND(IF(Metadata!J576="",FALSE,TRUE),exact(Metadata!J576,"655179"))</f>
        <v>0</v>
      </c>
    </row>
    <row r="577" spans="1:29">
      <c r="A577" s="5">
        <f>IF(B577=" "," ",HYPERLINK(CONCATENATE("#metadata!",ADDRESS(INDEX($P$2:$P$1001,MATCH(ROWS($N$2:N577),$N$2:$N$1001,0),0),1)),INDEX($S$2:$S$1001,MATCH(ROWS($N$2:N577),$N$2:$N$1001,0),0)))</f>
        <v>0</v>
      </c>
      <c r="B577" s="4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4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4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4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4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4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4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4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4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OR(AND(IF(Metadata!C577="",FALSE,TRUE),OR(exact(Metadata!C577,"not applicable"),exact(Metadata!C577,"not collected"),exact(Metadata!C577,"not provided"),exact(Metadata!C577,"restricted access"))),IF(Metadata!C577="",FALSE,ISNUMBER(VALUE(Metadata!C577))))</f>
        <v>0</v>
      </c>
      <c r="W577">
        <f>AND(IF(Metadata!D577="",FALSE,TRUE),exact(Metadata!D577,"m"))</f>
        <v>0</v>
      </c>
      <c r="X577">
        <f>AND(IF(Metadata!E577="",FALSE,TRUE),OR(exact(Metadata!E577,"aerosol (non-saline)"),exact(Metadata!E577,"aerosol (saline)")))</f>
        <v>0</v>
      </c>
      <c r="Y577">
        <f>AND(IF(Metadata!F577="",FALSE,TRUE),exact(Metadata!F577,"air"))</f>
        <v>0</v>
      </c>
      <c r="Z577">
        <f>AND(IF(Metadata!G577="",FALSE,TRUE),exact(Metadata!G577,"air"))</f>
        <v>0</v>
      </c>
      <c r="AA577">
        <f>AND(IF(Metadata!H577="",FALSE,TRUE),exact(Metadata!H577,"air"))</f>
        <v>0</v>
      </c>
      <c r="AB577">
        <f>AND(IF(Metadata!I577="",FALSE,TRUE),exact(Metadata!I577,"air metagenome"))</f>
        <v>0</v>
      </c>
      <c r="AC577">
        <f>AND(IF(Metadata!J577="",FALSE,TRUE),exact(Metadata!J577,"655179"))</f>
        <v>0</v>
      </c>
    </row>
    <row r="578" spans="1:29">
      <c r="A578" s="5">
        <f>IF(B578=" "," ",HYPERLINK(CONCATENATE("#metadata!",ADDRESS(INDEX($P$2:$P$1001,MATCH(ROWS($N$2:N578),$N$2:$N$1001,0),0),1)),INDEX($S$2:$S$1001,MATCH(ROWS($N$2:N578),$N$2:$N$1001,0),0)))</f>
        <v>0</v>
      </c>
      <c r="B578" s="4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4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4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4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4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4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4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4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4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OR(AND(IF(Metadata!C578="",FALSE,TRUE),OR(exact(Metadata!C578,"not applicable"),exact(Metadata!C578,"not collected"),exact(Metadata!C578,"not provided"),exact(Metadata!C578,"restricted access"))),IF(Metadata!C578="",FALSE,ISNUMBER(VALUE(Metadata!C578))))</f>
        <v>0</v>
      </c>
      <c r="W578">
        <f>AND(IF(Metadata!D578="",FALSE,TRUE),exact(Metadata!D578,"m"))</f>
        <v>0</v>
      </c>
      <c r="X578">
        <f>AND(IF(Metadata!E578="",FALSE,TRUE),OR(exact(Metadata!E578,"aerosol (non-saline)"),exact(Metadata!E578,"aerosol (saline)")))</f>
        <v>0</v>
      </c>
      <c r="Y578">
        <f>AND(IF(Metadata!F578="",FALSE,TRUE),exact(Metadata!F578,"air"))</f>
        <v>0</v>
      </c>
      <c r="Z578">
        <f>AND(IF(Metadata!G578="",FALSE,TRUE),exact(Metadata!G578,"air"))</f>
        <v>0</v>
      </c>
      <c r="AA578">
        <f>AND(IF(Metadata!H578="",FALSE,TRUE),exact(Metadata!H578,"air"))</f>
        <v>0</v>
      </c>
      <c r="AB578">
        <f>AND(IF(Metadata!I578="",FALSE,TRUE),exact(Metadata!I578,"air metagenome"))</f>
        <v>0</v>
      </c>
      <c r="AC578">
        <f>AND(IF(Metadata!J578="",FALSE,TRUE),exact(Metadata!J578,"655179"))</f>
        <v>0</v>
      </c>
    </row>
    <row r="579" spans="1:29">
      <c r="A579" s="5">
        <f>IF(B579=" "," ",HYPERLINK(CONCATENATE("#metadata!",ADDRESS(INDEX($P$2:$P$1001,MATCH(ROWS($N$2:N579),$N$2:$N$1001,0),0),1)),INDEX($S$2:$S$1001,MATCH(ROWS($N$2:N579),$N$2:$N$1001,0),0)))</f>
        <v>0</v>
      </c>
      <c r="B579" s="4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4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4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4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4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4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4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4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4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OR(AND(IF(Metadata!C579="",FALSE,TRUE),OR(exact(Metadata!C579,"not applicable"),exact(Metadata!C579,"not collected"),exact(Metadata!C579,"not provided"),exact(Metadata!C579,"restricted access"))),IF(Metadata!C579="",FALSE,ISNUMBER(VALUE(Metadata!C579))))</f>
        <v>0</v>
      </c>
      <c r="W579">
        <f>AND(IF(Metadata!D579="",FALSE,TRUE),exact(Metadata!D579,"m"))</f>
        <v>0</v>
      </c>
      <c r="X579">
        <f>AND(IF(Metadata!E579="",FALSE,TRUE),OR(exact(Metadata!E579,"aerosol (non-saline)"),exact(Metadata!E579,"aerosol (saline)")))</f>
        <v>0</v>
      </c>
      <c r="Y579">
        <f>AND(IF(Metadata!F579="",FALSE,TRUE),exact(Metadata!F579,"air"))</f>
        <v>0</v>
      </c>
      <c r="Z579">
        <f>AND(IF(Metadata!G579="",FALSE,TRUE),exact(Metadata!G579,"air"))</f>
        <v>0</v>
      </c>
      <c r="AA579">
        <f>AND(IF(Metadata!H579="",FALSE,TRUE),exact(Metadata!H579,"air"))</f>
        <v>0</v>
      </c>
      <c r="AB579">
        <f>AND(IF(Metadata!I579="",FALSE,TRUE),exact(Metadata!I579,"air metagenome"))</f>
        <v>0</v>
      </c>
      <c r="AC579">
        <f>AND(IF(Metadata!J579="",FALSE,TRUE),exact(Metadata!J579,"655179"))</f>
        <v>0</v>
      </c>
    </row>
    <row r="580" spans="1:29">
      <c r="A580" s="5">
        <f>IF(B580=" "," ",HYPERLINK(CONCATENATE("#metadata!",ADDRESS(INDEX($P$2:$P$1001,MATCH(ROWS($N$2:N580),$N$2:$N$1001,0),0),1)),INDEX($S$2:$S$1001,MATCH(ROWS($N$2:N580),$N$2:$N$1001,0),0)))</f>
        <v>0</v>
      </c>
      <c r="B580" s="4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4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4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4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4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4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4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4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4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OR(AND(IF(Metadata!C580="",FALSE,TRUE),OR(exact(Metadata!C580,"not applicable"),exact(Metadata!C580,"not collected"),exact(Metadata!C580,"not provided"),exact(Metadata!C580,"restricted access"))),IF(Metadata!C580="",FALSE,ISNUMBER(VALUE(Metadata!C580))))</f>
        <v>0</v>
      </c>
      <c r="W580">
        <f>AND(IF(Metadata!D580="",FALSE,TRUE),exact(Metadata!D580,"m"))</f>
        <v>0</v>
      </c>
      <c r="X580">
        <f>AND(IF(Metadata!E580="",FALSE,TRUE),OR(exact(Metadata!E580,"aerosol (non-saline)"),exact(Metadata!E580,"aerosol (saline)")))</f>
        <v>0</v>
      </c>
      <c r="Y580">
        <f>AND(IF(Metadata!F580="",FALSE,TRUE),exact(Metadata!F580,"air"))</f>
        <v>0</v>
      </c>
      <c r="Z580">
        <f>AND(IF(Metadata!G580="",FALSE,TRUE),exact(Metadata!G580,"air"))</f>
        <v>0</v>
      </c>
      <c r="AA580">
        <f>AND(IF(Metadata!H580="",FALSE,TRUE),exact(Metadata!H580,"air"))</f>
        <v>0</v>
      </c>
      <c r="AB580">
        <f>AND(IF(Metadata!I580="",FALSE,TRUE),exact(Metadata!I580,"air metagenome"))</f>
        <v>0</v>
      </c>
      <c r="AC580">
        <f>AND(IF(Metadata!J580="",FALSE,TRUE),exact(Metadata!J580,"655179"))</f>
        <v>0</v>
      </c>
    </row>
    <row r="581" spans="1:29">
      <c r="A581" s="5">
        <f>IF(B581=" "," ",HYPERLINK(CONCATENATE("#metadata!",ADDRESS(INDEX($P$2:$P$1001,MATCH(ROWS($N$2:N581),$N$2:$N$1001,0),0),1)),INDEX($S$2:$S$1001,MATCH(ROWS($N$2:N581),$N$2:$N$1001,0),0)))</f>
        <v>0</v>
      </c>
      <c r="B581" s="4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4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4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4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4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4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4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4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OR(AND(IF(Metadata!C581="",FALSE,TRUE),OR(exact(Metadata!C581,"not applicable"),exact(Metadata!C581,"not collected"),exact(Metadata!C581,"not provided"),exact(Metadata!C581,"restricted access"))),IF(Metadata!C581="",FALSE,ISNUMBER(VALUE(Metadata!C581))))</f>
        <v>0</v>
      </c>
      <c r="W581">
        <f>AND(IF(Metadata!D581="",FALSE,TRUE),exact(Metadata!D581,"m"))</f>
        <v>0</v>
      </c>
      <c r="X581">
        <f>AND(IF(Metadata!E581="",FALSE,TRUE),OR(exact(Metadata!E581,"aerosol (non-saline)"),exact(Metadata!E581,"aerosol (saline)")))</f>
        <v>0</v>
      </c>
      <c r="Y581">
        <f>AND(IF(Metadata!F581="",FALSE,TRUE),exact(Metadata!F581,"air"))</f>
        <v>0</v>
      </c>
      <c r="Z581">
        <f>AND(IF(Metadata!G581="",FALSE,TRUE),exact(Metadata!G581,"air"))</f>
        <v>0</v>
      </c>
      <c r="AA581">
        <f>AND(IF(Metadata!H581="",FALSE,TRUE),exact(Metadata!H581,"air"))</f>
        <v>0</v>
      </c>
      <c r="AB581">
        <f>AND(IF(Metadata!I581="",FALSE,TRUE),exact(Metadata!I581,"air metagenome"))</f>
        <v>0</v>
      </c>
      <c r="AC581">
        <f>AND(IF(Metadata!J581="",FALSE,TRUE),exact(Metadata!J581,"655179"))</f>
        <v>0</v>
      </c>
    </row>
    <row r="582" spans="1:29">
      <c r="A582" s="5">
        <f>IF(B582=" "," ",HYPERLINK(CONCATENATE("#metadata!",ADDRESS(INDEX($P$2:$P$1001,MATCH(ROWS($N$2:N582),$N$2:$N$1001,0),0),1)),INDEX($S$2:$S$1001,MATCH(ROWS($N$2:N582),$N$2:$N$1001,0),0)))</f>
        <v>0</v>
      </c>
      <c r="B582" s="4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4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4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4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4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4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4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4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4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OR(AND(IF(Metadata!C582="",FALSE,TRUE),OR(exact(Metadata!C582,"not applicable"),exact(Metadata!C582,"not collected"),exact(Metadata!C582,"not provided"),exact(Metadata!C582,"restricted access"))),IF(Metadata!C582="",FALSE,ISNUMBER(VALUE(Metadata!C582))))</f>
        <v>0</v>
      </c>
      <c r="W582">
        <f>AND(IF(Metadata!D582="",FALSE,TRUE),exact(Metadata!D582,"m"))</f>
        <v>0</v>
      </c>
      <c r="X582">
        <f>AND(IF(Metadata!E582="",FALSE,TRUE),OR(exact(Metadata!E582,"aerosol (non-saline)"),exact(Metadata!E582,"aerosol (saline)")))</f>
        <v>0</v>
      </c>
      <c r="Y582">
        <f>AND(IF(Metadata!F582="",FALSE,TRUE),exact(Metadata!F582,"air"))</f>
        <v>0</v>
      </c>
      <c r="Z582">
        <f>AND(IF(Metadata!G582="",FALSE,TRUE),exact(Metadata!G582,"air"))</f>
        <v>0</v>
      </c>
      <c r="AA582">
        <f>AND(IF(Metadata!H582="",FALSE,TRUE),exact(Metadata!H582,"air"))</f>
        <v>0</v>
      </c>
      <c r="AB582">
        <f>AND(IF(Metadata!I582="",FALSE,TRUE),exact(Metadata!I582,"air metagenome"))</f>
        <v>0</v>
      </c>
      <c r="AC582">
        <f>AND(IF(Metadata!J582="",FALSE,TRUE),exact(Metadata!J582,"655179"))</f>
        <v>0</v>
      </c>
    </row>
    <row r="583" spans="1:29">
      <c r="A583" s="5">
        <f>IF(B583=" "," ",HYPERLINK(CONCATENATE("#metadata!",ADDRESS(INDEX($P$2:$P$1001,MATCH(ROWS($N$2:N583),$N$2:$N$1001,0),0),1)),INDEX($S$2:$S$1001,MATCH(ROWS($N$2:N583),$N$2:$N$1001,0),0)))</f>
        <v>0</v>
      </c>
      <c r="B583" s="4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4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4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4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4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4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4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4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4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OR(AND(IF(Metadata!C583="",FALSE,TRUE),OR(exact(Metadata!C583,"not applicable"),exact(Metadata!C583,"not collected"),exact(Metadata!C583,"not provided"),exact(Metadata!C583,"restricted access"))),IF(Metadata!C583="",FALSE,ISNUMBER(VALUE(Metadata!C583))))</f>
        <v>0</v>
      </c>
      <c r="W583">
        <f>AND(IF(Metadata!D583="",FALSE,TRUE),exact(Metadata!D583,"m"))</f>
        <v>0</v>
      </c>
      <c r="X583">
        <f>AND(IF(Metadata!E583="",FALSE,TRUE),OR(exact(Metadata!E583,"aerosol (non-saline)"),exact(Metadata!E583,"aerosol (saline)")))</f>
        <v>0</v>
      </c>
      <c r="Y583">
        <f>AND(IF(Metadata!F583="",FALSE,TRUE),exact(Metadata!F583,"air"))</f>
        <v>0</v>
      </c>
      <c r="Z583">
        <f>AND(IF(Metadata!G583="",FALSE,TRUE),exact(Metadata!G583,"air"))</f>
        <v>0</v>
      </c>
      <c r="AA583">
        <f>AND(IF(Metadata!H583="",FALSE,TRUE),exact(Metadata!H583,"air"))</f>
        <v>0</v>
      </c>
      <c r="AB583">
        <f>AND(IF(Metadata!I583="",FALSE,TRUE),exact(Metadata!I583,"air metagenome"))</f>
        <v>0</v>
      </c>
      <c r="AC583">
        <f>AND(IF(Metadata!J583="",FALSE,TRUE),exact(Metadata!J583,"655179"))</f>
        <v>0</v>
      </c>
    </row>
    <row r="584" spans="1:29">
      <c r="A584" s="5">
        <f>IF(B584=" "," ",HYPERLINK(CONCATENATE("#metadata!",ADDRESS(INDEX($P$2:$P$1001,MATCH(ROWS($N$2:N584),$N$2:$N$1001,0),0),1)),INDEX($S$2:$S$1001,MATCH(ROWS($N$2:N584),$N$2:$N$1001,0),0)))</f>
        <v>0</v>
      </c>
      <c r="B584" s="4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4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4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4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4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4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4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4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4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OR(AND(IF(Metadata!C584="",FALSE,TRUE),OR(exact(Metadata!C584,"not applicable"),exact(Metadata!C584,"not collected"),exact(Metadata!C584,"not provided"),exact(Metadata!C584,"restricted access"))),IF(Metadata!C584="",FALSE,ISNUMBER(VALUE(Metadata!C584))))</f>
        <v>0</v>
      </c>
      <c r="W584">
        <f>AND(IF(Metadata!D584="",FALSE,TRUE),exact(Metadata!D584,"m"))</f>
        <v>0</v>
      </c>
      <c r="X584">
        <f>AND(IF(Metadata!E584="",FALSE,TRUE),OR(exact(Metadata!E584,"aerosol (non-saline)"),exact(Metadata!E584,"aerosol (saline)")))</f>
        <v>0</v>
      </c>
      <c r="Y584">
        <f>AND(IF(Metadata!F584="",FALSE,TRUE),exact(Metadata!F584,"air"))</f>
        <v>0</v>
      </c>
      <c r="Z584">
        <f>AND(IF(Metadata!G584="",FALSE,TRUE),exact(Metadata!G584,"air"))</f>
        <v>0</v>
      </c>
      <c r="AA584">
        <f>AND(IF(Metadata!H584="",FALSE,TRUE),exact(Metadata!H584,"air"))</f>
        <v>0</v>
      </c>
      <c r="AB584">
        <f>AND(IF(Metadata!I584="",FALSE,TRUE),exact(Metadata!I584,"air metagenome"))</f>
        <v>0</v>
      </c>
      <c r="AC584">
        <f>AND(IF(Metadata!J584="",FALSE,TRUE),exact(Metadata!J584,"655179"))</f>
        <v>0</v>
      </c>
    </row>
    <row r="585" spans="1:29">
      <c r="A585" s="5">
        <f>IF(B585=" "," ",HYPERLINK(CONCATENATE("#metadata!",ADDRESS(INDEX($P$2:$P$1001,MATCH(ROWS($N$2:N585),$N$2:$N$1001,0),0),1)),INDEX($S$2:$S$1001,MATCH(ROWS($N$2:N585),$N$2:$N$1001,0),0)))</f>
        <v>0</v>
      </c>
      <c r="B585" s="4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4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4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4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4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4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4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4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4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OR(AND(IF(Metadata!C585="",FALSE,TRUE),OR(exact(Metadata!C585,"not applicable"),exact(Metadata!C585,"not collected"),exact(Metadata!C585,"not provided"),exact(Metadata!C585,"restricted access"))),IF(Metadata!C585="",FALSE,ISNUMBER(VALUE(Metadata!C585))))</f>
        <v>0</v>
      </c>
      <c r="W585">
        <f>AND(IF(Metadata!D585="",FALSE,TRUE),exact(Metadata!D585,"m"))</f>
        <v>0</v>
      </c>
      <c r="X585">
        <f>AND(IF(Metadata!E585="",FALSE,TRUE),OR(exact(Metadata!E585,"aerosol (non-saline)"),exact(Metadata!E585,"aerosol (saline)")))</f>
        <v>0</v>
      </c>
      <c r="Y585">
        <f>AND(IF(Metadata!F585="",FALSE,TRUE),exact(Metadata!F585,"air"))</f>
        <v>0</v>
      </c>
      <c r="Z585">
        <f>AND(IF(Metadata!G585="",FALSE,TRUE),exact(Metadata!G585,"air"))</f>
        <v>0</v>
      </c>
      <c r="AA585">
        <f>AND(IF(Metadata!H585="",FALSE,TRUE),exact(Metadata!H585,"air"))</f>
        <v>0</v>
      </c>
      <c r="AB585">
        <f>AND(IF(Metadata!I585="",FALSE,TRUE),exact(Metadata!I585,"air metagenome"))</f>
        <v>0</v>
      </c>
      <c r="AC585">
        <f>AND(IF(Metadata!J585="",FALSE,TRUE),exact(Metadata!J585,"655179"))</f>
        <v>0</v>
      </c>
    </row>
    <row r="586" spans="1:29">
      <c r="A586" s="5">
        <f>IF(B586=" "," ",HYPERLINK(CONCATENATE("#metadata!",ADDRESS(INDEX($P$2:$P$1001,MATCH(ROWS($N$2:N586),$N$2:$N$1001,0),0),1)),INDEX($S$2:$S$1001,MATCH(ROWS($N$2:N586),$N$2:$N$1001,0),0)))</f>
        <v>0</v>
      </c>
      <c r="B586" s="4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4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4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4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4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4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4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4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4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OR(AND(IF(Metadata!C586="",FALSE,TRUE),OR(exact(Metadata!C586,"not applicable"),exact(Metadata!C586,"not collected"),exact(Metadata!C586,"not provided"),exact(Metadata!C586,"restricted access"))),IF(Metadata!C586="",FALSE,ISNUMBER(VALUE(Metadata!C586))))</f>
        <v>0</v>
      </c>
      <c r="W586">
        <f>AND(IF(Metadata!D586="",FALSE,TRUE),exact(Metadata!D586,"m"))</f>
        <v>0</v>
      </c>
      <c r="X586">
        <f>AND(IF(Metadata!E586="",FALSE,TRUE),OR(exact(Metadata!E586,"aerosol (non-saline)"),exact(Metadata!E586,"aerosol (saline)")))</f>
        <v>0</v>
      </c>
      <c r="Y586">
        <f>AND(IF(Metadata!F586="",FALSE,TRUE),exact(Metadata!F586,"air"))</f>
        <v>0</v>
      </c>
      <c r="Z586">
        <f>AND(IF(Metadata!G586="",FALSE,TRUE),exact(Metadata!G586,"air"))</f>
        <v>0</v>
      </c>
      <c r="AA586">
        <f>AND(IF(Metadata!H586="",FALSE,TRUE),exact(Metadata!H586,"air"))</f>
        <v>0</v>
      </c>
      <c r="AB586">
        <f>AND(IF(Metadata!I586="",FALSE,TRUE),exact(Metadata!I586,"air metagenome"))</f>
        <v>0</v>
      </c>
      <c r="AC586">
        <f>AND(IF(Metadata!J586="",FALSE,TRUE),exact(Metadata!J586,"655179"))</f>
        <v>0</v>
      </c>
    </row>
    <row r="587" spans="1:29">
      <c r="A587" s="5">
        <f>IF(B587=" "," ",HYPERLINK(CONCATENATE("#metadata!",ADDRESS(INDEX($P$2:$P$1001,MATCH(ROWS($N$2:N587),$N$2:$N$1001,0),0),1)),INDEX($S$2:$S$1001,MATCH(ROWS($N$2:N587),$N$2:$N$1001,0),0)))</f>
        <v>0</v>
      </c>
      <c r="B587" s="4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4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4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4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4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4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4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4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4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OR(AND(IF(Metadata!C587="",FALSE,TRUE),OR(exact(Metadata!C587,"not applicable"),exact(Metadata!C587,"not collected"),exact(Metadata!C587,"not provided"),exact(Metadata!C587,"restricted access"))),IF(Metadata!C587="",FALSE,ISNUMBER(VALUE(Metadata!C587))))</f>
        <v>0</v>
      </c>
      <c r="W587">
        <f>AND(IF(Metadata!D587="",FALSE,TRUE),exact(Metadata!D587,"m"))</f>
        <v>0</v>
      </c>
      <c r="X587">
        <f>AND(IF(Metadata!E587="",FALSE,TRUE),OR(exact(Metadata!E587,"aerosol (non-saline)"),exact(Metadata!E587,"aerosol (saline)")))</f>
        <v>0</v>
      </c>
      <c r="Y587">
        <f>AND(IF(Metadata!F587="",FALSE,TRUE),exact(Metadata!F587,"air"))</f>
        <v>0</v>
      </c>
      <c r="Z587">
        <f>AND(IF(Metadata!G587="",FALSE,TRUE),exact(Metadata!G587,"air"))</f>
        <v>0</v>
      </c>
      <c r="AA587">
        <f>AND(IF(Metadata!H587="",FALSE,TRUE),exact(Metadata!H587,"air"))</f>
        <v>0</v>
      </c>
      <c r="AB587">
        <f>AND(IF(Metadata!I587="",FALSE,TRUE),exact(Metadata!I587,"air metagenome"))</f>
        <v>0</v>
      </c>
      <c r="AC587">
        <f>AND(IF(Metadata!J587="",FALSE,TRUE),exact(Metadata!J587,"655179"))</f>
        <v>0</v>
      </c>
    </row>
    <row r="588" spans="1:29">
      <c r="A588" s="5">
        <f>IF(B588=" "," ",HYPERLINK(CONCATENATE("#metadata!",ADDRESS(INDEX($P$2:$P$1001,MATCH(ROWS($N$2:N588),$N$2:$N$1001,0),0),1)),INDEX($S$2:$S$1001,MATCH(ROWS($N$2:N588),$N$2:$N$1001,0),0)))</f>
        <v>0</v>
      </c>
      <c r="B588" s="4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4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4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4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4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4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4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4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4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OR(AND(IF(Metadata!C588="",FALSE,TRUE),OR(exact(Metadata!C588,"not applicable"),exact(Metadata!C588,"not collected"),exact(Metadata!C588,"not provided"),exact(Metadata!C588,"restricted access"))),IF(Metadata!C588="",FALSE,ISNUMBER(VALUE(Metadata!C588))))</f>
        <v>0</v>
      </c>
      <c r="W588">
        <f>AND(IF(Metadata!D588="",FALSE,TRUE),exact(Metadata!D588,"m"))</f>
        <v>0</v>
      </c>
      <c r="X588">
        <f>AND(IF(Metadata!E588="",FALSE,TRUE),OR(exact(Metadata!E588,"aerosol (non-saline)"),exact(Metadata!E588,"aerosol (saline)")))</f>
        <v>0</v>
      </c>
      <c r="Y588">
        <f>AND(IF(Metadata!F588="",FALSE,TRUE),exact(Metadata!F588,"air"))</f>
        <v>0</v>
      </c>
      <c r="Z588">
        <f>AND(IF(Metadata!G588="",FALSE,TRUE),exact(Metadata!G588,"air"))</f>
        <v>0</v>
      </c>
      <c r="AA588">
        <f>AND(IF(Metadata!H588="",FALSE,TRUE),exact(Metadata!H588,"air"))</f>
        <v>0</v>
      </c>
      <c r="AB588">
        <f>AND(IF(Metadata!I588="",FALSE,TRUE),exact(Metadata!I588,"air metagenome"))</f>
        <v>0</v>
      </c>
      <c r="AC588">
        <f>AND(IF(Metadata!J588="",FALSE,TRUE),exact(Metadata!J588,"655179"))</f>
        <v>0</v>
      </c>
    </row>
    <row r="589" spans="1:29">
      <c r="A589" s="5">
        <f>IF(B589=" "," ",HYPERLINK(CONCATENATE("#metadata!",ADDRESS(INDEX($P$2:$P$1001,MATCH(ROWS($N$2:N589),$N$2:$N$1001,0),0),1)),INDEX($S$2:$S$1001,MATCH(ROWS($N$2:N589),$N$2:$N$1001,0),0)))</f>
        <v>0</v>
      </c>
      <c r="B589" s="4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4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4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4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4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4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4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4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4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OR(AND(IF(Metadata!C589="",FALSE,TRUE),OR(exact(Metadata!C589,"not applicable"),exact(Metadata!C589,"not collected"),exact(Metadata!C589,"not provided"),exact(Metadata!C589,"restricted access"))),IF(Metadata!C589="",FALSE,ISNUMBER(VALUE(Metadata!C589))))</f>
        <v>0</v>
      </c>
      <c r="W589">
        <f>AND(IF(Metadata!D589="",FALSE,TRUE),exact(Metadata!D589,"m"))</f>
        <v>0</v>
      </c>
      <c r="X589">
        <f>AND(IF(Metadata!E589="",FALSE,TRUE),OR(exact(Metadata!E589,"aerosol (non-saline)"),exact(Metadata!E589,"aerosol (saline)")))</f>
        <v>0</v>
      </c>
      <c r="Y589">
        <f>AND(IF(Metadata!F589="",FALSE,TRUE),exact(Metadata!F589,"air"))</f>
        <v>0</v>
      </c>
      <c r="Z589">
        <f>AND(IF(Metadata!G589="",FALSE,TRUE),exact(Metadata!G589,"air"))</f>
        <v>0</v>
      </c>
      <c r="AA589">
        <f>AND(IF(Metadata!H589="",FALSE,TRUE),exact(Metadata!H589,"air"))</f>
        <v>0</v>
      </c>
      <c r="AB589">
        <f>AND(IF(Metadata!I589="",FALSE,TRUE),exact(Metadata!I589,"air metagenome"))</f>
        <v>0</v>
      </c>
      <c r="AC589">
        <f>AND(IF(Metadata!J589="",FALSE,TRUE),exact(Metadata!J589,"655179"))</f>
        <v>0</v>
      </c>
    </row>
    <row r="590" spans="1:29">
      <c r="A590" s="5">
        <f>IF(B590=" "," ",HYPERLINK(CONCATENATE("#metadata!",ADDRESS(INDEX($P$2:$P$1001,MATCH(ROWS($N$2:N590),$N$2:$N$1001,0),0),1)),INDEX($S$2:$S$1001,MATCH(ROWS($N$2:N590),$N$2:$N$1001,0),0)))</f>
        <v>0</v>
      </c>
      <c r="B590" s="4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4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4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4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4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4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4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4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4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OR(AND(IF(Metadata!C590="",FALSE,TRUE),OR(exact(Metadata!C590,"not applicable"),exact(Metadata!C590,"not collected"),exact(Metadata!C590,"not provided"),exact(Metadata!C590,"restricted access"))),IF(Metadata!C590="",FALSE,ISNUMBER(VALUE(Metadata!C590))))</f>
        <v>0</v>
      </c>
      <c r="W590">
        <f>AND(IF(Metadata!D590="",FALSE,TRUE),exact(Metadata!D590,"m"))</f>
        <v>0</v>
      </c>
      <c r="X590">
        <f>AND(IF(Metadata!E590="",FALSE,TRUE),OR(exact(Metadata!E590,"aerosol (non-saline)"),exact(Metadata!E590,"aerosol (saline)")))</f>
        <v>0</v>
      </c>
      <c r="Y590">
        <f>AND(IF(Metadata!F590="",FALSE,TRUE),exact(Metadata!F590,"air"))</f>
        <v>0</v>
      </c>
      <c r="Z590">
        <f>AND(IF(Metadata!G590="",FALSE,TRUE),exact(Metadata!G590,"air"))</f>
        <v>0</v>
      </c>
      <c r="AA590">
        <f>AND(IF(Metadata!H590="",FALSE,TRUE),exact(Metadata!H590,"air"))</f>
        <v>0</v>
      </c>
      <c r="AB590">
        <f>AND(IF(Metadata!I590="",FALSE,TRUE),exact(Metadata!I590,"air metagenome"))</f>
        <v>0</v>
      </c>
      <c r="AC590">
        <f>AND(IF(Metadata!J590="",FALSE,TRUE),exact(Metadata!J590,"655179"))</f>
        <v>0</v>
      </c>
    </row>
    <row r="591" spans="1:29">
      <c r="A591" s="5">
        <f>IF(B591=" "," ",HYPERLINK(CONCATENATE("#metadata!",ADDRESS(INDEX($P$2:$P$1001,MATCH(ROWS($N$2:N591),$N$2:$N$1001,0),0),1)),INDEX($S$2:$S$1001,MATCH(ROWS($N$2:N591),$N$2:$N$1001,0),0)))</f>
        <v>0</v>
      </c>
      <c r="B591" s="4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4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4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4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4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4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4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4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4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OR(AND(IF(Metadata!C591="",FALSE,TRUE),OR(exact(Metadata!C591,"not applicable"),exact(Metadata!C591,"not collected"),exact(Metadata!C591,"not provided"),exact(Metadata!C591,"restricted access"))),IF(Metadata!C591="",FALSE,ISNUMBER(VALUE(Metadata!C591))))</f>
        <v>0</v>
      </c>
      <c r="W591">
        <f>AND(IF(Metadata!D591="",FALSE,TRUE),exact(Metadata!D591,"m"))</f>
        <v>0</v>
      </c>
      <c r="X591">
        <f>AND(IF(Metadata!E591="",FALSE,TRUE),OR(exact(Metadata!E591,"aerosol (non-saline)"),exact(Metadata!E591,"aerosol (saline)")))</f>
        <v>0</v>
      </c>
      <c r="Y591">
        <f>AND(IF(Metadata!F591="",FALSE,TRUE),exact(Metadata!F591,"air"))</f>
        <v>0</v>
      </c>
      <c r="Z591">
        <f>AND(IF(Metadata!G591="",FALSE,TRUE),exact(Metadata!G591,"air"))</f>
        <v>0</v>
      </c>
      <c r="AA591">
        <f>AND(IF(Metadata!H591="",FALSE,TRUE),exact(Metadata!H591,"air"))</f>
        <v>0</v>
      </c>
      <c r="AB591">
        <f>AND(IF(Metadata!I591="",FALSE,TRUE),exact(Metadata!I591,"air metagenome"))</f>
        <v>0</v>
      </c>
      <c r="AC591">
        <f>AND(IF(Metadata!J591="",FALSE,TRUE),exact(Metadata!J591,"655179"))</f>
        <v>0</v>
      </c>
    </row>
    <row r="592" spans="1:29">
      <c r="A592" s="5">
        <f>IF(B592=" "," ",HYPERLINK(CONCATENATE("#metadata!",ADDRESS(INDEX($P$2:$P$1001,MATCH(ROWS($N$2:N592),$N$2:$N$1001,0),0),1)),INDEX($S$2:$S$1001,MATCH(ROWS($N$2:N592),$N$2:$N$1001,0),0)))</f>
        <v>0</v>
      </c>
      <c r="B592" s="4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4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4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4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4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4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4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4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4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OR(AND(IF(Metadata!C592="",FALSE,TRUE),OR(exact(Metadata!C592,"not applicable"),exact(Metadata!C592,"not collected"),exact(Metadata!C592,"not provided"),exact(Metadata!C592,"restricted access"))),IF(Metadata!C592="",FALSE,ISNUMBER(VALUE(Metadata!C592))))</f>
        <v>0</v>
      </c>
      <c r="W592">
        <f>AND(IF(Metadata!D592="",FALSE,TRUE),exact(Metadata!D592,"m"))</f>
        <v>0</v>
      </c>
      <c r="X592">
        <f>AND(IF(Metadata!E592="",FALSE,TRUE),OR(exact(Metadata!E592,"aerosol (non-saline)"),exact(Metadata!E592,"aerosol (saline)")))</f>
        <v>0</v>
      </c>
      <c r="Y592">
        <f>AND(IF(Metadata!F592="",FALSE,TRUE),exact(Metadata!F592,"air"))</f>
        <v>0</v>
      </c>
      <c r="Z592">
        <f>AND(IF(Metadata!G592="",FALSE,TRUE),exact(Metadata!G592,"air"))</f>
        <v>0</v>
      </c>
      <c r="AA592">
        <f>AND(IF(Metadata!H592="",FALSE,TRUE),exact(Metadata!H592,"air"))</f>
        <v>0</v>
      </c>
      <c r="AB592">
        <f>AND(IF(Metadata!I592="",FALSE,TRUE),exact(Metadata!I592,"air metagenome"))</f>
        <v>0</v>
      </c>
      <c r="AC592">
        <f>AND(IF(Metadata!J592="",FALSE,TRUE),exact(Metadata!J592,"655179"))</f>
        <v>0</v>
      </c>
    </row>
    <row r="593" spans="1:29">
      <c r="A593" s="5">
        <f>IF(B593=" "," ",HYPERLINK(CONCATENATE("#metadata!",ADDRESS(INDEX($P$2:$P$1001,MATCH(ROWS($N$2:N593),$N$2:$N$1001,0),0),1)),INDEX($S$2:$S$1001,MATCH(ROWS($N$2:N593),$N$2:$N$1001,0),0)))</f>
        <v>0</v>
      </c>
      <c r="B593" s="4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4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4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4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4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4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4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4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4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OR(AND(IF(Metadata!C593="",FALSE,TRUE),OR(exact(Metadata!C593,"not applicable"),exact(Metadata!C593,"not collected"),exact(Metadata!C593,"not provided"),exact(Metadata!C593,"restricted access"))),IF(Metadata!C593="",FALSE,ISNUMBER(VALUE(Metadata!C593))))</f>
        <v>0</v>
      </c>
      <c r="W593">
        <f>AND(IF(Metadata!D593="",FALSE,TRUE),exact(Metadata!D593,"m"))</f>
        <v>0</v>
      </c>
      <c r="X593">
        <f>AND(IF(Metadata!E593="",FALSE,TRUE),OR(exact(Metadata!E593,"aerosol (non-saline)"),exact(Metadata!E593,"aerosol (saline)")))</f>
        <v>0</v>
      </c>
      <c r="Y593">
        <f>AND(IF(Metadata!F593="",FALSE,TRUE),exact(Metadata!F593,"air"))</f>
        <v>0</v>
      </c>
      <c r="Z593">
        <f>AND(IF(Metadata!G593="",FALSE,TRUE),exact(Metadata!G593,"air"))</f>
        <v>0</v>
      </c>
      <c r="AA593">
        <f>AND(IF(Metadata!H593="",FALSE,TRUE),exact(Metadata!H593,"air"))</f>
        <v>0</v>
      </c>
      <c r="AB593">
        <f>AND(IF(Metadata!I593="",FALSE,TRUE),exact(Metadata!I593,"air metagenome"))</f>
        <v>0</v>
      </c>
      <c r="AC593">
        <f>AND(IF(Metadata!J593="",FALSE,TRUE),exact(Metadata!J593,"655179"))</f>
        <v>0</v>
      </c>
    </row>
    <row r="594" spans="1:29">
      <c r="A594" s="5">
        <f>IF(B594=" "," ",HYPERLINK(CONCATENATE("#metadata!",ADDRESS(INDEX($P$2:$P$1001,MATCH(ROWS($N$2:N594),$N$2:$N$1001,0),0),1)),INDEX($S$2:$S$1001,MATCH(ROWS($N$2:N594),$N$2:$N$1001,0),0)))</f>
        <v>0</v>
      </c>
      <c r="B594" s="4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4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4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4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4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4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4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4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4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OR(AND(IF(Metadata!C594="",FALSE,TRUE),OR(exact(Metadata!C594,"not applicable"),exact(Metadata!C594,"not collected"),exact(Metadata!C594,"not provided"),exact(Metadata!C594,"restricted access"))),IF(Metadata!C594="",FALSE,ISNUMBER(VALUE(Metadata!C594))))</f>
        <v>0</v>
      </c>
      <c r="W594">
        <f>AND(IF(Metadata!D594="",FALSE,TRUE),exact(Metadata!D594,"m"))</f>
        <v>0</v>
      </c>
      <c r="X594">
        <f>AND(IF(Metadata!E594="",FALSE,TRUE),OR(exact(Metadata!E594,"aerosol (non-saline)"),exact(Metadata!E594,"aerosol (saline)")))</f>
        <v>0</v>
      </c>
      <c r="Y594">
        <f>AND(IF(Metadata!F594="",FALSE,TRUE),exact(Metadata!F594,"air"))</f>
        <v>0</v>
      </c>
      <c r="Z594">
        <f>AND(IF(Metadata!G594="",FALSE,TRUE),exact(Metadata!G594,"air"))</f>
        <v>0</v>
      </c>
      <c r="AA594">
        <f>AND(IF(Metadata!H594="",FALSE,TRUE),exact(Metadata!H594,"air"))</f>
        <v>0</v>
      </c>
      <c r="AB594">
        <f>AND(IF(Metadata!I594="",FALSE,TRUE),exact(Metadata!I594,"air metagenome"))</f>
        <v>0</v>
      </c>
      <c r="AC594">
        <f>AND(IF(Metadata!J594="",FALSE,TRUE),exact(Metadata!J594,"655179"))</f>
        <v>0</v>
      </c>
    </row>
    <row r="595" spans="1:29">
      <c r="A595" s="5">
        <f>IF(B595=" "," ",HYPERLINK(CONCATENATE("#metadata!",ADDRESS(INDEX($P$2:$P$1001,MATCH(ROWS($N$2:N595),$N$2:$N$1001,0),0),1)),INDEX($S$2:$S$1001,MATCH(ROWS($N$2:N595),$N$2:$N$1001,0),0)))</f>
        <v>0</v>
      </c>
      <c r="B595" s="4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4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4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4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4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4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4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4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4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OR(AND(IF(Metadata!C595="",FALSE,TRUE),OR(exact(Metadata!C595,"not applicable"),exact(Metadata!C595,"not collected"),exact(Metadata!C595,"not provided"),exact(Metadata!C595,"restricted access"))),IF(Metadata!C595="",FALSE,ISNUMBER(VALUE(Metadata!C595))))</f>
        <v>0</v>
      </c>
      <c r="W595">
        <f>AND(IF(Metadata!D595="",FALSE,TRUE),exact(Metadata!D595,"m"))</f>
        <v>0</v>
      </c>
      <c r="X595">
        <f>AND(IF(Metadata!E595="",FALSE,TRUE),OR(exact(Metadata!E595,"aerosol (non-saline)"),exact(Metadata!E595,"aerosol (saline)")))</f>
        <v>0</v>
      </c>
      <c r="Y595">
        <f>AND(IF(Metadata!F595="",FALSE,TRUE),exact(Metadata!F595,"air"))</f>
        <v>0</v>
      </c>
      <c r="Z595">
        <f>AND(IF(Metadata!G595="",FALSE,TRUE),exact(Metadata!G595,"air"))</f>
        <v>0</v>
      </c>
      <c r="AA595">
        <f>AND(IF(Metadata!H595="",FALSE,TRUE),exact(Metadata!H595,"air"))</f>
        <v>0</v>
      </c>
      <c r="AB595">
        <f>AND(IF(Metadata!I595="",FALSE,TRUE),exact(Metadata!I595,"air metagenome"))</f>
        <v>0</v>
      </c>
      <c r="AC595">
        <f>AND(IF(Metadata!J595="",FALSE,TRUE),exact(Metadata!J595,"655179"))</f>
        <v>0</v>
      </c>
    </row>
    <row r="596" spans="1:29">
      <c r="A596" s="5">
        <f>IF(B596=" "," ",HYPERLINK(CONCATENATE("#metadata!",ADDRESS(INDEX($P$2:$P$1001,MATCH(ROWS($N$2:N596),$N$2:$N$1001,0),0),1)),INDEX($S$2:$S$1001,MATCH(ROWS($N$2:N596),$N$2:$N$1001,0),0)))</f>
        <v>0</v>
      </c>
      <c r="B596" s="4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4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4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4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4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4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4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4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4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OR(AND(IF(Metadata!C596="",FALSE,TRUE),OR(exact(Metadata!C596,"not applicable"),exact(Metadata!C596,"not collected"),exact(Metadata!C596,"not provided"),exact(Metadata!C596,"restricted access"))),IF(Metadata!C596="",FALSE,ISNUMBER(VALUE(Metadata!C596))))</f>
        <v>0</v>
      </c>
      <c r="W596">
        <f>AND(IF(Metadata!D596="",FALSE,TRUE),exact(Metadata!D596,"m"))</f>
        <v>0</v>
      </c>
      <c r="X596">
        <f>AND(IF(Metadata!E596="",FALSE,TRUE),OR(exact(Metadata!E596,"aerosol (non-saline)"),exact(Metadata!E596,"aerosol (saline)")))</f>
        <v>0</v>
      </c>
      <c r="Y596">
        <f>AND(IF(Metadata!F596="",FALSE,TRUE),exact(Metadata!F596,"air"))</f>
        <v>0</v>
      </c>
      <c r="Z596">
        <f>AND(IF(Metadata!G596="",FALSE,TRUE),exact(Metadata!G596,"air"))</f>
        <v>0</v>
      </c>
      <c r="AA596">
        <f>AND(IF(Metadata!H596="",FALSE,TRUE),exact(Metadata!H596,"air"))</f>
        <v>0</v>
      </c>
      <c r="AB596">
        <f>AND(IF(Metadata!I596="",FALSE,TRUE),exact(Metadata!I596,"air metagenome"))</f>
        <v>0</v>
      </c>
      <c r="AC596">
        <f>AND(IF(Metadata!J596="",FALSE,TRUE),exact(Metadata!J596,"655179"))</f>
        <v>0</v>
      </c>
    </row>
    <row r="597" spans="1:29">
      <c r="A597" s="5">
        <f>IF(B597=" "," ",HYPERLINK(CONCATENATE("#metadata!",ADDRESS(INDEX($P$2:$P$1001,MATCH(ROWS($N$2:N597),$N$2:$N$1001,0),0),1)),INDEX($S$2:$S$1001,MATCH(ROWS($N$2:N597),$N$2:$N$1001,0),0)))</f>
        <v>0</v>
      </c>
      <c r="B597" s="4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4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4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4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4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4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4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4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4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OR(AND(IF(Metadata!C597="",FALSE,TRUE),OR(exact(Metadata!C597,"not applicable"),exact(Metadata!C597,"not collected"),exact(Metadata!C597,"not provided"),exact(Metadata!C597,"restricted access"))),IF(Metadata!C597="",FALSE,ISNUMBER(VALUE(Metadata!C597))))</f>
        <v>0</v>
      </c>
      <c r="W597">
        <f>AND(IF(Metadata!D597="",FALSE,TRUE),exact(Metadata!D597,"m"))</f>
        <v>0</v>
      </c>
      <c r="X597">
        <f>AND(IF(Metadata!E597="",FALSE,TRUE),OR(exact(Metadata!E597,"aerosol (non-saline)"),exact(Metadata!E597,"aerosol (saline)")))</f>
        <v>0</v>
      </c>
      <c r="Y597">
        <f>AND(IF(Metadata!F597="",FALSE,TRUE),exact(Metadata!F597,"air"))</f>
        <v>0</v>
      </c>
      <c r="Z597">
        <f>AND(IF(Metadata!G597="",FALSE,TRUE),exact(Metadata!G597,"air"))</f>
        <v>0</v>
      </c>
      <c r="AA597">
        <f>AND(IF(Metadata!H597="",FALSE,TRUE),exact(Metadata!H597,"air"))</f>
        <v>0</v>
      </c>
      <c r="AB597">
        <f>AND(IF(Metadata!I597="",FALSE,TRUE),exact(Metadata!I597,"air metagenome"))</f>
        <v>0</v>
      </c>
      <c r="AC597">
        <f>AND(IF(Metadata!J597="",FALSE,TRUE),exact(Metadata!J597,"655179"))</f>
        <v>0</v>
      </c>
    </row>
    <row r="598" spans="1:29">
      <c r="A598" s="5">
        <f>IF(B598=" "," ",HYPERLINK(CONCATENATE("#metadata!",ADDRESS(INDEX($P$2:$P$1001,MATCH(ROWS($N$2:N598),$N$2:$N$1001,0),0),1)),INDEX($S$2:$S$1001,MATCH(ROWS($N$2:N598),$N$2:$N$1001,0),0)))</f>
        <v>0</v>
      </c>
      <c r="B598" s="4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4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4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4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4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4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4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4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4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OR(AND(IF(Metadata!C598="",FALSE,TRUE),OR(exact(Metadata!C598,"not applicable"),exact(Metadata!C598,"not collected"),exact(Metadata!C598,"not provided"),exact(Metadata!C598,"restricted access"))),IF(Metadata!C598="",FALSE,ISNUMBER(VALUE(Metadata!C598))))</f>
        <v>0</v>
      </c>
      <c r="W598">
        <f>AND(IF(Metadata!D598="",FALSE,TRUE),exact(Metadata!D598,"m"))</f>
        <v>0</v>
      </c>
      <c r="X598">
        <f>AND(IF(Metadata!E598="",FALSE,TRUE),OR(exact(Metadata!E598,"aerosol (non-saline)"),exact(Metadata!E598,"aerosol (saline)")))</f>
        <v>0</v>
      </c>
      <c r="Y598">
        <f>AND(IF(Metadata!F598="",FALSE,TRUE),exact(Metadata!F598,"air"))</f>
        <v>0</v>
      </c>
      <c r="Z598">
        <f>AND(IF(Metadata!G598="",FALSE,TRUE),exact(Metadata!G598,"air"))</f>
        <v>0</v>
      </c>
      <c r="AA598">
        <f>AND(IF(Metadata!H598="",FALSE,TRUE),exact(Metadata!H598,"air"))</f>
        <v>0</v>
      </c>
      <c r="AB598">
        <f>AND(IF(Metadata!I598="",FALSE,TRUE),exact(Metadata!I598,"air metagenome"))</f>
        <v>0</v>
      </c>
      <c r="AC598">
        <f>AND(IF(Metadata!J598="",FALSE,TRUE),exact(Metadata!J598,"655179"))</f>
        <v>0</v>
      </c>
    </row>
    <row r="599" spans="1:29">
      <c r="A599" s="5">
        <f>IF(B599=" "," ",HYPERLINK(CONCATENATE("#metadata!",ADDRESS(INDEX($P$2:$P$1001,MATCH(ROWS($N$2:N599),$N$2:$N$1001,0),0),1)),INDEX($S$2:$S$1001,MATCH(ROWS($N$2:N599),$N$2:$N$1001,0),0)))</f>
        <v>0</v>
      </c>
      <c r="B599" s="4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4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4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4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4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4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4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4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4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OR(AND(IF(Metadata!C599="",FALSE,TRUE),OR(exact(Metadata!C599,"not applicable"),exact(Metadata!C599,"not collected"),exact(Metadata!C599,"not provided"),exact(Metadata!C599,"restricted access"))),IF(Metadata!C599="",FALSE,ISNUMBER(VALUE(Metadata!C599))))</f>
        <v>0</v>
      </c>
      <c r="W599">
        <f>AND(IF(Metadata!D599="",FALSE,TRUE),exact(Metadata!D599,"m"))</f>
        <v>0</v>
      </c>
      <c r="X599">
        <f>AND(IF(Metadata!E599="",FALSE,TRUE),OR(exact(Metadata!E599,"aerosol (non-saline)"),exact(Metadata!E599,"aerosol (saline)")))</f>
        <v>0</v>
      </c>
      <c r="Y599">
        <f>AND(IF(Metadata!F599="",FALSE,TRUE),exact(Metadata!F599,"air"))</f>
        <v>0</v>
      </c>
      <c r="Z599">
        <f>AND(IF(Metadata!G599="",FALSE,TRUE),exact(Metadata!G599,"air"))</f>
        <v>0</v>
      </c>
      <c r="AA599">
        <f>AND(IF(Metadata!H599="",FALSE,TRUE),exact(Metadata!H599,"air"))</f>
        <v>0</v>
      </c>
      <c r="AB599">
        <f>AND(IF(Metadata!I599="",FALSE,TRUE),exact(Metadata!I599,"air metagenome"))</f>
        <v>0</v>
      </c>
      <c r="AC599">
        <f>AND(IF(Metadata!J599="",FALSE,TRUE),exact(Metadata!J599,"655179"))</f>
        <v>0</v>
      </c>
    </row>
    <row r="600" spans="1:29">
      <c r="A600" s="5">
        <f>IF(B600=" "," ",HYPERLINK(CONCATENATE("#metadata!",ADDRESS(INDEX($P$2:$P$1001,MATCH(ROWS($N$2:N600),$N$2:$N$1001,0),0),1)),INDEX($S$2:$S$1001,MATCH(ROWS($N$2:N600),$N$2:$N$1001,0),0)))</f>
        <v>0</v>
      </c>
      <c r="B600" s="4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4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4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4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4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4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4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4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4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OR(AND(IF(Metadata!C600="",FALSE,TRUE),OR(exact(Metadata!C600,"not applicable"),exact(Metadata!C600,"not collected"),exact(Metadata!C600,"not provided"),exact(Metadata!C600,"restricted access"))),IF(Metadata!C600="",FALSE,ISNUMBER(VALUE(Metadata!C600))))</f>
        <v>0</v>
      </c>
      <c r="W600">
        <f>AND(IF(Metadata!D600="",FALSE,TRUE),exact(Metadata!D600,"m"))</f>
        <v>0</v>
      </c>
      <c r="X600">
        <f>AND(IF(Metadata!E600="",FALSE,TRUE),OR(exact(Metadata!E600,"aerosol (non-saline)"),exact(Metadata!E600,"aerosol (saline)")))</f>
        <v>0</v>
      </c>
      <c r="Y600">
        <f>AND(IF(Metadata!F600="",FALSE,TRUE),exact(Metadata!F600,"air"))</f>
        <v>0</v>
      </c>
      <c r="Z600">
        <f>AND(IF(Metadata!G600="",FALSE,TRUE),exact(Metadata!G600,"air"))</f>
        <v>0</v>
      </c>
      <c r="AA600">
        <f>AND(IF(Metadata!H600="",FALSE,TRUE),exact(Metadata!H600,"air"))</f>
        <v>0</v>
      </c>
      <c r="AB600">
        <f>AND(IF(Metadata!I600="",FALSE,TRUE),exact(Metadata!I600,"air metagenome"))</f>
        <v>0</v>
      </c>
      <c r="AC600">
        <f>AND(IF(Metadata!J600="",FALSE,TRUE),exact(Metadata!J600,"655179"))</f>
        <v>0</v>
      </c>
    </row>
    <row r="601" spans="1:29">
      <c r="A601" s="5">
        <f>IF(B601=" "," ",HYPERLINK(CONCATENATE("#metadata!",ADDRESS(INDEX($P$2:$P$1001,MATCH(ROWS($N$2:N601),$N$2:$N$1001,0),0),1)),INDEX($S$2:$S$1001,MATCH(ROWS($N$2:N601),$N$2:$N$1001,0),0)))</f>
        <v>0</v>
      </c>
      <c r="B601" s="4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4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4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4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4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4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4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4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4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OR(AND(IF(Metadata!C601="",FALSE,TRUE),OR(exact(Metadata!C601,"not applicable"),exact(Metadata!C601,"not collected"),exact(Metadata!C601,"not provided"),exact(Metadata!C601,"restricted access"))),IF(Metadata!C601="",FALSE,ISNUMBER(VALUE(Metadata!C601))))</f>
        <v>0</v>
      </c>
      <c r="W601">
        <f>AND(IF(Metadata!D601="",FALSE,TRUE),exact(Metadata!D601,"m"))</f>
        <v>0</v>
      </c>
      <c r="X601">
        <f>AND(IF(Metadata!E601="",FALSE,TRUE),OR(exact(Metadata!E601,"aerosol (non-saline)"),exact(Metadata!E601,"aerosol (saline)")))</f>
        <v>0</v>
      </c>
      <c r="Y601">
        <f>AND(IF(Metadata!F601="",FALSE,TRUE),exact(Metadata!F601,"air"))</f>
        <v>0</v>
      </c>
      <c r="Z601">
        <f>AND(IF(Metadata!G601="",FALSE,TRUE),exact(Metadata!G601,"air"))</f>
        <v>0</v>
      </c>
      <c r="AA601">
        <f>AND(IF(Metadata!H601="",FALSE,TRUE),exact(Metadata!H601,"air"))</f>
        <v>0</v>
      </c>
      <c r="AB601">
        <f>AND(IF(Metadata!I601="",FALSE,TRUE),exact(Metadata!I601,"air metagenome"))</f>
        <v>0</v>
      </c>
      <c r="AC601">
        <f>AND(IF(Metadata!J601="",FALSE,TRUE),exact(Metadata!J601,"655179"))</f>
        <v>0</v>
      </c>
    </row>
    <row r="602" spans="1:29">
      <c r="A602" s="5">
        <f>IF(B602=" "," ",HYPERLINK(CONCATENATE("#metadata!",ADDRESS(INDEX($P$2:$P$1001,MATCH(ROWS($N$2:N602),$N$2:$N$1001,0),0),1)),INDEX($S$2:$S$1001,MATCH(ROWS($N$2:N602),$N$2:$N$1001,0),0)))</f>
        <v>0</v>
      </c>
      <c r="B602" s="4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4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4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4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4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4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4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4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4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OR(AND(IF(Metadata!C602="",FALSE,TRUE),OR(exact(Metadata!C602,"not applicable"),exact(Metadata!C602,"not collected"),exact(Metadata!C602,"not provided"),exact(Metadata!C602,"restricted access"))),IF(Metadata!C602="",FALSE,ISNUMBER(VALUE(Metadata!C602))))</f>
        <v>0</v>
      </c>
      <c r="W602">
        <f>AND(IF(Metadata!D602="",FALSE,TRUE),exact(Metadata!D602,"m"))</f>
        <v>0</v>
      </c>
      <c r="X602">
        <f>AND(IF(Metadata!E602="",FALSE,TRUE),OR(exact(Metadata!E602,"aerosol (non-saline)"),exact(Metadata!E602,"aerosol (saline)")))</f>
        <v>0</v>
      </c>
      <c r="Y602">
        <f>AND(IF(Metadata!F602="",FALSE,TRUE),exact(Metadata!F602,"air"))</f>
        <v>0</v>
      </c>
      <c r="Z602">
        <f>AND(IF(Metadata!G602="",FALSE,TRUE),exact(Metadata!G602,"air"))</f>
        <v>0</v>
      </c>
      <c r="AA602">
        <f>AND(IF(Metadata!H602="",FALSE,TRUE),exact(Metadata!H602,"air"))</f>
        <v>0</v>
      </c>
      <c r="AB602">
        <f>AND(IF(Metadata!I602="",FALSE,TRUE),exact(Metadata!I602,"air metagenome"))</f>
        <v>0</v>
      </c>
      <c r="AC602">
        <f>AND(IF(Metadata!J602="",FALSE,TRUE),exact(Metadata!J602,"655179"))</f>
        <v>0</v>
      </c>
    </row>
    <row r="603" spans="1:29">
      <c r="A603" s="5">
        <f>IF(B603=" "," ",HYPERLINK(CONCATENATE("#metadata!",ADDRESS(INDEX($P$2:$P$1001,MATCH(ROWS($N$2:N603),$N$2:$N$1001,0),0),1)),INDEX($S$2:$S$1001,MATCH(ROWS($N$2:N603),$N$2:$N$1001,0),0)))</f>
        <v>0</v>
      </c>
      <c r="B603" s="4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4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4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4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4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4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4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4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4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OR(AND(IF(Metadata!C603="",FALSE,TRUE),OR(exact(Metadata!C603,"not applicable"),exact(Metadata!C603,"not collected"),exact(Metadata!C603,"not provided"),exact(Metadata!C603,"restricted access"))),IF(Metadata!C603="",FALSE,ISNUMBER(VALUE(Metadata!C603))))</f>
        <v>0</v>
      </c>
      <c r="W603">
        <f>AND(IF(Metadata!D603="",FALSE,TRUE),exact(Metadata!D603,"m"))</f>
        <v>0</v>
      </c>
      <c r="X603">
        <f>AND(IF(Metadata!E603="",FALSE,TRUE),OR(exact(Metadata!E603,"aerosol (non-saline)"),exact(Metadata!E603,"aerosol (saline)")))</f>
        <v>0</v>
      </c>
      <c r="Y603">
        <f>AND(IF(Metadata!F603="",FALSE,TRUE),exact(Metadata!F603,"air"))</f>
        <v>0</v>
      </c>
      <c r="Z603">
        <f>AND(IF(Metadata!G603="",FALSE,TRUE),exact(Metadata!G603,"air"))</f>
        <v>0</v>
      </c>
      <c r="AA603">
        <f>AND(IF(Metadata!H603="",FALSE,TRUE),exact(Metadata!H603,"air"))</f>
        <v>0</v>
      </c>
      <c r="AB603">
        <f>AND(IF(Metadata!I603="",FALSE,TRUE),exact(Metadata!I603,"air metagenome"))</f>
        <v>0</v>
      </c>
      <c r="AC603">
        <f>AND(IF(Metadata!J603="",FALSE,TRUE),exact(Metadata!J603,"655179"))</f>
        <v>0</v>
      </c>
    </row>
    <row r="604" spans="1:29">
      <c r="A604" s="5">
        <f>IF(B604=" "," ",HYPERLINK(CONCATENATE("#metadata!",ADDRESS(INDEX($P$2:$P$1001,MATCH(ROWS($N$2:N604),$N$2:$N$1001,0),0),1)),INDEX($S$2:$S$1001,MATCH(ROWS($N$2:N604),$N$2:$N$1001,0),0)))</f>
        <v>0</v>
      </c>
      <c r="B604" s="4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4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4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4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4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4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4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4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4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OR(AND(IF(Metadata!C604="",FALSE,TRUE),OR(exact(Metadata!C604,"not applicable"),exact(Metadata!C604,"not collected"),exact(Metadata!C604,"not provided"),exact(Metadata!C604,"restricted access"))),IF(Metadata!C604="",FALSE,ISNUMBER(VALUE(Metadata!C604))))</f>
        <v>0</v>
      </c>
      <c r="W604">
        <f>AND(IF(Metadata!D604="",FALSE,TRUE),exact(Metadata!D604,"m"))</f>
        <v>0</v>
      </c>
      <c r="X604">
        <f>AND(IF(Metadata!E604="",FALSE,TRUE),OR(exact(Metadata!E604,"aerosol (non-saline)"),exact(Metadata!E604,"aerosol (saline)")))</f>
        <v>0</v>
      </c>
      <c r="Y604">
        <f>AND(IF(Metadata!F604="",FALSE,TRUE),exact(Metadata!F604,"air"))</f>
        <v>0</v>
      </c>
      <c r="Z604">
        <f>AND(IF(Metadata!G604="",FALSE,TRUE),exact(Metadata!G604,"air"))</f>
        <v>0</v>
      </c>
      <c r="AA604">
        <f>AND(IF(Metadata!H604="",FALSE,TRUE),exact(Metadata!H604,"air"))</f>
        <v>0</v>
      </c>
      <c r="AB604">
        <f>AND(IF(Metadata!I604="",FALSE,TRUE),exact(Metadata!I604,"air metagenome"))</f>
        <v>0</v>
      </c>
      <c r="AC604">
        <f>AND(IF(Metadata!J604="",FALSE,TRUE),exact(Metadata!J604,"655179"))</f>
        <v>0</v>
      </c>
    </row>
    <row r="605" spans="1:29">
      <c r="A605" s="5">
        <f>IF(B605=" "," ",HYPERLINK(CONCATENATE("#metadata!",ADDRESS(INDEX($P$2:$P$1001,MATCH(ROWS($N$2:N605),$N$2:$N$1001,0),0),1)),INDEX($S$2:$S$1001,MATCH(ROWS($N$2:N605),$N$2:$N$1001,0),0)))</f>
        <v>0</v>
      </c>
      <c r="B605" s="4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4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4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4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4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4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4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4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4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OR(AND(IF(Metadata!C605="",FALSE,TRUE),OR(exact(Metadata!C605,"not applicable"),exact(Metadata!C605,"not collected"),exact(Metadata!C605,"not provided"),exact(Metadata!C605,"restricted access"))),IF(Metadata!C605="",FALSE,ISNUMBER(VALUE(Metadata!C605))))</f>
        <v>0</v>
      </c>
      <c r="W605">
        <f>AND(IF(Metadata!D605="",FALSE,TRUE),exact(Metadata!D605,"m"))</f>
        <v>0</v>
      </c>
      <c r="X605">
        <f>AND(IF(Metadata!E605="",FALSE,TRUE),OR(exact(Metadata!E605,"aerosol (non-saline)"),exact(Metadata!E605,"aerosol (saline)")))</f>
        <v>0</v>
      </c>
      <c r="Y605">
        <f>AND(IF(Metadata!F605="",FALSE,TRUE),exact(Metadata!F605,"air"))</f>
        <v>0</v>
      </c>
      <c r="Z605">
        <f>AND(IF(Metadata!G605="",FALSE,TRUE),exact(Metadata!G605,"air"))</f>
        <v>0</v>
      </c>
      <c r="AA605">
        <f>AND(IF(Metadata!H605="",FALSE,TRUE),exact(Metadata!H605,"air"))</f>
        <v>0</v>
      </c>
      <c r="AB605">
        <f>AND(IF(Metadata!I605="",FALSE,TRUE),exact(Metadata!I605,"air metagenome"))</f>
        <v>0</v>
      </c>
      <c r="AC605">
        <f>AND(IF(Metadata!J605="",FALSE,TRUE),exact(Metadata!J605,"655179"))</f>
        <v>0</v>
      </c>
    </row>
    <row r="606" spans="1:29">
      <c r="A606" s="5">
        <f>IF(B606=" "," ",HYPERLINK(CONCATENATE("#metadata!",ADDRESS(INDEX($P$2:$P$1001,MATCH(ROWS($N$2:N606),$N$2:$N$1001,0),0),1)),INDEX($S$2:$S$1001,MATCH(ROWS($N$2:N606),$N$2:$N$1001,0),0)))</f>
        <v>0</v>
      </c>
      <c r="B606" s="4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4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4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4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4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4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4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4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4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OR(AND(IF(Metadata!C606="",FALSE,TRUE),OR(exact(Metadata!C606,"not applicable"),exact(Metadata!C606,"not collected"),exact(Metadata!C606,"not provided"),exact(Metadata!C606,"restricted access"))),IF(Metadata!C606="",FALSE,ISNUMBER(VALUE(Metadata!C606))))</f>
        <v>0</v>
      </c>
      <c r="W606">
        <f>AND(IF(Metadata!D606="",FALSE,TRUE),exact(Metadata!D606,"m"))</f>
        <v>0</v>
      </c>
      <c r="X606">
        <f>AND(IF(Metadata!E606="",FALSE,TRUE),OR(exact(Metadata!E606,"aerosol (non-saline)"),exact(Metadata!E606,"aerosol (saline)")))</f>
        <v>0</v>
      </c>
      <c r="Y606">
        <f>AND(IF(Metadata!F606="",FALSE,TRUE),exact(Metadata!F606,"air"))</f>
        <v>0</v>
      </c>
      <c r="Z606">
        <f>AND(IF(Metadata!G606="",FALSE,TRUE),exact(Metadata!G606,"air"))</f>
        <v>0</v>
      </c>
      <c r="AA606">
        <f>AND(IF(Metadata!H606="",FALSE,TRUE),exact(Metadata!H606,"air"))</f>
        <v>0</v>
      </c>
      <c r="AB606">
        <f>AND(IF(Metadata!I606="",FALSE,TRUE),exact(Metadata!I606,"air metagenome"))</f>
        <v>0</v>
      </c>
      <c r="AC606">
        <f>AND(IF(Metadata!J606="",FALSE,TRUE),exact(Metadata!J606,"655179"))</f>
        <v>0</v>
      </c>
    </row>
    <row r="607" spans="1:29">
      <c r="A607" s="5">
        <f>IF(B607=" "," ",HYPERLINK(CONCATENATE("#metadata!",ADDRESS(INDEX($P$2:$P$1001,MATCH(ROWS($N$2:N607),$N$2:$N$1001,0),0),1)),INDEX($S$2:$S$1001,MATCH(ROWS($N$2:N607),$N$2:$N$1001,0),0)))</f>
        <v>0</v>
      </c>
      <c r="B607" s="4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4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4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4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4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4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4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4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4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OR(AND(IF(Metadata!C607="",FALSE,TRUE),OR(exact(Metadata!C607,"not applicable"),exact(Metadata!C607,"not collected"),exact(Metadata!C607,"not provided"),exact(Metadata!C607,"restricted access"))),IF(Metadata!C607="",FALSE,ISNUMBER(VALUE(Metadata!C607))))</f>
        <v>0</v>
      </c>
      <c r="W607">
        <f>AND(IF(Metadata!D607="",FALSE,TRUE),exact(Metadata!D607,"m"))</f>
        <v>0</v>
      </c>
      <c r="X607">
        <f>AND(IF(Metadata!E607="",FALSE,TRUE),OR(exact(Metadata!E607,"aerosol (non-saline)"),exact(Metadata!E607,"aerosol (saline)")))</f>
        <v>0</v>
      </c>
      <c r="Y607">
        <f>AND(IF(Metadata!F607="",FALSE,TRUE),exact(Metadata!F607,"air"))</f>
        <v>0</v>
      </c>
      <c r="Z607">
        <f>AND(IF(Metadata!G607="",FALSE,TRUE),exact(Metadata!G607,"air"))</f>
        <v>0</v>
      </c>
      <c r="AA607">
        <f>AND(IF(Metadata!H607="",FALSE,TRUE),exact(Metadata!H607,"air"))</f>
        <v>0</v>
      </c>
      <c r="AB607">
        <f>AND(IF(Metadata!I607="",FALSE,TRUE),exact(Metadata!I607,"air metagenome"))</f>
        <v>0</v>
      </c>
      <c r="AC607">
        <f>AND(IF(Metadata!J607="",FALSE,TRUE),exact(Metadata!J607,"655179"))</f>
        <v>0</v>
      </c>
    </row>
    <row r="608" spans="1:29">
      <c r="A608" s="5">
        <f>IF(B608=" "," ",HYPERLINK(CONCATENATE("#metadata!",ADDRESS(INDEX($P$2:$P$1001,MATCH(ROWS($N$2:N608),$N$2:$N$1001,0),0),1)),INDEX($S$2:$S$1001,MATCH(ROWS($N$2:N608),$N$2:$N$1001,0),0)))</f>
        <v>0</v>
      </c>
      <c r="B608" s="4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4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4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4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4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4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4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4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OR(AND(IF(Metadata!C608="",FALSE,TRUE),OR(exact(Metadata!C608,"not applicable"),exact(Metadata!C608,"not collected"),exact(Metadata!C608,"not provided"),exact(Metadata!C608,"restricted access"))),IF(Metadata!C608="",FALSE,ISNUMBER(VALUE(Metadata!C608))))</f>
        <v>0</v>
      </c>
      <c r="W608">
        <f>AND(IF(Metadata!D608="",FALSE,TRUE),exact(Metadata!D608,"m"))</f>
        <v>0</v>
      </c>
      <c r="X608">
        <f>AND(IF(Metadata!E608="",FALSE,TRUE),OR(exact(Metadata!E608,"aerosol (non-saline)"),exact(Metadata!E608,"aerosol (saline)")))</f>
        <v>0</v>
      </c>
      <c r="Y608">
        <f>AND(IF(Metadata!F608="",FALSE,TRUE),exact(Metadata!F608,"air"))</f>
        <v>0</v>
      </c>
      <c r="Z608">
        <f>AND(IF(Metadata!G608="",FALSE,TRUE),exact(Metadata!G608,"air"))</f>
        <v>0</v>
      </c>
      <c r="AA608">
        <f>AND(IF(Metadata!H608="",FALSE,TRUE),exact(Metadata!H608,"air"))</f>
        <v>0</v>
      </c>
      <c r="AB608">
        <f>AND(IF(Metadata!I608="",FALSE,TRUE),exact(Metadata!I608,"air metagenome"))</f>
        <v>0</v>
      </c>
      <c r="AC608">
        <f>AND(IF(Metadata!J608="",FALSE,TRUE),exact(Metadata!J608,"655179"))</f>
        <v>0</v>
      </c>
    </row>
    <row r="609" spans="1:29">
      <c r="A609" s="5">
        <f>IF(B609=" "," ",HYPERLINK(CONCATENATE("#metadata!",ADDRESS(INDEX($P$2:$P$1001,MATCH(ROWS($N$2:N609),$N$2:$N$1001,0),0),1)),INDEX($S$2:$S$1001,MATCH(ROWS($N$2:N609),$N$2:$N$1001,0),0)))</f>
        <v>0</v>
      </c>
      <c r="B609" s="4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4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4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4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4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4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4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4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4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OR(AND(IF(Metadata!C609="",FALSE,TRUE),OR(exact(Metadata!C609,"not applicable"),exact(Metadata!C609,"not collected"),exact(Metadata!C609,"not provided"),exact(Metadata!C609,"restricted access"))),IF(Metadata!C609="",FALSE,ISNUMBER(VALUE(Metadata!C609))))</f>
        <v>0</v>
      </c>
      <c r="W609">
        <f>AND(IF(Metadata!D609="",FALSE,TRUE),exact(Metadata!D609,"m"))</f>
        <v>0</v>
      </c>
      <c r="X609">
        <f>AND(IF(Metadata!E609="",FALSE,TRUE),OR(exact(Metadata!E609,"aerosol (non-saline)"),exact(Metadata!E609,"aerosol (saline)")))</f>
        <v>0</v>
      </c>
      <c r="Y609">
        <f>AND(IF(Metadata!F609="",FALSE,TRUE),exact(Metadata!F609,"air"))</f>
        <v>0</v>
      </c>
      <c r="Z609">
        <f>AND(IF(Metadata!G609="",FALSE,TRUE),exact(Metadata!G609,"air"))</f>
        <v>0</v>
      </c>
      <c r="AA609">
        <f>AND(IF(Metadata!H609="",FALSE,TRUE),exact(Metadata!H609,"air"))</f>
        <v>0</v>
      </c>
      <c r="AB609">
        <f>AND(IF(Metadata!I609="",FALSE,TRUE),exact(Metadata!I609,"air metagenome"))</f>
        <v>0</v>
      </c>
      <c r="AC609">
        <f>AND(IF(Metadata!J609="",FALSE,TRUE),exact(Metadata!J609,"655179"))</f>
        <v>0</v>
      </c>
    </row>
    <row r="610" spans="1:29">
      <c r="A610" s="5">
        <f>IF(B610=" "," ",HYPERLINK(CONCATENATE("#metadata!",ADDRESS(INDEX($P$2:$P$1001,MATCH(ROWS($N$2:N610),$N$2:$N$1001,0),0),1)),INDEX($S$2:$S$1001,MATCH(ROWS($N$2:N610),$N$2:$N$1001,0),0)))</f>
        <v>0</v>
      </c>
      <c r="B610" s="4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4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4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4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4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4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4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4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4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OR(AND(IF(Metadata!C610="",FALSE,TRUE),OR(exact(Metadata!C610,"not applicable"),exact(Metadata!C610,"not collected"),exact(Metadata!C610,"not provided"),exact(Metadata!C610,"restricted access"))),IF(Metadata!C610="",FALSE,ISNUMBER(VALUE(Metadata!C610))))</f>
        <v>0</v>
      </c>
      <c r="W610">
        <f>AND(IF(Metadata!D610="",FALSE,TRUE),exact(Metadata!D610,"m"))</f>
        <v>0</v>
      </c>
      <c r="X610">
        <f>AND(IF(Metadata!E610="",FALSE,TRUE),OR(exact(Metadata!E610,"aerosol (non-saline)"),exact(Metadata!E610,"aerosol (saline)")))</f>
        <v>0</v>
      </c>
      <c r="Y610">
        <f>AND(IF(Metadata!F610="",FALSE,TRUE),exact(Metadata!F610,"air"))</f>
        <v>0</v>
      </c>
      <c r="Z610">
        <f>AND(IF(Metadata!G610="",FALSE,TRUE),exact(Metadata!G610,"air"))</f>
        <v>0</v>
      </c>
      <c r="AA610">
        <f>AND(IF(Metadata!H610="",FALSE,TRUE),exact(Metadata!H610,"air"))</f>
        <v>0</v>
      </c>
      <c r="AB610">
        <f>AND(IF(Metadata!I610="",FALSE,TRUE),exact(Metadata!I610,"air metagenome"))</f>
        <v>0</v>
      </c>
      <c r="AC610">
        <f>AND(IF(Metadata!J610="",FALSE,TRUE),exact(Metadata!J610,"655179"))</f>
        <v>0</v>
      </c>
    </row>
    <row r="611" spans="1:29">
      <c r="A611" s="5">
        <f>IF(B611=" "," ",HYPERLINK(CONCATENATE("#metadata!",ADDRESS(INDEX($P$2:$P$1001,MATCH(ROWS($N$2:N611),$N$2:$N$1001,0),0),1)),INDEX($S$2:$S$1001,MATCH(ROWS($N$2:N611),$N$2:$N$1001,0),0)))</f>
        <v>0</v>
      </c>
      <c r="B611" s="4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4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4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4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4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4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4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4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4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OR(AND(IF(Metadata!C611="",FALSE,TRUE),OR(exact(Metadata!C611,"not applicable"),exact(Metadata!C611,"not collected"),exact(Metadata!C611,"not provided"),exact(Metadata!C611,"restricted access"))),IF(Metadata!C611="",FALSE,ISNUMBER(VALUE(Metadata!C611))))</f>
        <v>0</v>
      </c>
      <c r="W611">
        <f>AND(IF(Metadata!D611="",FALSE,TRUE),exact(Metadata!D611,"m"))</f>
        <v>0</v>
      </c>
      <c r="X611">
        <f>AND(IF(Metadata!E611="",FALSE,TRUE),OR(exact(Metadata!E611,"aerosol (non-saline)"),exact(Metadata!E611,"aerosol (saline)")))</f>
        <v>0</v>
      </c>
      <c r="Y611">
        <f>AND(IF(Metadata!F611="",FALSE,TRUE),exact(Metadata!F611,"air"))</f>
        <v>0</v>
      </c>
      <c r="Z611">
        <f>AND(IF(Metadata!G611="",FALSE,TRUE),exact(Metadata!G611,"air"))</f>
        <v>0</v>
      </c>
      <c r="AA611">
        <f>AND(IF(Metadata!H611="",FALSE,TRUE),exact(Metadata!H611,"air"))</f>
        <v>0</v>
      </c>
      <c r="AB611">
        <f>AND(IF(Metadata!I611="",FALSE,TRUE),exact(Metadata!I611,"air metagenome"))</f>
        <v>0</v>
      </c>
      <c r="AC611">
        <f>AND(IF(Metadata!J611="",FALSE,TRUE),exact(Metadata!J611,"655179"))</f>
        <v>0</v>
      </c>
    </row>
    <row r="612" spans="1:29">
      <c r="A612" s="5">
        <f>IF(B612=" "," ",HYPERLINK(CONCATENATE("#metadata!",ADDRESS(INDEX($P$2:$P$1001,MATCH(ROWS($N$2:N612),$N$2:$N$1001,0),0),1)),INDEX($S$2:$S$1001,MATCH(ROWS($N$2:N612),$N$2:$N$1001,0),0)))</f>
        <v>0</v>
      </c>
      <c r="B612" s="4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4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4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4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4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4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4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4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4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OR(AND(IF(Metadata!C612="",FALSE,TRUE),OR(exact(Metadata!C612,"not applicable"),exact(Metadata!C612,"not collected"),exact(Metadata!C612,"not provided"),exact(Metadata!C612,"restricted access"))),IF(Metadata!C612="",FALSE,ISNUMBER(VALUE(Metadata!C612))))</f>
        <v>0</v>
      </c>
      <c r="W612">
        <f>AND(IF(Metadata!D612="",FALSE,TRUE),exact(Metadata!D612,"m"))</f>
        <v>0</v>
      </c>
      <c r="X612">
        <f>AND(IF(Metadata!E612="",FALSE,TRUE),OR(exact(Metadata!E612,"aerosol (non-saline)"),exact(Metadata!E612,"aerosol (saline)")))</f>
        <v>0</v>
      </c>
      <c r="Y612">
        <f>AND(IF(Metadata!F612="",FALSE,TRUE),exact(Metadata!F612,"air"))</f>
        <v>0</v>
      </c>
      <c r="Z612">
        <f>AND(IF(Metadata!G612="",FALSE,TRUE),exact(Metadata!G612,"air"))</f>
        <v>0</v>
      </c>
      <c r="AA612">
        <f>AND(IF(Metadata!H612="",FALSE,TRUE),exact(Metadata!H612,"air"))</f>
        <v>0</v>
      </c>
      <c r="AB612">
        <f>AND(IF(Metadata!I612="",FALSE,TRUE),exact(Metadata!I612,"air metagenome"))</f>
        <v>0</v>
      </c>
      <c r="AC612">
        <f>AND(IF(Metadata!J612="",FALSE,TRUE),exact(Metadata!J612,"655179"))</f>
        <v>0</v>
      </c>
    </row>
    <row r="613" spans="1:29">
      <c r="A613" s="5">
        <f>IF(B613=" "," ",HYPERLINK(CONCATENATE("#metadata!",ADDRESS(INDEX($P$2:$P$1001,MATCH(ROWS($N$2:N613),$N$2:$N$1001,0),0),1)),INDEX($S$2:$S$1001,MATCH(ROWS($N$2:N613),$N$2:$N$1001,0),0)))</f>
        <v>0</v>
      </c>
      <c r="B613" s="4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4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4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4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4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4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4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4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4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OR(AND(IF(Metadata!C613="",FALSE,TRUE),OR(exact(Metadata!C613,"not applicable"),exact(Metadata!C613,"not collected"),exact(Metadata!C613,"not provided"),exact(Metadata!C613,"restricted access"))),IF(Metadata!C613="",FALSE,ISNUMBER(VALUE(Metadata!C613))))</f>
        <v>0</v>
      </c>
      <c r="W613">
        <f>AND(IF(Metadata!D613="",FALSE,TRUE),exact(Metadata!D613,"m"))</f>
        <v>0</v>
      </c>
      <c r="X613">
        <f>AND(IF(Metadata!E613="",FALSE,TRUE),OR(exact(Metadata!E613,"aerosol (non-saline)"),exact(Metadata!E613,"aerosol (saline)")))</f>
        <v>0</v>
      </c>
      <c r="Y613">
        <f>AND(IF(Metadata!F613="",FALSE,TRUE),exact(Metadata!F613,"air"))</f>
        <v>0</v>
      </c>
      <c r="Z613">
        <f>AND(IF(Metadata!G613="",FALSE,TRUE),exact(Metadata!G613,"air"))</f>
        <v>0</v>
      </c>
      <c r="AA613">
        <f>AND(IF(Metadata!H613="",FALSE,TRUE),exact(Metadata!H613,"air"))</f>
        <v>0</v>
      </c>
      <c r="AB613">
        <f>AND(IF(Metadata!I613="",FALSE,TRUE),exact(Metadata!I613,"air metagenome"))</f>
        <v>0</v>
      </c>
      <c r="AC613">
        <f>AND(IF(Metadata!J613="",FALSE,TRUE),exact(Metadata!J613,"655179"))</f>
        <v>0</v>
      </c>
    </row>
    <row r="614" spans="1:29">
      <c r="A614" s="5">
        <f>IF(B614=" "," ",HYPERLINK(CONCATENATE("#metadata!",ADDRESS(INDEX($P$2:$P$1001,MATCH(ROWS($N$2:N614),$N$2:$N$1001,0),0),1)),INDEX($S$2:$S$1001,MATCH(ROWS($N$2:N614),$N$2:$N$1001,0),0)))</f>
        <v>0</v>
      </c>
      <c r="B614" s="4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4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4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4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4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4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4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4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4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OR(AND(IF(Metadata!C614="",FALSE,TRUE),OR(exact(Metadata!C614,"not applicable"),exact(Metadata!C614,"not collected"),exact(Metadata!C614,"not provided"),exact(Metadata!C614,"restricted access"))),IF(Metadata!C614="",FALSE,ISNUMBER(VALUE(Metadata!C614))))</f>
        <v>0</v>
      </c>
      <c r="W614">
        <f>AND(IF(Metadata!D614="",FALSE,TRUE),exact(Metadata!D614,"m"))</f>
        <v>0</v>
      </c>
      <c r="X614">
        <f>AND(IF(Metadata!E614="",FALSE,TRUE),OR(exact(Metadata!E614,"aerosol (non-saline)"),exact(Metadata!E614,"aerosol (saline)")))</f>
        <v>0</v>
      </c>
      <c r="Y614">
        <f>AND(IF(Metadata!F614="",FALSE,TRUE),exact(Metadata!F614,"air"))</f>
        <v>0</v>
      </c>
      <c r="Z614">
        <f>AND(IF(Metadata!G614="",FALSE,TRUE),exact(Metadata!G614,"air"))</f>
        <v>0</v>
      </c>
      <c r="AA614">
        <f>AND(IF(Metadata!H614="",FALSE,TRUE),exact(Metadata!H614,"air"))</f>
        <v>0</v>
      </c>
      <c r="AB614">
        <f>AND(IF(Metadata!I614="",FALSE,TRUE),exact(Metadata!I614,"air metagenome"))</f>
        <v>0</v>
      </c>
      <c r="AC614">
        <f>AND(IF(Metadata!J614="",FALSE,TRUE),exact(Metadata!J614,"655179"))</f>
        <v>0</v>
      </c>
    </row>
    <row r="615" spans="1:29">
      <c r="A615" s="5">
        <f>IF(B615=" "," ",HYPERLINK(CONCATENATE("#metadata!",ADDRESS(INDEX($P$2:$P$1001,MATCH(ROWS($N$2:N615),$N$2:$N$1001,0),0),1)),INDEX($S$2:$S$1001,MATCH(ROWS($N$2:N615),$N$2:$N$1001,0),0)))</f>
        <v>0</v>
      </c>
      <c r="B615" s="4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4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4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4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4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4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4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4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4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OR(AND(IF(Metadata!C615="",FALSE,TRUE),OR(exact(Metadata!C615,"not applicable"),exact(Metadata!C615,"not collected"),exact(Metadata!C615,"not provided"),exact(Metadata!C615,"restricted access"))),IF(Metadata!C615="",FALSE,ISNUMBER(VALUE(Metadata!C615))))</f>
        <v>0</v>
      </c>
      <c r="W615">
        <f>AND(IF(Metadata!D615="",FALSE,TRUE),exact(Metadata!D615,"m"))</f>
        <v>0</v>
      </c>
      <c r="X615">
        <f>AND(IF(Metadata!E615="",FALSE,TRUE),OR(exact(Metadata!E615,"aerosol (non-saline)"),exact(Metadata!E615,"aerosol (saline)")))</f>
        <v>0</v>
      </c>
      <c r="Y615">
        <f>AND(IF(Metadata!F615="",FALSE,TRUE),exact(Metadata!F615,"air"))</f>
        <v>0</v>
      </c>
      <c r="Z615">
        <f>AND(IF(Metadata!G615="",FALSE,TRUE),exact(Metadata!G615,"air"))</f>
        <v>0</v>
      </c>
      <c r="AA615">
        <f>AND(IF(Metadata!H615="",FALSE,TRUE),exact(Metadata!H615,"air"))</f>
        <v>0</v>
      </c>
      <c r="AB615">
        <f>AND(IF(Metadata!I615="",FALSE,TRUE),exact(Metadata!I615,"air metagenome"))</f>
        <v>0</v>
      </c>
      <c r="AC615">
        <f>AND(IF(Metadata!J615="",FALSE,TRUE),exact(Metadata!J615,"655179"))</f>
        <v>0</v>
      </c>
    </row>
    <row r="616" spans="1:29">
      <c r="A616" s="5">
        <f>IF(B616=" "," ",HYPERLINK(CONCATENATE("#metadata!",ADDRESS(INDEX($P$2:$P$1001,MATCH(ROWS($N$2:N616),$N$2:$N$1001,0),0),1)),INDEX($S$2:$S$1001,MATCH(ROWS($N$2:N616),$N$2:$N$1001,0),0)))</f>
        <v>0</v>
      </c>
      <c r="B616" s="4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4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4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4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4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4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4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4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4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OR(AND(IF(Metadata!C616="",FALSE,TRUE),OR(exact(Metadata!C616,"not applicable"),exact(Metadata!C616,"not collected"),exact(Metadata!C616,"not provided"),exact(Metadata!C616,"restricted access"))),IF(Metadata!C616="",FALSE,ISNUMBER(VALUE(Metadata!C616))))</f>
        <v>0</v>
      </c>
      <c r="W616">
        <f>AND(IF(Metadata!D616="",FALSE,TRUE),exact(Metadata!D616,"m"))</f>
        <v>0</v>
      </c>
      <c r="X616">
        <f>AND(IF(Metadata!E616="",FALSE,TRUE),OR(exact(Metadata!E616,"aerosol (non-saline)"),exact(Metadata!E616,"aerosol (saline)")))</f>
        <v>0</v>
      </c>
      <c r="Y616">
        <f>AND(IF(Metadata!F616="",FALSE,TRUE),exact(Metadata!F616,"air"))</f>
        <v>0</v>
      </c>
      <c r="Z616">
        <f>AND(IF(Metadata!G616="",FALSE,TRUE),exact(Metadata!G616,"air"))</f>
        <v>0</v>
      </c>
      <c r="AA616">
        <f>AND(IF(Metadata!H616="",FALSE,TRUE),exact(Metadata!H616,"air"))</f>
        <v>0</v>
      </c>
      <c r="AB616">
        <f>AND(IF(Metadata!I616="",FALSE,TRUE),exact(Metadata!I616,"air metagenome"))</f>
        <v>0</v>
      </c>
      <c r="AC616">
        <f>AND(IF(Metadata!J616="",FALSE,TRUE),exact(Metadata!J616,"655179"))</f>
        <v>0</v>
      </c>
    </row>
    <row r="617" spans="1:29">
      <c r="A617" s="5">
        <f>IF(B617=" "," ",HYPERLINK(CONCATENATE("#metadata!",ADDRESS(INDEX($P$2:$P$1001,MATCH(ROWS($N$2:N617),$N$2:$N$1001,0),0),1)),INDEX($S$2:$S$1001,MATCH(ROWS($N$2:N617),$N$2:$N$1001,0),0)))</f>
        <v>0</v>
      </c>
      <c r="B617" s="4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4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4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4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4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4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4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4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4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OR(AND(IF(Metadata!C617="",FALSE,TRUE),OR(exact(Metadata!C617,"not applicable"),exact(Metadata!C617,"not collected"),exact(Metadata!C617,"not provided"),exact(Metadata!C617,"restricted access"))),IF(Metadata!C617="",FALSE,ISNUMBER(VALUE(Metadata!C617))))</f>
        <v>0</v>
      </c>
      <c r="W617">
        <f>AND(IF(Metadata!D617="",FALSE,TRUE),exact(Metadata!D617,"m"))</f>
        <v>0</v>
      </c>
      <c r="X617">
        <f>AND(IF(Metadata!E617="",FALSE,TRUE),OR(exact(Metadata!E617,"aerosol (non-saline)"),exact(Metadata!E617,"aerosol (saline)")))</f>
        <v>0</v>
      </c>
      <c r="Y617">
        <f>AND(IF(Metadata!F617="",FALSE,TRUE),exact(Metadata!F617,"air"))</f>
        <v>0</v>
      </c>
      <c r="Z617">
        <f>AND(IF(Metadata!G617="",FALSE,TRUE),exact(Metadata!G617,"air"))</f>
        <v>0</v>
      </c>
      <c r="AA617">
        <f>AND(IF(Metadata!H617="",FALSE,TRUE),exact(Metadata!H617,"air"))</f>
        <v>0</v>
      </c>
      <c r="AB617">
        <f>AND(IF(Metadata!I617="",FALSE,TRUE),exact(Metadata!I617,"air metagenome"))</f>
        <v>0</v>
      </c>
      <c r="AC617">
        <f>AND(IF(Metadata!J617="",FALSE,TRUE),exact(Metadata!J617,"655179"))</f>
        <v>0</v>
      </c>
    </row>
    <row r="618" spans="1:29">
      <c r="A618" s="5">
        <f>IF(B618=" "," ",HYPERLINK(CONCATENATE("#metadata!",ADDRESS(INDEX($P$2:$P$1001,MATCH(ROWS($N$2:N618),$N$2:$N$1001,0),0),1)),INDEX($S$2:$S$1001,MATCH(ROWS($N$2:N618),$N$2:$N$1001,0),0)))</f>
        <v>0</v>
      </c>
      <c r="B618" s="4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4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4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4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4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4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4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4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4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OR(AND(IF(Metadata!C618="",FALSE,TRUE),OR(exact(Metadata!C618,"not applicable"),exact(Metadata!C618,"not collected"),exact(Metadata!C618,"not provided"),exact(Metadata!C618,"restricted access"))),IF(Metadata!C618="",FALSE,ISNUMBER(VALUE(Metadata!C618))))</f>
        <v>0</v>
      </c>
      <c r="W618">
        <f>AND(IF(Metadata!D618="",FALSE,TRUE),exact(Metadata!D618,"m"))</f>
        <v>0</v>
      </c>
      <c r="X618">
        <f>AND(IF(Metadata!E618="",FALSE,TRUE),OR(exact(Metadata!E618,"aerosol (non-saline)"),exact(Metadata!E618,"aerosol (saline)")))</f>
        <v>0</v>
      </c>
      <c r="Y618">
        <f>AND(IF(Metadata!F618="",FALSE,TRUE),exact(Metadata!F618,"air"))</f>
        <v>0</v>
      </c>
      <c r="Z618">
        <f>AND(IF(Metadata!G618="",FALSE,TRUE),exact(Metadata!G618,"air"))</f>
        <v>0</v>
      </c>
      <c r="AA618">
        <f>AND(IF(Metadata!H618="",FALSE,TRUE),exact(Metadata!H618,"air"))</f>
        <v>0</v>
      </c>
      <c r="AB618">
        <f>AND(IF(Metadata!I618="",FALSE,TRUE),exact(Metadata!I618,"air metagenome"))</f>
        <v>0</v>
      </c>
      <c r="AC618">
        <f>AND(IF(Metadata!J618="",FALSE,TRUE),exact(Metadata!J618,"655179"))</f>
        <v>0</v>
      </c>
    </row>
    <row r="619" spans="1:29">
      <c r="A619" s="5">
        <f>IF(B619=" "," ",HYPERLINK(CONCATENATE("#metadata!",ADDRESS(INDEX($P$2:$P$1001,MATCH(ROWS($N$2:N619),$N$2:$N$1001,0),0),1)),INDEX($S$2:$S$1001,MATCH(ROWS($N$2:N619),$N$2:$N$1001,0),0)))</f>
        <v>0</v>
      </c>
      <c r="B619" s="4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4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4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4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4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4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4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4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4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OR(AND(IF(Metadata!C619="",FALSE,TRUE),OR(exact(Metadata!C619,"not applicable"),exact(Metadata!C619,"not collected"),exact(Metadata!C619,"not provided"),exact(Metadata!C619,"restricted access"))),IF(Metadata!C619="",FALSE,ISNUMBER(VALUE(Metadata!C619))))</f>
        <v>0</v>
      </c>
      <c r="W619">
        <f>AND(IF(Metadata!D619="",FALSE,TRUE),exact(Metadata!D619,"m"))</f>
        <v>0</v>
      </c>
      <c r="X619">
        <f>AND(IF(Metadata!E619="",FALSE,TRUE),OR(exact(Metadata!E619,"aerosol (non-saline)"),exact(Metadata!E619,"aerosol (saline)")))</f>
        <v>0</v>
      </c>
      <c r="Y619">
        <f>AND(IF(Metadata!F619="",FALSE,TRUE),exact(Metadata!F619,"air"))</f>
        <v>0</v>
      </c>
      <c r="Z619">
        <f>AND(IF(Metadata!G619="",FALSE,TRUE),exact(Metadata!G619,"air"))</f>
        <v>0</v>
      </c>
      <c r="AA619">
        <f>AND(IF(Metadata!H619="",FALSE,TRUE),exact(Metadata!H619,"air"))</f>
        <v>0</v>
      </c>
      <c r="AB619">
        <f>AND(IF(Metadata!I619="",FALSE,TRUE),exact(Metadata!I619,"air metagenome"))</f>
        <v>0</v>
      </c>
      <c r="AC619">
        <f>AND(IF(Metadata!J619="",FALSE,TRUE),exact(Metadata!J619,"655179"))</f>
        <v>0</v>
      </c>
    </row>
    <row r="620" spans="1:29">
      <c r="A620" s="5">
        <f>IF(B620=" "," ",HYPERLINK(CONCATENATE("#metadata!",ADDRESS(INDEX($P$2:$P$1001,MATCH(ROWS($N$2:N620),$N$2:$N$1001,0),0),1)),INDEX($S$2:$S$1001,MATCH(ROWS($N$2:N620),$N$2:$N$1001,0),0)))</f>
        <v>0</v>
      </c>
      <c r="B620" s="4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4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4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4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4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4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4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4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4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OR(AND(IF(Metadata!C620="",FALSE,TRUE),OR(exact(Metadata!C620,"not applicable"),exact(Metadata!C620,"not collected"),exact(Metadata!C620,"not provided"),exact(Metadata!C620,"restricted access"))),IF(Metadata!C620="",FALSE,ISNUMBER(VALUE(Metadata!C620))))</f>
        <v>0</v>
      </c>
      <c r="W620">
        <f>AND(IF(Metadata!D620="",FALSE,TRUE),exact(Metadata!D620,"m"))</f>
        <v>0</v>
      </c>
      <c r="X620">
        <f>AND(IF(Metadata!E620="",FALSE,TRUE),OR(exact(Metadata!E620,"aerosol (non-saline)"),exact(Metadata!E620,"aerosol (saline)")))</f>
        <v>0</v>
      </c>
      <c r="Y620">
        <f>AND(IF(Metadata!F620="",FALSE,TRUE),exact(Metadata!F620,"air"))</f>
        <v>0</v>
      </c>
      <c r="Z620">
        <f>AND(IF(Metadata!G620="",FALSE,TRUE),exact(Metadata!G620,"air"))</f>
        <v>0</v>
      </c>
      <c r="AA620">
        <f>AND(IF(Metadata!H620="",FALSE,TRUE),exact(Metadata!H620,"air"))</f>
        <v>0</v>
      </c>
      <c r="AB620">
        <f>AND(IF(Metadata!I620="",FALSE,TRUE),exact(Metadata!I620,"air metagenome"))</f>
        <v>0</v>
      </c>
      <c r="AC620">
        <f>AND(IF(Metadata!J620="",FALSE,TRUE),exact(Metadata!J620,"655179"))</f>
        <v>0</v>
      </c>
    </row>
    <row r="621" spans="1:29">
      <c r="A621" s="5">
        <f>IF(B621=" "," ",HYPERLINK(CONCATENATE("#metadata!",ADDRESS(INDEX($P$2:$P$1001,MATCH(ROWS($N$2:N621),$N$2:$N$1001,0),0),1)),INDEX($S$2:$S$1001,MATCH(ROWS($N$2:N621),$N$2:$N$1001,0),0)))</f>
        <v>0</v>
      </c>
      <c r="B621" s="4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4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4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4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4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4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4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4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4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OR(AND(IF(Metadata!C621="",FALSE,TRUE),OR(exact(Metadata!C621,"not applicable"),exact(Metadata!C621,"not collected"),exact(Metadata!C621,"not provided"),exact(Metadata!C621,"restricted access"))),IF(Metadata!C621="",FALSE,ISNUMBER(VALUE(Metadata!C621))))</f>
        <v>0</v>
      </c>
      <c r="W621">
        <f>AND(IF(Metadata!D621="",FALSE,TRUE),exact(Metadata!D621,"m"))</f>
        <v>0</v>
      </c>
      <c r="X621">
        <f>AND(IF(Metadata!E621="",FALSE,TRUE),OR(exact(Metadata!E621,"aerosol (non-saline)"),exact(Metadata!E621,"aerosol (saline)")))</f>
        <v>0</v>
      </c>
      <c r="Y621">
        <f>AND(IF(Metadata!F621="",FALSE,TRUE),exact(Metadata!F621,"air"))</f>
        <v>0</v>
      </c>
      <c r="Z621">
        <f>AND(IF(Metadata!G621="",FALSE,TRUE),exact(Metadata!G621,"air"))</f>
        <v>0</v>
      </c>
      <c r="AA621">
        <f>AND(IF(Metadata!H621="",FALSE,TRUE),exact(Metadata!H621,"air"))</f>
        <v>0</v>
      </c>
      <c r="AB621">
        <f>AND(IF(Metadata!I621="",FALSE,TRUE),exact(Metadata!I621,"air metagenome"))</f>
        <v>0</v>
      </c>
      <c r="AC621">
        <f>AND(IF(Metadata!J621="",FALSE,TRUE),exact(Metadata!J621,"655179"))</f>
        <v>0</v>
      </c>
    </row>
    <row r="622" spans="1:29">
      <c r="A622" s="5">
        <f>IF(B622=" "," ",HYPERLINK(CONCATENATE("#metadata!",ADDRESS(INDEX($P$2:$P$1001,MATCH(ROWS($N$2:N622),$N$2:$N$1001,0),0),1)),INDEX($S$2:$S$1001,MATCH(ROWS($N$2:N622),$N$2:$N$1001,0),0)))</f>
        <v>0</v>
      </c>
      <c r="B622" s="4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4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4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4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4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4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4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4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4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OR(AND(IF(Metadata!C622="",FALSE,TRUE),OR(exact(Metadata!C622,"not applicable"),exact(Metadata!C622,"not collected"),exact(Metadata!C622,"not provided"),exact(Metadata!C622,"restricted access"))),IF(Metadata!C622="",FALSE,ISNUMBER(VALUE(Metadata!C622))))</f>
        <v>0</v>
      </c>
      <c r="W622">
        <f>AND(IF(Metadata!D622="",FALSE,TRUE),exact(Metadata!D622,"m"))</f>
        <v>0</v>
      </c>
      <c r="X622">
        <f>AND(IF(Metadata!E622="",FALSE,TRUE),OR(exact(Metadata!E622,"aerosol (non-saline)"),exact(Metadata!E622,"aerosol (saline)")))</f>
        <v>0</v>
      </c>
      <c r="Y622">
        <f>AND(IF(Metadata!F622="",FALSE,TRUE),exact(Metadata!F622,"air"))</f>
        <v>0</v>
      </c>
      <c r="Z622">
        <f>AND(IF(Metadata!G622="",FALSE,TRUE),exact(Metadata!G622,"air"))</f>
        <v>0</v>
      </c>
      <c r="AA622">
        <f>AND(IF(Metadata!H622="",FALSE,TRUE),exact(Metadata!H622,"air"))</f>
        <v>0</v>
      </c>
      <c r="AB622">
        <f>AND(IF(Metadata!I622="",FALSE,TRUE),exact(Metadata!I622,"air metagenome"))</f>
        <v>0</v>
      </c>
      <c r="AC622">
        <f>AND(IF(Metadata!J622="",FALSE,TRUE),exact(Metadata!J622,"655179"))</f>
        <v>0</v>
      </c>
    </row>
    <row r="623" spans="1:29">
      <c r="A623" s="5">
        <f>IF(B623=" "," ",HYPERLINK(CONCATENATE("#metadata!",ADDRESS(INDEX($P$2:$P$1001,MATCH(ROWS($N$2:N623),$N$2:$N$1001,0),0),1)),INDEX($S$2:$S$1001,MATCH(ROWS($N$2:N623),$N$2:$N$1001,0),0)))</f>
        <v>0</v>
      </c>
      <c r="B623" s="4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4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4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4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4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4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4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4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4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OR(AND(IF(Metadata!C623="",FALSE,TRUE),OR(exact(Metadata!C623,"not applicable"),exact(Metadata!C623,"not collected"),exact(Metadata!C623,"not provided"),exact(Metadata!C623,"restricted access"))),IF(Metadata!C623="",FALSE,ISNUMBER(VALUE(Metadata!C623))))</f>
        <v>0</v>
      </c>
      <c r="W623">
        <f>AND(IF(Metadata!D623="",FALSE,TRUE),exact(Metadata!D623,"m"))</f>
        <v>0</v>
      </c>
      <c r="X623">
        <f>AND(IF(Metadata!E623="",FALSE,TRUE),OR(exact(Metadata!E623,"aerosol (non-saline)"),exact(Metadata!E623,"aerosol (saline)")))</f>
        <v>0</v>
      </c>
      <c r="Y623">
        <f>AND(IF(Metadata!F623="",FALSE,TRUE),exact(Metadata!F623,"air"))</f>
        <v>0</v>
      </c>
      <c r="Z623">
        <f>AND(IF(Metadata!G623="",FALSE,TRUE),exact(Metadata!G623,"air"))</f>
        <v>0</v>
      </c>
      <c r="AA623">
        <f>AND(IF(Metadata!H623="",FALSE,TRUE),exact(Metadata!H623,"air"))</f>
        <v>0</v>
      </c>
      <c r="AB623">
        <f>AND(IF(Metadata!I623="",FALSE,TRUE),exact(Metadata!I623,"air metagenome"))</f>
        <v>0</v>
      </c>
      <c r="AC623">
        <f>AND(IF(Metadata!J623="",FALSE,TRUE),exact(Metadata!J623,"655179"))</f>
        <v>0</v>
      </c>
    </row>
    <row r="624" spans="1:29">
      <c r="A624" s="5">
        <f>IF(B624=" "," ",HYPERLINK(CONCATENATE("#metadata!",ADDRESS(INDEX($P$2:$P$1001,MATCH(ROWS($N$2:N624),$N$2:$N$1001,0),0),1)),INDEX($S$2:$S$1001,MATCH(ROWS($N$2:N624),$N$2:$N$1001,0),0)))</f>
        <v>0</v>
      </c>
      <c r="B624" s="4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4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4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4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4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4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4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4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4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OR(AND(IF(Metadata!C624="",FALSE,TRUE),OR(exact(Metadata!C624,"not applicable"),exact(Metadata!C624,"not collected"),exact(Metadata!C624,"not provided"),exact(Metadata!C624,"restricted access"))),IF(Metadata!C624="",FALSE,ISNUMBER(VALUE(Metadata!C624))))</f>
        <v>0</v>
      </c>
      <c r="W624">
        <f>AND(IF(Metadata!D624="",FALSE,TRUE),exact(Metadata!D624,"m"))</f>
        <v>0</v>
      </c>
      <c r="X624">
        <f>AND(IF(Metadata!E624="",FALSE,TRUE),OR(exact(Metadata!E624,"aerosol (non-saline)"),exact(Metadata!E624,"aerosol (saline)")))</f>
        <v>0</v>
      </c>
      <c r="Y624">
        <f>AND(IF(Metadata!F624="",FALSE,TRUE),exact(Metadata!F624,"air"))</f>
        <v>0</v>
      </c>
      <c r="Z624">
        <f>AND(IF(Metadata!G624="",FALSE,TRUE),exact(Metadata!G624,"air"))</f>
        <v>0</v>
      </c>
      <c r="AA624">
        <f>AND(IF(Metadata!H624="",FALSE,TRUE),exact(Metadata!H624,"air"))</f>
        <v>0</v>
      </c>
      <c r="AB624">
        <f>AND(IF(Metadata!I624="",FALSE,TRUE),exact(Metadata!I624,"air metagenome"))</f>
        <v>0</v>
      </c>
      <c r="AC624">
        <f>AND(IF(Metadata!J624="",FALSE,TRUE),exact(Metadata!J624,"655179"))</f>
        <v>0</v>
      </c>
    </row>
    <row r="625" spans="1:29">
      <c r="A625" s="5">
        <f>IF(B625=" "," ",HYPERLINK(CONCATENATE("#metadata!",ADDRESS(INDEX($P$2:$P$1001,MATCH(ROWS($N$2:N625),$N$2:$N$1001,0),0),1)),INDEX($S$2:$S$1001,MATCH(ROWS($N$2:N625),$N$2:$N$1001,0),0)))</f>
        <v>0</v>
      </c>
      <c r="B625" s="4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4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4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4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4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4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4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4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4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OR(AND(IF(Metadata!C625="",FALSE,TRUE),OR(exact(Metadata!C625,"not applicable"),exact(Metadata!C625,"not collected"),exact(Metadata!C625,"not provided"),exact(Metadata!C625,"restricted access"))),IF(Metadata!C625="",FALSE,ISNUMBER(VALUE(Metadata!C625))))</f>
        <v>0</v>
      </c>
      <c r="W625">
        <f>AND(IF(Metadata!D625="",FALSE,TRUE),exact(Metadata!D625,"m"))</f>
        <v>0</v>
      </c>
      <c r="X625">
        <f>AND(IF(Metadata!E625="",FALSE,TRUE),OR(exact(Metadata!E625,"aerosol (non-saline)"),exact(Metadata!E625,"aerosol (saline)")))</f>
        <v>0</v>
      </c>
      <c r="Y625">
        <f>AND(IF(Metadata!F625="",FALSE,TRUE),exact(Metadata!F625,"air"))</f>
        <v>0</v>
      </c>
      <c r="Z625">
        <f>AND(IF(Metadata!G625="",FALSE,TRUE),exact(Metadata!G625,"air"))</f>
        <v>0</v>
      </c>
      <c r="AA625">
        <f>AND(IF(Metadata!H625="",FALSE,TRUE),exact(Metadata!H625,"air"))</f>
        <v>0</v>
      </c>
      <c r="AB625">
        <f>AND(IF(Metadata!I625="",FALSE,TRUE),exact(Metadata!I625,"air metagenome"))</f>
        <v>0</v>
      </c>
      <c r="AC625">
        <f>AND(IF(Metadata!J625="",FALSE,TRUE),exact(Metadata!J625,"655179"))</f>
        <v>0</v>
      </c>
    </row>
    <row r="626" spans="1:29">
      <c r="A626" s="5">
        <f>IF(B626=" "," ",HYPERLINK(CONCATENATE("#metadata!",ADDRESS(INDEX($P$2:$P$1001,MATCH(ROWS($N$2:N626),$N$2:$N$1001,0),0),1)),INDEX($S$2:$S$1001,MATCH(ROWS($N$2:N626),$N$2:$N$1001,0),0)))</f>
        <v>0</v>
      </c>
      <c r="B626" s="4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4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4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4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4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4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4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4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4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OR(AND(IF(Metadata!C626="",FALSE,TRUE),OR(exact(Metadata!C626,"not applicable"),exact(Metadata!C626,"not collected"),exact(Metadata!C626,"not provided"),exact(Metadata!C626,"restricted access"))),IF(Metadata!C626="",FALSE,ISNUMBER(VALUE(Metadata!C626))))</f>
        <v>0</v>
      </c>
      <c r="W626">
        <f>AND(IF(Metadata!D626="",FALSE,TRUE),exact(Metadata!D626,"m"))</f>
        <v>0</v>
      </c>
      <c r="X626">
        <f>AND(IF(Metadata!E626="",FALSE,TRUE),OR(exact(Metadata!E626,"aerosol (non-saline)"),exact(Metadata!E626,"aerosol (saline)")))</f>
        <v>0</v>
      </c>
      <c r="Y626">
        <f>AND(IF(Metadata!F626="",FALSE,TRUE),exact(Metadata!F626,"air"))</f>
        <v>0</v>
      </c>
      <c r="Z626">
        <f>AND(IF(Metadata!G626="",FALSE,TRUE),exact(Metadata!G626,"air"))</f>
        <v>0</v>
      </c>
      <c r="AA626">
        <f>AND(IF(Metadata!H626="",FALSE,TRUE),exact(Metadata!H626,"air"))</f>
        <v>0</v>
      </c>
      <c r="AB626">
        <f>AND(IF(Metadata!I626="",FALSE,TRUE),exact(Metadata!I626,"air metagenome"))</f>
        <v>0</v>
      </c>
      <c r="AC626">
        <f>AND(IF(Metadata!J626="",FALSE,TRUE),exact(Metadata!J626,"655179"))</f>
        <v>0</v>
      </c>
    </row>
    <row r="627" spans="1:29">
      <c r="A627" s="5">
        <f>IF(B627=" "," ",HYPERLINK(CONCATENATE("#metadata!",ADDRESS(INDEX($P$2:$P$1001,MATCH(ROWS($N$2:N627),$N$2:$N$1001,0),0),1)),INDEX($S$2:$S$1001,MATCH(ROWS($N$2:N627),$N$2:$N$1001,0),0)))</f>
        <v>0</v>
      </c>
      <c r="B627" s="4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4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4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4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4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4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4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4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4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OR(AND(IF(Metadata!C627="",FALSE,TRUE),OR(exact(Metadata!C627,"not applicable"),exact(Metadata!C627,"not collected"),exact(Metadata!C627,"not provided"),exact(Metadata!C627,"restricted access"))),IF(Metadata!C627="",FALSE,ISNUMBER(VALUE(Metadata!C627))))</f>
        <v>0</v>
      </c>
      <c r="W627">
        <f>AND(IF(Metadata!D627="",FALSE,TRUE),exact(Metadata!D627,"m"))</f>
        <v>0</v>
      </c>
      <c r="X627">
        <f>AND(IF(Metadata!E627="",FALSE,TRUE),OR(exact(Metadata!E627,"aerosol (non-saline)"),exact(Metadata!E627,"aerosol (saline)")))</f>
        <v>0</v>
      </c>
      <c r="Y627">
        <f>AND(IF(Metadata!F627="",FALSE,TRUE),exact(Metadata!F627,"air"))</f>
        <v>0</v>
      </c>
      <c r="Z627">
        <f>AND(IF(Metadata!G627="",FALSE,TRUE),exact(Metadata!G627,"air"))</f>
        <v>0</v>
      </c>
      <c r="AA627">
        <f>AND(IF(Metadata!H627="",FALSE,TRUE),exact(Metadata!H627,"air"))</f>
        <v>0</v>
      </c>
      <c r="AB627">
        <f>AND(IF(Metadata!I627="",FALSE,TRUE),exact(Metadata!I627,"air metagenome"))</f>
        <v>0</v>
      </c>
      <c r="AC627">
        <f>AND(IF(Metadata!J627="",FALSE,TRUE),exact(Metadata!J627,"655179"))</f>
        <v>0</v>
      </c>
    </row>
    <row r="628" spans="1:29">
      <c r="A628" s="5">
        <f>IF(B628=" "," ",HYPERLINK(CONCATENATE("#metadata!",ADDRESS(INDEX($P$2:$P$1001,MATCH(ROWS($N$2:N628),$N$2:$N$1001,0),0),1)),INDEX($S$2:$S$1001,MATCH(ROWS($N$2:N628),$N$2:$N$1001,0),0)))</f>
        <v>0</v>
      </c>
      <c r="B628" s="4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4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4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4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4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4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4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4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4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OR(AND(IF(Metadata!C628="",FALSE,TRUE),OR(exact(Metadata!C628,"not applicable"),exact(Metadata!C628,"not collected"),exact(Metadata!C628,"not provided"),exact(Metadata!C628,"restricted access"))),IF(Metadata!C628="",FALSE,ISNUMBER(VALUE(Metadata!C628))))</f>
        <v>0</v>
      </c>
      <c r="W628">
        <f>AND(IF(Metadata!D628="",FALSE,TRUE),exact(Metadata!D628,"m"))</f>
        <v>0</v>
      </c>
      <c r="X628">
        <f>AND(IF(Metadata!E628="",FALSE,TRUE),OR(exact(Metadata!E628,"aerosol (non-saline)"),exact(Metadata!E628,"aerosol (saline)")))</f>
        <v>0</v>
      </c>
      <c r="Y628">
        <f>AND(IF(Metadata!F628="",FALSE,TRUE),exact(Metadata!F628,"air"))</f>
        <v>0</v>
      </c>
      <c r="Z628">
        <f>AND(IF(Metadata!G628="",FALSE,TRUE),exact(Metadata!G628,"air"))</f>
        <v>0</v>
      </c>
      <c r="AA628">
        <f>AND(IF(Metadata!H628="",FALSE,TRUE),exact(Metadata!H628,"air"))</f>
        <v>0</v>
      </c>
      <c r="AB628">
        <f>AND(IF(Metadata!I628="",FALSE,TRUE),exact(Metadata!I628,"air metagenome"))</f>
        <v>0</v>
      </c>
      <c r="AC628">
        <f>AND(IF(Metadata!J628="",FALSE,TRUE),exact(Metadata!J628,"655179"))</f>
        <v>0</v>
      </c>
    </row>
    <row r="629" spans="1:29">
      <c r="A629" s="5">
        <f>IF(B629=" "," ",HYPERLINK(CONCATENATE("#metadata!",ADDRESS(INDEX($P$2:$P$1001,MATCH(ROWS($N$2:N629),$N$2:$N$1001,0),0),1)),INDEX($S$2:$S$1001,MATCH(ROWS($N$2:N629),$N$2:$N$1001,0),0)))</f>
        <v>0</v>
      </c>
      <c r="B629" s="4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4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4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4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4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4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4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4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4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OR(AND(IF(Metadata!C629="",FALSE,TRUE),OR(exact(Metadata!C629,"not applicable"),exact(Metadata!C629,"not collected"),exact(Metadata!C629,"not provided"),exact(Metadata!C629,"restricted access"))),IF(Metadata!C629="",FALSE,ISNUMBER(VALUE(Metadata!C629))))</f>
        <v>0</v>
      </c>
      <c r="W629">
        <f>AND(IF(Metadata!D629="",FALSE,TRUE),exact(Metadata!D629,"m"))</f>
        <v>0</v>
      </c>
      <c r="X629">
        <f>AND(IF(Metadata!E629="",FALSE,TRUE),OR(exact(Metadata!E629,"aerosol (non-saline)"),exact(Metadata!E629,"aerosol (saline)")))</f>
        <v>0</v>
      </c>
      <c r="Y629">
        <f>AND(IF(Metadata!F629="",FALSE,TRUE),exact(Metadata!F629,"air"))</f>
        <v>0</v>
      </c>
      <c r="Z629">
        <f>AND(IF(Metadata!G629="",FALSE,TRUE),exact(Metadata!G629,"air"))</f>
        <v>0</v>
      </c>
      <c r="AA629">
        <f>AND(IF(Metadata!H629="",FALSE,TRUE),exact(Metadata!H629,"air"))</f>
        <v>0</v>
      </c>
      <c r="AB629">
        <f>AND(IF(Metadata!I629="",FALSE,TRUE),exact(Metadata!I629,"air metagenome"))</f>
        <v>0</v>
      </c>
      <c r="AC629">
        <f>AND(IF(Metadata!J629="",FALSE,TRUE),exact(Metadata!J629,"655179"))</f>
        <v>0</v>
      </c>
    </row>
    <row r="630" spans="1:29">
      <c r="A630" s="5">
        <f>IF(B630=" "," ",HYPERLINK(CONCATENATE("#metadata!",ADDRESS(INDEX($P$2:$P$1001,MATCH(ROWS($N$2:N630),$N$2:$N$1001,0),0),1)),INDEX($S$2:$S$1001,MATCH(ROWS($N$2:N630),$N$2:$N$1001,0),0)))</f>
        <v>0</v>
      </c>
      <c r="B630" s="4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4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4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4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4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4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4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4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4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OR(AND(IF(Metadata!C630="",FALSE,TRUE),OR(exact(Metadata!C630,"not applicable"),exact(Metadata!C630,"not collected"),exact(Metadata!C630,"not provided"),exact(Metadata!C630,"restricted access"))),IF(Metadata!C630="",FALSE,ISNUMBER(VALUE(Metadata!C630))))</f>
        <v>0</v>
      </c>
      <c r="W630">
        <f>AND(IF(Metadata!D630="",FALSE,TRUE),exact(Metadata!D630,"m"))</f>
        <v>0</v>
      </c>
      <c r="X630">
        <f>AND(IF(Metadata!E630="",FALSE,TRUE),OR(exact(Metadata!E630,"aerosol (non-saline)"),exact(Metadata!E630,"aerosol (saline)")))</f>
        <v>0</v>
      </c>
      <c r="Y630">
        <f>AND(IF(Metadata!F630="",FALSE,TRUE),exact(Metadata!F630,"air"))</f>
        <v>0</v>
      </c>
      <c r="Z630">
        <f>AND(IF(Metadata!G630="",FALSE,TRUE),exact(Metadata!G630,"air"))</f>
        <v>0</v>
      </c>
      <c r="AA630">
        <f>AND(IF(Metadata!H630="",FALSE,TRUE),exact(Metadata!H630,"air"))</f>
        <v>0</v>
      </c>
      <c r="AB630">
        <f>AND(IF(Metadata!I630="",FALSE,TRUE),exact(Metadata!I630,"air metagenome"))</f>
        <v>0</v>
      </c>
      <c r="AC630">
        <f>AND(IF(Metadata!J630="",FALSE,TRUE),exact(Metadata!J630,"655179"))</f>
        <v>0</v>
      </c>
    </row>
    <row r="631" spans="1:29">
      <c r="A631" s="5">
        <f>IF(B631=" "," ",HYPERLINK(CONCATENATE("#metadata!",ADDRESS(INDEX($P$2:$P$1001,MATCH(ROWS($N$2:N631),$N$2:$N$1001,0),0),1)),INDEX($S$2:$S$1001,MATCH(ROWS($N$2:N631),$N$2:$N$1001,0),0)))</f>
        <v>0</v>
      </c>
      <c r="B631" s="4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4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4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4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4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4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4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4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4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OR(AND(IF(Metadata!C631="",FALSE,TRUE),OR(exact(Metadata!C631,"not applicable"),exact(Metadata!C631,"not collected"),exact(Metadata!C631,"not provided"),exact(Metadata!C631,"restricted access"))),IF(Metadata!C631="",FALSE,ISNUMBER(VALUE(Metadata!C631))))</f>
        <v>0</v>
      </c>
      <c r="W631">
        <f>AND(IF(Metadata!D631="",FALSE,TRUE),exact(Metadata!D631,"m"))</f>
        <v>0</v>
      </c>
      <c r="X631">
        <f>AND(IF(Metadata!E631="",FALSE,TRUE),OR(exact(Metadata!E631,"aerosol (non-saline)"),exact(Metadata!E631,"aerosol (saline)")))</f>
        <v>0</v>
      </c>
      <c r="Y631">
        <f>AND(IF(Metadata!F631="",FALSE,TRUE),exact(Metadata!F631,"air"))</f>
        <v>0</v>
      </c>
      <c r="Z631">
        <f>AND(IF(Metadata!G631="",FALSE,TRUE),exact(Metadata!G631,"air"))</f>
        <v>0</v>
      </c>
      <c r="AA631">
        <f>AND(IF(Metadata!H631="",FALSE,TRUE),exact(Metadata!H631,"air"))</f>
        <v>0</v>
      </c>
      <c r="AB631">
        <f>AND(IF(Metadata!I631="",FALSE,TRUE),exact(Metadata!I631,"air metagenome"))</f>
        <v>0</v>
      </c>
      <c r="AC631">
        <f>AND(IF(Metadata!J631="",FALSE,TRUE),exact(Metadata!J631,"655179"))</f>
        <v>0</v>
      </c>
    </row>
    <row r="632" spans="1:29">
      <c r="A632" s="5">
        <f>IF(B632=" "," ",HYPERLINK(CONCATENATE("#metadata!",ADDRESS(INDEX($P$2:$P$1001,MATCH(ROWS($N$2:N632),$N$2:$N$1001,0),0),1)),INDEX($S$2:$S$1001,MATCH(ROWS($N$2:N632),$N$2:$N$1001,0),0)))</f>
        <v>0</v>
      </c>
      <c r="B632" s="4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4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4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4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4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4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4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4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4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OR(AND(IF(Metadata!C632="",FALSE,TRUE),OR(exact(Metadata!C632,"not applicable"),exact(Metadata!C632,"not collected"),exact(Metadata!C632,"not provided"),exact(Metadata!C632,"restricted access"))),IF(Metadata!C632="",FALSE,ISNUMBER(VALUE(Metadata!C632))))</f>
        <v>0</v>
      </c>
      <c r="W632">
        <f>AND(IF(Metadata!D632="",FALSE,TRUE),exact(Metadata!D632,"m"))</f>
        <v>0</v>
      </c>
      <c r="X632">
        <f>AND(IF(Metadata!E632="",FALSE,TRUE),OR(exact(Metadata!E632,"aerosol (non-saline)"),exact(Metadata!E632,"aerosol (saline)")))</f>
        <v>0</v>
      </c>
      <c r="Y632">
        <f>AND(IF(Metadata!F632="",FALSE,TRUE),exact(Metadata!F632,"air"))</f>
        <v>0</v>
      </c>
      <c r="Z632">
        <f>AND(IF(Metadata!G632="",FALSE,TRUE),exact(Metadata!G632,"air"))</f>
        <v>0</v>
      </c>
      <c r="AA632">
        <f>AND(IF(Metadata!H632="",FALSE,TRUE),exact(Metadata!H632,"air"))</f>
        <v>0</v>
      </c>
      <c r="AB632">
        <f>AND(IF(Metadata!I632="",FALSE,TRUE),exact(Metadata!I632,"air metagenome"))</f>
        <v>0</v>
      </c>
      <c r="AC632">
        <f>AND(IF(Metadata!J632="",FALSE,TRUE),exact(Metadata!J632,"655179"))</f>
        <v>0</v>
      </c>
    </row>
    <row r="633" spans="1:29">
      <c r="A633" s="5">
        <f>IF(B633=" "," ",HYPERLINK(CONCATENATE("#metadata!",ADDRESS(INDEX($P$2:$P$1001,MATCH(ROWS($N$2:N633),$N$2:$N$1001,0),0),1)),INDEX($S$2:$S$1001,MATCH(ROWS($N$2:N633),$N$2:$N$1001,0),0)))</f>
        <v>0</v>
      </c>
      <c r="B633" s="4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4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4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4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4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4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4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4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4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OR(AND(IF(Metadata!C633="",FALSE,TRUE),OR(exact(Metadata!C633,"not applicable"),exact(Metadata!C633,"not collected"),exact(Metadata!C633,"not provided"),exact(Metadata!C633,"restricted access"))),IF(Metadata!C633="",FALSE,ISNUMBER(VALUE(Metadata!C633))))</f>
        <v>0</v>
      </c>
      <c r="W633">
        <f>AND(IF(Metadata!D633="",FALSE,TRUE),exact(Metadata!D633,"m"))</f>
        <v>0</v>
      </c>
      <c r="X633">
        <f>AND(IF(Metadata!E633="",FALSE,TRUE),OR(exact(Metadata!E633,"aerosol (non-saline)"),exact(Metadata!E633,"aerosol (saline)")))</f>
        <v>0</v>
      </c>
      <c r="Y633">
        <f>AND(IF(Metadata!F633="",FALSE,TRUE),exact(Metadata!F633,"air"))</f>
        <v>0</v>
      </c>
      <c r="Z633">
        <f>AND(IF(Metadata!G633="",FALSE,TRUE),exact(Metadata!G633,"air"))</f>
        <v>0</v>
      </c>
      <c r="AA633">
        <f>AND(IF(Metadata!H633="",FALSE,TRUE),exact(Metadata!H633,"air"))</f>
        <v>0</v>
      </c>
      <c r="AB633">
        <f>AND(IF(Metadata!I633="",FALSE,TRUE),exact(Metadata!I633,"air metagenome"))</f>
        <v>0</v>
      </c>
      <c r="AC633">
        <f>AND(IF(Metadata!J633="",FALSE,TRUE),exact(Metadata!J633,"655179"))</f>
        <v>0</v>
      </c>
    </row>
    <row r="634" spans="1:29">
      <c r="A634" s="5">
        <f>IF(B634=" "," ",HYPERLINK(CONCATENATE("#metadata!",ADDRESS(INDEX($P$2:$P$1001,MATCH(ROWS($N$2:N634),$N$2:$N$1001,0),0),1)),INDEX($S$2:$S$1001,MATCH(ROWS($N$2:N634),$N$2:$N$1001,0),0)))</f>
        <v>0</v>
      </c>
      <c r="B634" s="4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4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4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4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4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4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4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4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4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OR(AND(IF(Metadata!C634="",FALSE,TRUE),OR(exact(Metadata!C634,"not applicable"),exact(Metadata!C634,"not collected"),exact(Metadata!C634,"not provided"),exact(Metadata!C634,"restricted access"))),IF(Metadata!C634="",FALSE,ISNUMBER(VALUE(Metadata!C634))))</f>
        <v>0</v>
      </c>
      <c r="W634">
        <f>AND(IF(Metadata!D634="",FALSE,TRUE),exact(Metadata!D634,"m"))</f>
        <v>0</v>
      </c>
      <c r="X634">
        <f>AND(IF(Metadata!E634="",FALSE,TRUE),OR(exact(Metadata!E634,"aerosol (non-saline)"),exact(Metadata!E634,"aerosol (saline)")))</f>
        <v>0</v>
      </c>
      <c r="Y634">
        <f>AND(IF(Metadata!F634="",FALSE,TRUE),exact(Metadata!F634,"air"))</f>
        <v>0</v>
      </c>
      <c r="Z634">
        <f>AND(IF(Metadata!G634="",FALSE,TRUE),exact(Metadata!G634,"air"))</f>
        <v>0</v>
      </c>
      <c r="AA634">
        <f>AND(IF(Metadata!H634="",FALSE,TRUE),exact(Metadata!H634,"air"))</f>
        <v>0</v>
      </c>
      <c r="AB634">
        <f>AND(IF(Metadata!I634="",FALSE,TRUE),exact(Metadata!I634,"air metagenome"))</f>
        <v>0</v>
      </c>
      <c r="AC634">
        <f>AND(IF(Metadata!J634="",FALSE,TRUE),exact(Metadata!J634,"655179"))</f>
        <v>0</v>
      </c>
    </row>
    <row r="635" spans="1:29">
      <c r="A635" s="5">
        <f>IF(B635=" "," ",HYPERLINK(CONCATENATE("#metadata!",ADDRESS(INDEX($P$2:$P$1001,MATCH(ROWS($N$2:N635),$N$2:$N$1001,0),0),1)),INDEX($S$2:$S$1001,MATCH(ROWS($N$2:N635),$N$2:$N$1001,0),0)))</f>
        <v>0</v>
      </c>
      <c r="B635" s="4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4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4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4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4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4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4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4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4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OR(AND(IF(Metadata!C635="",FALSE,TRUE),OR(exact(Metadata!C635,"not applicable"),exact(Metadata!C635,"not collected"),exact(Metadata!C635,"not provided"),exact(Metadata!C635,"restricted access"))),IF(Metadata!C635="",FALSE,ISNUMBER(VALUE(Metadata!C635))))</f>
        <v>0</v>
      </c>
      <c r="W635">
        <f>AND(IF(Metadata!D635="",FALSE,TRUE),exact(Metadata!D635,"m"))</f>
        <v>0</v>
      </c>
      <c r="X635">
        <f>AND(IF(Metadata!E635="",FALSE,TRUE),OR(exact(Metadata!E635,"aerosol (non-saline)"),exact(Metadata!E635,"aerosol (saline)")))</f>
        <v>0</v>
      </c>
      <c r="Y635">
        <f>AND(IF(Metadata!F635="",FALSE,TRUE),exact(Metadata!F635,"air"))</f>
        <v>0</v>
      </c>
      <c r="Z635">
        <f>AND(IF(Metadata!G635="",FALSE,TRUE),exact(Metadata!G635,"air"))</f>
        <v>0</v>
      </c>
      <c r="AA635">
        <f>AND(IF(Metadata!H635="",FALSE,TRUE),exact(Metadata!H635,"air"))</f>
        <v>0</v>
      </c>
      <c r="AB635">
        <f>AND(IF(Metadata!I635="",FALSE,TRUE),exact(Metadata!I635,"air metagenome"))</f>
        <v>0</v>
      </c>
      <c r="AC635">
        <f>AND(IF(Metadata!J635="",FALSE,TRUE),exact(Metadata!J635,"655179"))</f>
        <v>0</v>
      </c>
    </row>
    <row r="636" spans="1:29">
      <c r="A636" s="5">
        <f>IF(B636=" "," ",HYPERLINK(CONCATENATE("#metadata!",ADDRESS(INDEX($P$2:$P$1001,MATCH(ROWS($N$2:N636),$N$2:$N$1001,0),0),1)),INDEX($S$2:$S$1001,MATCH(ROWS($N$2:N636),$N$2:$N$1001,0),0)))</f>
        <v>0</v>
      </c>
      <c r="B636" s="4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4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4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4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4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4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4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4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4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OR(AND(IF(Metadata!C636="",FALSE,TRUE),OR(exact(Metadata!C636,"not applicable"),exact(Metadata!C636,"not collected"),exact(Metadata!C636,"not provided"),exact(Metadata!C636,"restricted access"))),IF(Metadata!C636="",FALSE,ISNUMBER(VALUE(Metadata!C636))))</f>
        <v>0</v>
      </c>
      <c r="W636">
        <f>AND(IF(Metadata!D636="",FALSE,TRUE),exact(Metadata!D636,"m"))</f>
        <v>0</v>
      </c>
      <c r="X636">
        <f>AND(IF(Metadata!E636="",FALSE,TRUE),OR(exact(Metadata!E636,"aerosol (non-saline)"),exact(Metadata!E636,"aerosol (saline)")))</f>
        <v>0</v>
      </c>
      <c r="Y636">
        <f>AND(IF(Metadata!F636="",FALSE,TRUE),exact(Metadata!F636,"air"))</f>
        <v>0</v>
      </c>
      <c r="Z636">
        <f>AND(IF(Metadata!G636="",FALSE,TRUE),exact(Metadata!G636,"air"))</f>
        <v>0</v>
      </c>
      <c r="AA636">
        <f>AND(IF(Metadata!H636="",FALSE,TRUE),exact(Metadata!H636,"air"))</f>
        <v>0</v>
      </c>
      <c r="AB636">
        <f>AND(IF(Metadata!I636="",FALSE,TRUE),exact(Metadata!I636,"air metagenome"))</f>
        <v>0</v>
      </c>
      <c r="AC636">
        <f>AND(IF(Metadata!J636="",FALSE,TRUE),exact(Metadata!J636,"655179"))</f>
        <v>0</v>
      </c>
    </row>
    <row r="637" spans="1:29">
      <c r="A637" s="5">
        <f>IF(B637=" "," ",HYPERLINK(CONCATENATE("#metadata!",ADDRESS(INDEX($P$2:$P$1001,MATCH(ROWS($N$2:N637),$N$2:$N$1001,0),0),1)),INDEX($S$2:$S$1001,MATCH(ROWS($N$2:N637),$N$2:$N$1001,0),0)))</f>
        <v>0</v>
      </c>
      <c r="B637" s="4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4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4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4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4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4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4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4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4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OR(AND(IF(Metadata!C637="",FALSE,TRUE),OR(exact(Metadata!C637,"not applicable"),exact(Metadata!C637,"not collected"),exact(Metadata!C637,"not provided"),exact(Metadata!C637,"restricted access"))),IF(Metadata!C637="",FALSE,ISNUMBER(VALUE(Metadata!C637))))</f>
        <v>0</v>
      </c>
      <c r="W637">
        <f>AND(IF(Metadata!D637="",FALSE,TRUE),exact(Metadata!D637,"m"))</f>
        <v>0</v>
      </c>
      <c r="X637">
        <f>AND(IF(Metadata!E637="",FALSE,TRUE),OR(exact(Metadata!E637,"aerosol (non-saline)"),exact(Metadata!E637,"aerosol (saline)")))</f>
        <v>0</v>
      </c>
      <c r="Y637">
        <f>AND(IF(Metadata!F637="",FALSE,TRUE),exact(Metadata!F637,"air"))</f>
        <v>0</v>
      </c>
      <c r="Z637">
        <f>AND(IF(Metadata!G637="",FALSE,TRUE),exact(Metadata!G637,"air"))</f>
        <v>0</v>
      </c>
      <c r="AA637">
        <f>AND(IF(Metadata!H637="",FALSE,TRUE),exact(Metadata!H637,"air"))</f>
        <v>0</v>
      </c>
      <c r="AB637">
        <f>AND(IF(Metadata!I637="",FALSE,TRUE),exact(Metadata!I637,"air metagenome"))</f>
        <v>0</v>
      </c>
      <c r="AC637">
        <f>AND(IF(Metadata!J637="",FALSE,TRUE),exact(Metadata!J637,"655179"))</f>
        <v>0</v>
      </c>
    </row>
    <row r="638" spans="1:29">
      <c r="A638" s="5">
        <f>IF(B638=" "," ",HYPERLINK(CONCATENATE("#metadata!",ADDRESS(INDEX($P$2:$P$1001,MATCH(ROWS($N$2:N638),$N$2:$N$1001,0),0),1)),INDEX($S$2:$S$1001,MATCH(ROWS($N$2:N638),$N$2:$N$1001,0),0)))</f>
        <v>0</v>
      </c>
      <c r="B638" s="4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4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4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4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4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4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4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4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4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OR(AND(IF(Metadata!C638="",FALSE,TRUE),OR(exact(Metadata!C638,"not applicable"),exact(Metadata!C638,"not collected"),exact(Metadata!C638,"not provided"),exact(Metadata!C638,"restricted access"))),IF(Metadata!C638="",FALSE,ISNUMBER(VALUE(Metadata!C638))))</f>
        <v>0</v>
      </c>
      <c r="W638">
        <f>AND(IF(Metadata!D638="",FALSE,TRUE),exact(Metadata!D638,"m"))</f>
        <v>0</v>
      </c>
      <c r="X638">
        <f>AND(IF(Metadata!E638="",FALSE,TRUE),OR(exact(Metadata!E638,"aerosol (non-saline)"),exact(Metadata!E638,"aerosol (saline)")))</f>
        <v>0</v>
      </c>
      <c r="Y638">
        <f>AND(IF(Metadata!F638="",FALSE,TRUE),exact(Metadata!F638,"air"))</f>
        <v>0</v>
      </c>
      <c r="Z638">
        <f>AND(IF(Metadata!G638="",FALSE,TRUE),exact(Metadata!G638,"air"))</f>
        <v>0</v>
      </c>
      <c r="AA638">
        <f>AND(IF(Metadata!H638="",FALSE,TRUE),exact(Metadata!H638,"air"))</f>
        <v>0</v>
      </c>
      <c r="AB638">
        <f>AND(IF(Metadata!I638="",FALSE,TRUE),exact(Metadata!I638,"air metagenome"))</f>
        <v>0</v>
      </c>
      <c r="AC638">
        <f>AND(IF(Metadata!J638="",FALSE,TRUE),exact(Metadata!J638,"655179"))</f>
        <v>0</v>
      </c>
    </row>
    <row r="639" spans="1:29">
      <c r="A639" s="5">
        <f>IF(B639=" "," ",HYPERLINK(CONCATENATE("#metadata!",ADDRESS(INDEX($P$2:$P$1001,MATCH(ROWS($N$2:N639),$N$2:$N$1001,0),0),1)),INDEX($S$2:$S$1001,MATCH(ROWS($N$2:N639),$N$2:$N$1001,0),0)))</f>
        <v>0</v>
      </c>
      <c r="B639" s="4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4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4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4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4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4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4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4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4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OR(AND(IF(Metadata!C639="",FALSE,TRUE),OR(exact(Metadata!C639,"not applicable"),exact(Metadata!C639,"not collected"),exact(Metadata!C639,"not provided"),exact(Metadata!C639,"restricted access"))),IF(Metadata!C639="",FALSE,ISNUMBER(VALUE(Metadata!C639))))</f>
        <v>0</v>
      </c>
      <c r="W639">
        <f>AND(IF(Metadata!D639="",FALSE,TRUE),exact(Metadata!D639,"m"))</f>
        <v>0</v>
      </c>
      <c r="X639">
        <f>AND(IF(Metadata!E639="",FALSE,TRUE),OR(exact(Metadata!E639,"aerosol (non-saline)"),exact(Metadata!E639,"aerosol (saline)")))</f>
        <v>0</v>
      </c>
      <c r="Y639">
        <f>AND(IF(Metadata!F639="",FALSE,TRUE),exact(Metadata!F639,"air"))</f>
        <v>0</v>
      </c>
      <c r="Z639">
        <f>AND(IF(Metadata!G639="",FALSE,TRUE),exact(Metadata!G639,"air"))</f>
        <v>0</v>
      </c>
      <c r="AA639">
        <f>AND(IF(Metadata!H639="",FALSE,TRUE),exact(Metadata!H639,"air"))</f>
        <v>0</v>
      </c>
      <c r="AB639">
        <f>AND(IF(Metadata!I639="",FALSE,TRUE),exact(Metadata!I639,"air metagenome"))</f>
        <v>0</v>
      </c>
      <c r="AC639">
        <f>AND(IF(Metadata!J639="",FALSE,TRUE),exact(Metadata!J639,"655179"))</f>
        <v>0</v>
      </c>
    </row>
    <row r="640" spans="1:29">
      <c r="A640" s="5">
        <f>IF(B640=" "," ",HYPERLINK(CONCATENATE("#metadata!",ADDRESS(INDEX($P$2:$P$1001,MATCH(ROWS($N$2:N640),$N$2:$N$1001,0),0),1)),INDEX($S$2:$S$1001,MATCH(ROWS($N$2:N640),$N$2:$N$1001,0),0)))</f>
        <v>0</v>
      </c>
      <c r="B640" s="4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4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4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4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4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4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4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4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4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OR(AND(IF(Metadata!C640="",FALSE,TRUE),OR(exact(Metadata!C640,"not applicable"),exact(Metadata!C640,"not collected"),exact(Metadata!C640,"not provided"),exact(Metadata!C640,"restricted access"))),IF(Metadata!C640="",FALSE,ISNUMBER(VALUE(Metadata!C640))))</f>
        <v>0</v>
      </c>
      <c r="W640">
        <f>AND(IF(Metadata!D640="",FALSE,TRUE),exact(Metadata!D640,"m"))</f>
        <v>0</v>
      </c>
      <c r="X640">
        <f>AND(IF(Metadata!E640="",FALSE,TRUE),OR(exact(Metadata!E640,"aerosol (non-saline)"),exact(Metadata!E640,"aerosol (saline)")))</f>
        <v>0</v>
      </c>
      <c r="Y640">
        <f>AND(IF(Metadata!F640="",FALSE,TRUE),exact(Metadata!F640,"air"))</f>
        <v>0</v>
      </c>
      <c r="Z640">
        <f>AND(IF(Metadata!G640="",FALSE,TRUE),exact(Metadata!G640,"air"))</f>
        <v>0</v>
      </c>
      <c r="AA640">
        <f>AND(IF(Metadata!H640="",FALSE,TRUE),exact(Metadata!H640,"air"))</f>
        <v>0</v>
      </c>
      <c r="AB640">
        <f>AND(IF(Metadata!I640="",FALSE,TRUE),exact(Metadata!I640,"air metagenome"))</f>
        <v>0</v>
      </c>
      <c r="AC640">
        <f>AND(IF(Metadata!J640="",FALSE,TRUE),exact(Metadata!J640,"655179"))</f>
        <v>0</v>
      </c>
    </row>
    <row r="641" spans="1:29">
      <c r="A641" s="5">
        <f>IF(B641=" "," ",HYPERLINK(CONCATENATE("#metadata!",ADDRESS(INDEX($P$2:$P$1001,MATCH(ROWS($N$2:N641),$N$2:$N$1001,0),0),1)),INDEX($S$2:$S$1001,MATCH(ROWS($N$2:N641),$N$2:$N$1001,0),0)))</f>
        <v>0</v>
      </c>
      <c r="B641" s="4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4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4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4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4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4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4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4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4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OR(AND(IF(Metadata!C641="",FALSE,TRUE),OR(exact(Metadata!C641,"not applicable"),exact(Metadata!C641,"not collected"),exact(Metadata!C641,"not provided"),exact(Metadata!C641,"restricted access"))),IF(Metadata!C641="",FALSE,ISNUMBER(VALUE(Metadata!C641))))</f>
        <v>0</v>
      </c>
      <c r="W641">
        <f>AND(IF(Metadata!D641="",FALSE,TRUE),exact(Metadata!D641,"m"))</f>
        <v>0</v>
      </c>
      <c r="X641">
        <f>AND(IF(Metadata!E641="",FALSE,TRUE),OR(exact(Metadata!E641,"aerosol (non-saline)"),exact(Metadata!E641,"aerosol (saline)")))</f>
        <v>0</v>
      </c>
      <c r="Y641">
        <f>AND(IF(Metadata!F641="",FALSE,TRUE),exact(Metadata!F641,"air"))</f>
        <v>0</v>
      </c>
      <c r="Z641">
        <f>AND(IF(Metadata!G641="",FALSE,TRUE),exact(Metadata!G641,"air"))</f>
        <v>0</v>
      </c>
      <c r="AA641">
        <f>AND(IF(Metadata!H641="",FALSE,TRUE),exact(Metadata!H641,"air"))</f>
        <v>0</v>
      </c>
      <c r="AB641">
        <f>AND(IF(Metadata!I641="",FALSE,TRUE),exact(Metadata!I641,"air metagenome"))</f>
        <v>0</v>
      </c>
      <c r="AC641">
        <f>AND(IF(Metadata!J641="",FALSE,TRUE),exact(Metadata!J641,"655179"))</f>
        <v>0</v>
      </c>
    </row>
    <row r="642" spans="1:29">
      <c r="A642" s="5">
        <f>IF(B642=" "," ",HYPERLINK(CONCATENATE("#metadata!",ADDRESS(INDEX($P$2:$P$1001,MATCH(ROWS($N$2:N642),$N$2:$N$1001,0),0),1)),INDEX($S$2:$S$1001,MATCH(ROWS($N$2:N642),$N$2:$N$1001,0),0)))</f>
        <v>0</v>
      </c>
      <c r="B642" s="4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4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4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4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4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4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4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4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4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OR(AND(IF(Metadata!C642="",FALSE,TRUE),OR(exact(Metadata!C642,"not applicable"),exact(Metadata!C642,"not collected"),exact(Metadata!C642,"not provided"),exact(Metadata!C642,"restricted access"))),IF(Metadata!C642="",FALSE,ISNUMBER(VALUE(Metadata!C642))))</f>
        <v>0</v>
      </c>
      <c r="W642">
        <f>AND(IF(Metadata!D642="",FALSE,TRUE),exact(Metadata!D642,"m"))</f>
        <v>0</v>
      </c>
      <c r="X642">
        <f>AND(IF(Metadata!E642="",FALSE,TRUE),OR(exact(Metadata!E642,"aerosol (non-saline)"),exact(Metadata!E642,"aerosol (saline)")))</f>
        <v>0</v>
      </c>
      <c r="Y642">
        <f>AND(IF(Metadata!F642="",FALSE,TRUE),exact(Metadata!F642,"air"))</f>
        <v>0</v>
      </c>
      <c r="Z642">
        <f>AND(IF(Metadata!G642="",FALSE,TRUE),exact(Metadata!G642,"air"))</f>
        <v>0</v>
      </c>
      <c r="AA642">
        <f>AND(IF(Metadata!H642="",FALSE,TRUE),exact(Metadata!H642,"air"))</f>
        <v>0</v>
      </c>
      <c r="AB642">
        <f>AND(IF(Metadata!I642="",FALSE,TRUE),exact(Metadata!I642,"air metagenome"))</f>
        <v>0</v>
      </c>
      <c r="AC642">
        <f>AND(IF(Metadata!J642="",FALSE,TRUE),exact(Metadata!J642,"655179"))</f>
        <v>0</v>
      </c>
    </row>
    <row r="643" spans="1:29">
      <c r="A643" s="5">
        <f>IF(B643=" "," ",HYPERLINK(CONCATENATE("#metadata!",ADDRESS(INDEX($P$2:$P$1001,MATCH(ROWS($N$2:N643),$N$2:$N$1001,0),0),1)),INDEX($S$2:$S$1001,MATCH(ROWS($N$2:N643),$N$2:$N$1001,0),0)))</f>
        <v>0</v>
      </c>
      <c r="B643" s="4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4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4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4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4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4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4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4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4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OR(AND(IF(Metadata!C643="",FALSE,TRUE),OR(exact(Metadata!C643,"not applicable"),exact(Metadata!C643,"not collected"),exact(Metadata!C643,"not provided"),exact(Metadata!C643,"restricted access"))),IF(Metadata!C643="",FALSE,ISNUMBER(VALUE(Metadata!C643))))</f>
        <v>0</v>
      </c>
      <c r="W643">
        <f>AND(IF(Metadata!D643="",FALSE,TRUE),exact(Metadata!D643,"m"))</f>
        <v>0</v>
      </c>
      <c r="X643">
        <f>AND(IF(Metadata!E643="",FALSE,TRUE),OR(exact(Metadata!E643,"aerosol (non-saline)"),exact(Metadata!E643,"aerosol (saline)")))</f>
        <v>0</v>
      </c>
      <c r="Y643">
        <f>AND(IF(Metadata!F643="",FALSE,TRUE),exact(Metadata!F643,"air"))</f>
        <v>0</v>
      </c>
      <c r="Z643">
        <f>AND(IF(Metadata!G643="",FALSE,TRUE),exact(Metadata!G643,"air"))</f>
        <v>0</v>
      </c>
      <c r="AA643">
        <f>AND(IF(Metadata!H643="",FALSE,TRUE),exact(Metadata!H643,"air"))</f>
        <v>0</v>
      </c>
      <c r="AB643">
        <f>AND(IF(Metadata!I643="",FALSE,TRUE),exact(Metadata!I643,"air metagenome"))</f>
        <v>0</v>
      </c>
      <c r="AC643">
        <f>AND(IF(Metadata!J643="",FALSE,TRUE),exact(Metadata!J643,"655179"))</f>
        <v>0</v>
      </c>
    </row>
    <row r="644" spans="1:29">
      <c r="A644" s="5">
        <f>IF(B644=" "," ",HYPERLINK(CONCATENATE("#metadata!",ADDRESS(INDEX($P$2:$P$1001,MATCH(ROWS($N$2:N644),$N$2:$N$1001,0),0),1)),INDEX($S$2:$S$1001,MATCH(ROWS($N$2:N644),$N$2:$N$1001,0),0)))</f>
        <v>0</v>
      </c>
      <c r="B644" s="4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4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4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4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4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4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4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4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4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OR(AND(IF(Metadata!C644="",FALSE,TRUE),OR(exact(Metadata!C644,"not applicable"),exact(Metadata!C644,"not collected"),exact(Metadata!C644,"not provided"),exact(Metadata!C644,"restricted access"))),IF(Metadata!C644="",FALSE,ISNUMBER(VALUE(Metadata!C644))))</f>
        <v>0</v>
      </c>
      <c r="W644">
        <f>AND(IF(Metadata!D644="",FALSE,TRUE),exact(Metadata!D644,"m"))</f>
        <v>0</v>
      </c>
      <c r="X644">
        <f>AND(IF(Metadata!E644="",FALSE,TRUE),OR(exact(Metadata!E644,"aerosol (non-saline)"),exact(Metadata!E644,"aerosol (saline)")))</f>
        <v>0</v>
      </c>
      <c r="Y644">
        <f>AND(IF(Metadata!F644="",FALSE,TRUE),exact(Metadata!F644,"air"))</f>
        <v>0</v>
      </c>
      <c r="Z644">
        <f>AND(IF(Metadata!G644="",FALSE,TRUE),exact(Metadata!G644,"air"))</f>
        <v>0</v>
      </c>
      <c r="AA644">
        <f>AND(IF(Metadata!H644="",FALSE,TRUE),exact(Metadata!H644,"air"))</f>
        <v>0</v>
      </c>
      <c r="AB644">
        <f>AND(IF(Metadata!I644="",FALSE,TRUE),exact(Metadata!I644,"air metagenome"))</f>
        <v>0</v>
      </c>
      <c r="AC644">
        <f>AND(IF(Metadata!J644="",FALSE,TRUE),exact(Metadata!J644,"655179"))</f>
        <v>0</v>
      </c>
    </row>
    <row r="645" spans="1:29">
      <c r="A645" s="5">
        <f>IF(B645=" "," ",HYPERLINK(CONCATENATE("#metadata!",ADDRESS(INDEX($P$2:$P$1001,MATCH(ROWS($N$2:N645),$N$2:$N$1001,0),0),1)),INDEX($S$2:$S$1001,MATCH(ROWS($N$2:N645),$N$2:$N$1001,0),0)))</f>
        <v>0</v>
      </c>
      <c r="B645" s="4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4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4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4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4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4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4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4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4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OR(AND(IF(Metadata!C645="",FALSE,TRUE),OR(exact(Metadata!C645,"not applicable"),exact(Metadata!C645,"not collected"),exact(Metadata!C645,"not provided"),exact(Metadata!C645,"restricted access"))),IF(Metadata!C645="",FALSE,ISNUMBER(VALUE(Metadata!C645))))</f>
        <v>0</v>
      </c>
      <c r="W645">
        <f>AND(IF(Metadata!D645="",FALSE,TRUE),exact(Metadata!D645,"m"))</f>
        <v>0</v>
      </c>
      <c r="X645">
        <f>AND(IF(Metadata!E645="",FALSE,TRUE),OR(exact(Metadata!E645,"aerosol (non-saline)"),exact(Metadata!E645,"aerosol (saline)")))</f>
        <v>0</v>
      </c>
      <c r="Y645">
        <f>AND(IF(Metadata!F645="",FALSE,TRUE),exact(Metadata!F645,"air"))</f>
        <v>0</v>
      </c>
      <c r="Z645">
        <f>AND(IF(Metadata!G645="",FALSE,TRUE),exact(Metadata!G645,"air"))</f>
        <v>0</v>
      </c>
      <c r="AA645">
        <f>AND(IF(Metadata!H645="",FALSE,TRUE),exact(Metadata!H645,"air"))</f>
        <v>0</v>
      </c>
      <c r="AB645">
        <f>AND(IF(Metadata!I645="",FALSE,TRUE),exact(Metadata!I645,"air metagenome"))</f>
        <v>0</v>
      </c>
      <c r="AC645">
        <f>AND(IF(Metadata!J645="",FALSE,TRUE),exact(Metadata!J645,"655179"))</f>
        <v>0</v>
      </c>
    </row>
    <row r="646" spans="1:29">
      <c r="A646" s="5">
        <f>IF(B646=" "," ",HYPERLINK(CONCATENATE("#metadata!",ADDRESS(INDEX($P$2:$P$1001,MATCH(ROWS($N$2:N646),$N$2:$N$1001,0),0),1)),INDEX($S$2:$S$1001,MATCH(ROWS($N$2:N646),$N$2:$N$1001,0),0)))</f>
        <v>0</v>
      </c>
      <c r="B646" s="4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4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4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4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4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4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4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4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4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OR(AND(IF(Metadata!C646="",FALSE,TRUE),OR(exact(Metadata!C646,"not applicable"),exact(Metadata!C646,"not collected"),exact(Metadata!C646,"not provided"),exact(Metadata!C646,"restricted access"))),IF(Metadata!C646="",FALSE,ISNUMBER(VALUE(Metadata!C646))))</f>
        <v>0</v>
      </c>
      <c r="W646">
        <f>AND(IF(Metadata!D646="",FALSE,TRUE),exact(Metadata!D646,"m"))</f>
        <v>0</v>
      </c>
      <c r="X646">
        <f>AND(IF(Metadata!E646="",FALSE,TRUE),OR(exact(Metadata!E646,"aerosol (non-saline)"),exact(Metadata!E646,"aerosol (saline)")))</f>
        <v>0</v>
      </c>
      <c r="Y646">
        <f>AND(IF(Metadata!F646="",FALSE,TRUE),exact(Metadata!F646,"air"))</f>
        <v>0</v>
      </c>
      <c r="Z646">
        <f>AND(IF(Metadata!G646="",FALSE,TRUE),exact(Metadata!G646,"air"))</f>
        <v>0</v>
      </c>
      <c r="AA646">
        <f>AND(IF(Metadata!H646="",FALSE,TRUE),exact(Metadata!H646,"air"))</f>
        <v>0</v>
      </c>
      <c r="AB646">
        <f>AND(IF(Metadata!I646="",FALSE,TRUE),exact(Metadata!I646,"air metagenome"))</f>
        <v>0</v>
      </c>
      <c r="AC646">
        <f>AND(IF(Metadata!J646="",FALSE,TRUE),exact(Metadata!J646,"655179"))</f>
        <v>0</v>
      </c>
    </row>
    <row r="647" spans="1:29">
      <c r="A647" s="5">
        <f>IF(B647=" "," ",HYPERLINK(CONCATENATE("#metadata!",ADDRESS(INDEX($P$2:$P$1001,MATCH(ROWS($N$2:N647),$N$2:$N$1001,0),0),1)),INDEX($S$2:$S$1001,MATCH(ROWS($N$2:N647),$N$2:$N$1001,0),0)))</f>
        <v>0</v>
      </c>
      <c r="B647" s="4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4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4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4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4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4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4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4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4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OR(AND(IF(Metadata!C647="",FALSE,TRUE),OR(exact(Metadata!C647,"not applicable"),exact(Metadata!C647,"not collected"),exact(Metadata!C647,"not provided"),exact(Metadata!C647,"restricted access"))),IF(Metadata!C647="",FALSE,ISNUMBER(VALUE(Metadata!C647))))</f>
        <v>0</v>
      </c>
      <c r="W647">
        <f>AND(IF(Metadata!D647="",FALSE,TRUE),exact(Metadata!D647,"m"))</f>
        <v>0</v>
      </c>
      <c r="X647">
        <f>AND(IF(Metadata!E647="",FALSE,TRUE),OR(exact(Metadata!E647,"aerosol (non-saline)"),exact(Metadata!E647,"aerosol (saline)")))</f>
        <v>0</v>
      </c>
      <c r="Y647">
        <f>AND(IF(Metadata!F647="",FALSE,TRUE),exact(Metadata!F647,"air"))</f>
        <v>0</v>
      </c>
      <c r="Z647">
        <f>AND(IF(Metadata!G647="",FALSE,TRUE),exact(Metadata!G647,"air"))</f>
        <v>0</v>
      </c>
      <c r="AA647">
        <f>AND(IF(Metadata!H647="",FALSE,TRUE),exact(Metadata!H647,"air"))</f>
        <v>0</v>
      </c>
      <c r="AB647">
        <f>AND(IF(Metadata!I647="",FALSE,TRUE),exact(Metadata!I647,"air metagenome"))</f>
        <v>0</v>
      </c>
      <c r="AC647">
        <f>AND(IF(Metadata!J647="",FALSE,TRUE),exact(Metadata!J647,"655179"))</f>
        <v>0</v>
      </c>
    </row>
    <row r="648" spans="1:29">
      <c r="A648" s="5">
        <f>IF(B648=" "," ",HYPERLINK(CONCATENATE("#metadata!",ADDRESS(INDEX($P$2:$P$1001,MATCH(ROWS($N$2:N648),$N$2:$N$1001,0),0),1)),INDEX($S$2:$S$1001,MATCH(ROWS($N$2:N648),$N$2:$N$1001,0),0)))</f>
        <v>0</v>
      </c>
      <c r="B648" s="4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4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4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4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4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4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4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4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4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OR(AND(IF(Metadata!C648="",FALSE,TRUE),OR(exact(Metadata!C648,"not applicable"),exact(Metadata!C648,"not collected"),exact(Metadata!C648,"not provided"),exact(Metadata!C648,"restricted access"))),IF(Metadata!C648="",FALSE,ISNUMBER(VALUE(Metadata!C648))))</f>
        <v>0</v>
      </c>
      <c r="W648">
        <f>AND(IF(Metadata!D648="",FALSE,TRUE),exact(Metadata!D648,"m"))</f>
        <v>0</v>
      </c>
      <c r="X648">
        <f>AND(IF(Metadata!E648="",FALSE,TRUE),OR(exact(Metadata!E648,"aerosol (non-saline)"),exact(Metadata!E648,"aerosol (saline)")))</f>
        <v>0</v>
      </c>
      <c r="Y648">
        <f>AND(IF(Metadata!F648="",FALSE,TRUE),exact(Metadata!F648,"air"))</f>
        <v>0</v>
      </c>
      <c r="Z648">
        <f>AND(IF(Metadata!G648="",FALSE,TRUE),exact(Metadata!G648,"air"))</f>
        <v>0</v>
      </c>
      <c r="AA648">
        <f>AND(IF(Metadata!H648="",FALSE,TRUE),exact(Metadata!H648,"air"))</f>
        <v>0</v>
      </c>
      <c r="AB648">
        <f>AND(IF(Metadata!I648="",FALSE,TRUE),exact(Metadata!I648,"air metagenome"))</f>
        <v>0</v>
      </c>
      <c r="AC648">
        <f>AND(IF(Metadata!J648="",FALSE,TRUE),exact(Metadata!J648,"655179"))</f>
        <v>0</v>
      </c>
    </row>
    <row r="649" spans="1:29">
      <c r="A649" s="5">
        <f>IF(B649=" "," ",HYPERLINK(CONCATENATE("#metadata!",ADDRESS(INDEX($P$2:$P$1001,MATCH(ROWS($N$2:N649),$N$2:$N$1001,0),0),1)),INDEX($S$2:$S$1001,MATCH(ROWS($N$2:N649),$N$2:$N$1001,0),0)))</f>
        <v>0</v>
      </c>
      <c r="B649" s="4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4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4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4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4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4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4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4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4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OR(AND(IF(Metadata!C649="",FALSE,TRUE),OR(exact(Metadata!C649,"not applicable"),exact(Metadata!C649,"not collected"),exact(Metadata!C649,"not provided"),exact(Metadata!C649,"restricted access"))),IF(Metadata!C649="",FALSE,ISNUMBER(VALUE(Metadata!C649))))</f>
        <v>0</v>
      </c>
      <c r="W649">
        <f>AND(IF(Metadata!D649="",FALSE,TRUE),exact(Metadata!D649,"m"))</f>
        <v>0</v>
      </c>
      <c r="X649">
        <f>AND(IF(Metadata!E649="",FALSE,TRUE),OR(exact(Metadata!E649,"aerosol (non-saline)"),exact(Metadata!E649,"aerosol (saline)")))</f>
        <v>0</v>
      </c>
      <c r="Y649">
        <f>AND(IF(Metadata!F649="",FALSE,TRUE),exact(Metadata!F649,"air"))</f>
        <v>0</v>
      </c>
      <c r="Z649">
        <f>AND(IF(Metadata!G649="",FALSE,TRUE),exact(Metadata!G649,"air"))</f>
        <v>0</v>
      </c>
      <c r="AA649">
        <f>AND(IF(Metadata!H649="",FALSE,TRUE),exact(Metadata!H649,"air"))</f>
        <v>0</v>
      </c>
      <c r="AB649">
        <f>AND(IF(Metadata!I649="",FALSE,TRUE),exact(Metadata!I649,"air metagenome"))</f>
        <v>0</v>
      </c>
      <c r="AC649">
        <f>AND(IF(Metadata!J649="",FALSE,TRUE),exact(Metadata!J649,"655179"))</f>
        <v>0</v>
      </c>
    </row>
    <row r="650" spans="1:29">
      <c r="A650" s="5">
        <f>IF(B650=" "," ",HYPERLINK(CONCATENATE("#metadata!",ADDRESS(INDEX($P$2:$P$1001,MATCH(ROWS($N$2:N650),$N$2:$N$1001,0),0),1)),INDEX($S$2:$S$1001,MATCH(ROWS($N$2:N650),$N$2:$N$1001,0),0)))</f>
        <v>0</v>
      </c>
      <c r="B650" s="4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4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4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4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4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4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4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4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4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OR(AND(IF(Metadata!C650="",FALSE,TRUE),OR(exact(Metadata!C650,"not applicable"),exact(Metadata!C650,"not collected"),exact(Metadata!C650,"not provided"),exact(Metadata!C650,"restricted access"))),IF(Metadata!C650="",FALSE,ISNUMBER(VALUE(Metadata!C650))))</f>
        <v>0</v>
      </c>
      <c r="W650">
        <f>AND(IF(Metadata!D650="",FALSE,TRUE),exact(Metadata!D650,"m"))</f>
        <v>0</v>
      </c>
      <c r="X650">
        <f>AND(IF(Metadata!E650="",FALSE,TRUE),OR(exact(Metadata!E650,"aerosol (non-saline)"),exact(Metadata!E650,"aerosol (saline)")))</f>
        <v>0</v>
      </c>
      <c r="Y650">
        <f>AND(IF(Metadata!F650="",FALSE,TRUE),exact(Metadata!F650,"air"))</f>
        <v>0</v>
      </c>
      <c r="Z650">
        <f>AND(IF(Metadata!G650="",FALSE,TRUE),exact(Metadata!G650,"air"))</f>
        <v>0</v>
      </c>
      <c r="AA650">
        <f>AND(IF(Metadata!H650="",FALSE,TRUE),exact(Metadata!H650,"air"))</f>
        <v>0</v>
      </c>
      <c r="AB650">
        <f>AND(IF(Metadata!I650="",FALSE,TRUE),exact(Metadata!I650,"air metagenome"))</f>
        <v>0</v>
      </c>
      <c r="AC650">
        <f>AND(IF(Metadata!J650="",FALSE,TRUE),exact(Metadata!J650,"655179"))</f>
        <v>0</v>
      </c>
    </row>
    <row r="651" spans="1:29">
      <c r="A651" s="5">
        <f>IF(B651=" "," ",HYPERLINK(CONCATENATE("#metadata!",ADDRESS(INDEX($P$2:$P$1001,MATCH(ROWS($N$2:N651),$N$2:$N$1001,0),0),1)),INDEX($S$2:$S$1001,MATCH(ROWS($N$2:N651),$N$2:$N$1001,0),0)))</f>
        <v>0</v>
      </c>
      <c r="B651" s="4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4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4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4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4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4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4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4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4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OR(AND(IF(Metadata!C651="",FALSE,TRUE),OR(exact(Metadata!C651,"not applicable"),exact(Metadata!C651,"not collected"),exact(Metadata!C651,"not provided"),exact(Metadata!C651,"restricted access"))),IF(Metadata!C651="",FALSE,ISNUMBER(VALUE(Metadata!C651))))</f>
        <v>0</v>
      </c>
      <c r="W651">
        <f>AND(IF(Metadata!D651="",FALSE,TRUE),exact(Metadata!D651,"m"))</f>
        <v>0</v>
      </c>
      <c r="X651">
        <f>AND(IF(Metadata!E651="",FALSE,TRUE),OR(exact(Metadata!E651,"aerosol (non-saline)"),exact(Metadata!E651,"aerosol (saline)")))</f>
        <v>0</v>
      </c>
      <c r="Y651">
        <f>AND(IF(Metadata!F651="",FALSE,TRUE),exact(Metadata!F651,"air"))</f>
        <v>0</v>
      </c>
      <c r="Z651">
        <f>AND(IF(Metadata!G651="",FALSE,TRUE),exact(Metadata!G651,"air"))</f>
        <v>0</v>
      </c>
      <c r="AA651">
        <f>AND(IF(Metadata!H651="",FALSE,TRUE),exact(Metadata!H651,"air"))</f>
        <v>0</v>
      </c>
      <c r="AB651">
        <f>AND(IF(Metadata!I651="",FALSE,TRUE),exact(Metadata!I651,"air metagenome"))</f>
        <v>0</v>
      </c>
      <c r="AC651">
        <f>AND(IF(Metadata!J651="",FALSE,TRUE),exact(Metadata!J651,"655179"))</f>
        <v>0</v>
      </c>
    </row>
    <row r="652" spans="1:29">
      <c r="A652" s="5">
        <f>IF(B652=" "," ",HYPERLINK(CONCATENATE("#metadata!",ADDRESS(INDEX($P$2:$P$1001,MATCH(ROWS($N$2:N652),$N$2:$N$1001,0),0),1)),INDEX($S$2:$S$1001,MATCH(ROWS($N$2:N652),$N$2:$N$1001,0),0)))</f>
        <v>0</v>
      </c>
      <c r="B652" s="4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4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4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4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4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4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4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4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4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OR(AND(IF(Metadata!C652="",FALSE,TRUE),OR(exact(Metadata!C652,"not applicable"),exact(Metadata!C652,"not collected"),exact(Metadata!C652,"not provided"),exact(Metadata!C652,"restricted access"))),IF(Metadata!C652="",FALSE,ISNUMBER(VALUE(Metadata!C652))))</f>
        <v>0</v>
      </c>
      <c r="W652">
        <f>AND(IF(Metadata!D652="",FALSE,TRUE),exact(Metadata!D652,"m"))</f>
        <v>0</v>
      </c>
      <c r="X652">
        <f>AND(IF(Metadata!E652="",FALSE,TRUE),OR(exact(Metadata!E652,"aerosol (non-saline)"),exact(Metadata!E652,"aerosol (saline)")))</f>
        <v>0</v>
      </c>
      <c r="Y652">
        <f>AND(IF(Metadata!F652="",FALSE,TRUE),exact(Metadata!F652,"air"))</f>
        <v>0</v>
      </c>
      <c r="Z652">
        <f>AND(IF(Metadata!G652="",FALSE,TRUE),exact(Metadata!G652,"air"))</f>
        <v>0</v>
      </c>
      <c r="AA652">
        <f>AND(IF(Metadata!H652="",FALSE,TRUE),exact(Metadata!H652,"air"))</f>
        <v>0</v>
      </c>
      <c r="AB652">
        <f>AND(IF(Metadata!I652="",FALSE,TRUE),exact(Metadata!I652,"air metagenome"))</f>
        <v>0</v>
      </c>
      <c r="AC652">
        <f>AND(IF(Metadata!J652="",FALSE,TRUE),exact(Metadata!J652,"655179"))</f>
        <v>0</v>
      </c>
    </row>
    <row r="653" spans="1:29">
      <c r="A653" s="5">
        <f>IF(B653=" "," ",HYPERLINK(CONCATENATE("#metadata!",ADDRESS(INDEX($P$2:$P$1001,MATCH(ROWS($N$2:N653),$N$2:$N$1001,0),0),1)),INDEX($S$2:$S$1001,MATCH(ROWS($N$2:N653),$N$2:$N$1001,0),0)))</f>
        <v>0</v>
      </c>
      <c r="B653" s="4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4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4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4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4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4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4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4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4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OR(AND(IF(Metadata!C653="",FALSE,TRUE),OR(exact(Metadata!C653,"not applicable"),exact(Metadata!C653,"not collected"),exact(Metadata!C653,"not provided"),exact(Metadata!C653,"restricted access"))),IF(Metadata!C653="",FALSE,ISNUMBER(VALUE(Metadata!C653))))</f>
        <v>0</v>
      </c>
      <c r="W653">
        <f>AND(IF(Metadata!D653="",FALSE,TRUE),exact(Metadata!D653,"m"))</f>
        <v>0</v>
      </c>
      <c r="X653">
        <f>AND(IF(Metadata!E653="",FALSE,TRUE),OR(exact(Metadata!E653,"aerosol (non-saline)"),exact(Metadata!E653,"aerosol (saline)")))</f>
        <v>0</v>
      </c>
      <c r="Y653">
        <f>AND(IF(Metadata!F653="",FALSE,TRUE),exact(Metadata!F653,"air"))</f>
        <v>0</v>
      </c>
      <c r="Z653">
        <f>AND(IF(Metadata!G653="",FALSE,TRUE),exact(Metadata!G653,"air"))</f>
        <v>0</v>
      </c>
      <c r="AA653">
        <f>AND(IF(Metadata!H653="",FALSE,TRUE),exact(Metadata!H653,"air"))</f>
        <v>0</v>
      </c>
      <c r="AB653">
        <f>AND(IF(Metadata!I653="",FALSE,TRUE),exact(Metadata!I653,"air metagenome"))</f>
        <v>0</v>
      </c>
      <c r="AC653">
        <f>AND(IF(Metadata!J653="",FALSE,TRUE),exact(Metadata!J653,"655179"))</f>
        <v>0</v>
      </c>
    </row>
    <row r="654" spans="1:29">
      <c r="A654" s="5">
        <f>IF(B654=" "," ",HYPERLINK(CONCATENATE("#metadata!",ADDRESS(INDEX($P$2:$P$1001,MATCH(ROWS($N$2:N654),$N$2:$N$1001,0),0),1)),INDEX($S$2:$S$1001,MATCH(ROWS($N$2:N654),$N$2:$N$1001,0),0)))</f>
        <v>0</v>
      </c>
      <c r="B654" s="4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4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4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4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4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4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4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4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4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OR(AND(IF(Metadata!C654="",FALSE,TRUE),OR(exact(Metadata!C654,"not applicable"),exact(Metadata!C654,"not collected"),exact(Metadata!C654,"not provided"),exact(Metadata!C654,"restricted access"))),IF(Metadata!C654="",FALSE,ISNUMBER(VALUE(Metadata!C654))))</f>
        <v>0</v>
      </c>
      <c r="W654">
        <f>AND(IF(Metadata!D654="",FALSE,TRUE),exact(Metadata!D654,"m"))</f>
        <v>0</v>
      </c>
      <c r="X654">
        <f>AND(IF(Metadata!E654="",FALSE,TRUE),OR(exact(Metadata!E654,"aerosol (non-saline)"),exact(Metadata!E654,"aerosol (saline)")))</f>
        <v>0</v>
      </c>
      <c r="Y654">
        <f>AND(IF(Metadata!F654="",FALSE,TRUE),exact(Metadata!F654,"air"))</f>
        <v>0</v>
      </c>
      <c r="Z654">
        <f>AND(IF(Metadata!G654="",FALSE,TRUE),exact(Metadata!G654,"air"))</f>
        <v>0</v>
      </c>
      <c r="AA654">
        <f>AND(IF(Metadata!H654="",FALSE,TRUE),exact(Metadata!H654,"air"))</f>
        <v>0</v>
      </c>
      <c r="AB654">
        <f>AND(IF(Metadata!I654="",FALSE,TRUE),exact(Metadata!I654,"air metagenome"))</f>
        <v>0</v>
      </c>
      <c r="AC654">
        <f>AND(IF(Metadata!J654="",FALSE,TRUE),exact(Metadata!J654,"655179"))</f>
        <v>0</v>
      </c>
    </row>
    <row r="655" spans="1:29">
      <c r="A655" s="5">
        <f>IF(B655=" "," ",HYPERLINK(CONCATENATE("#metadata!",ADDRESS(INDEX($P$2:$P$1001,MATCH(ROWS($N$2:N655),$N$2:$N$1001,0),0),1)),INDEX($S$2:$S$1001,MATCH(ROWS($N$2:N655),$N$2:$N$1001,0),0)))</f>
        <v>0</v>
      </c>
      <c r="B655" s="4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4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4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4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4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4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4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4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4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OR(AND(IF(Metadata!C655="",FALSE,TRUE),OR(exact(Metadata!C655,"not applicable"),exact(Metadata!C655,"not collected"),exact(Metadata!C655,"not provided"),exact(Metadata!C655,"restricted access"))),IF(Metadata!C655="",FALSE,ISNUMBER(VALUE(Metadata!C655))))</f>
        <v>0</v>
      </c>
      <c r="W655">
        <f>AND(IF(Metadata!D655="",FALSE,TRUE),exact(Metadata!D655,"m"))</f>
        <v>0</v>
      </c>
      <c r="X655">
        <f>AND(IF(Metadata!E655="",FALSE,TRUE),OR(exact(Metadata!E655,"aerosol (non-saline)"),exact(Metadata!E655,"aerosol (saline)")))</f>
        <v>0</v>
      </c>
      <c r="Y655">
        <f>AND(IF(Metadata!F655="",FALSE,TRUE),exact(Metadata!F655,"air"))</f>
        <v>0</v>
      </c>
      <c r="Z655">
        <f>AND(IF(Metadata!G655="",FALSE,TRUE),exact(Metadata!G655,"air"))</f>
        <v>0</v>
      </c>
      <c r="AA655">
        <f>AND(IF(Metadata!H655="",FALSE,TRUE),exact(Metadata!H655,"air"))</f>
        <v>0</v>
      </c>
      <c r="AB655">
        <f>AND(IF(Metadata!I655="",FALSE,TRUE),exact(Metadata!I655,"air metagenome"))</f>
        <v>0</v>
      </c>
      <c r="AC655">
        <f>AND(IF(Metadata!J655="",FALSE,TRUE),exact(Metadata!J655,"655179"))</f>
        <v>0</v>
      </c>
    </row>
    <row r="656" spans="1:29">
      <c r="A656" s="5">
        <f>IF(B656=" "," ",HYPERLINK(CONCATENATE("#metadata!",ADDRESS(INDEX($P$2:$P$1001,MATCH(ROWS($N$2:N656),$N$2:$N$1001,0),0),1)),INDEX($S$2:$S$1001,MATCH(ROWS($N$2:N656),$N$2:$N$1001,0),0)))</f>
        <v>0</v>
      </c>
      <c r="B656" s="4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4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4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4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4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4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4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4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4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OR(AND(IF(Metadata!C656="",FALSE,TRUE),OR(exact(Metadata!C656,"not applicable"),exact(Metadata!C656,"not collected"),exact(Metadata!C656,"not provided"),exact(Metadata!C656,"restricted access"))),IF(Metadata!C656="",FALSE,ISNUMBER(VALUE(Metadata!C656))))</f>
        <v>0</v>
      </c>
      <c r="W656">
        <f>AND(IF(Metadata!D656="",FALSE,TRUE),exact(Metadata!D656,"m"))</f>
        <v>0</v>
      </c>
      <c r="X656">
        <f>AND(IF(Metadata!E656="",FALSE,TRUE),OR(exact(Metadata!E656,"aerosol (non-saline)"),exact(Metadata!E656,"aerosol (saline)")))</f>
        <v>0</v>
      </c>
      <c r="Y656">
        <f>AND(IF(Metadata!F656="",FALSE,TRUE),exact(Metadata!F656,"air"))</f>
        <v>0</v>
      </c>
      <c r="Z656">
        <f>AND(IF(Metadata!G656="",FALSE,TRUE),exact(Metadata!G656,"air"))</f>
        <v>0</v>
      </c>
      <c r="AA656">
        <f>AND(IF(Metadata!H656="",FALSE,TRUE),exact(Metadata!H656,"air"))</f>
        <v>0</v>
      </c>
      <c r="AB656">
        <f>AND(IF(Metadata!I656="",FALSE,TRUE),exact(Metadata!I656,"air metagenome"))</f>
        <v>0</v>
      </c>
      <c r="AC656">
        <f>AND(IF(Metadata!J656="",FALSE,TRUE),exact(Metadata!J656,"655179"))</f>
        <v>0</v>
      </c>
    </row>
    <row r="657" spans="1:29">
      <c r="A657" s="5">
        <f>IF(B657=" "," ",HYPERLINK(CONCATENATE("#metadata!",ADDRESS(INDEX($P$2:$P$1001,MATCH(ROWS($N$2:N657),$N$2:$N$1001,0),0),1)),INDEX($S$2:$S$1001,MATCH(ROWS($N$2:N657),$N$2:$N$1001,0),0)))</f>
        <v>0</v>
      </c>
      <c r="B657" s="4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4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4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4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4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4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4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4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4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OR(AND(IF(Metadata!C657="",FALSE,TRUE),OR(exact(Metadata!C657,"not applicable"),exact(Metadata!C657,"not collected"),exact(Metadata!C657,"not provided"),exact(Metadata!C657,"restricted access"))),IF(Metadata!C657="",FALSE,ISNUMBER(VALUE(Metadata!C657))))</f>
        <v>0</v>
      </c>
      <c r="W657">
        <f>AND(IF(Metadata!D657="",FALSE,TRUE),exact(Metadata!D657,"m"))</f>
        <v>0</v>
      </c>
      <c r="X657">
        <f>AND(IF(Metadata!E657="",FALSE,TRUE),OR(exact(Metadata!E657,"aerosol (non-saline)"),exact(Metadata!E657,"aerosol (saline)")))</f>
        <v>0</v>
      </c>
      <c r="Y657">
        <f>AND(IF(Metadata!F657="",FALSE,TRUE),exact(Metadata!F657,"air"))</f>
        <v>0</v>
      </c>
      <c r="Z657">
        <f>AND(IF(Metadata!G657="",FALSE,TRUE),exact(Metadata!G657,"air"))</f>
        <v>0</v>
      </c>
      <c r="AA657">
        <f>AND(IF(Metadata!H657="",FALSE,TRUE),exact(Metadata!H657,"air"))</f>
        <v>0</v>
      </c>
      <c r="AB657">
        <f>AND(IF(Metadata!I657="",FALSE,TRUE),exact(Metadata!I657,"air metagenome"))</f>
        <v>0</v>
      </c>
      <c r="AC657">
        <f>AND(IF(Metadata!J657="",FALSE,TRUE),exact(Metadata!J657,"655179"))</f>
        <v>0</v>
      </c>
    </row>
    <row r="658" spans="1:29">
      <c r="A658" s="5">
        <f>IF(B658=" "," ",HYPERLINK(CONCATENATE("#metadata!",ADDRESS(INDEX($P$2:$P$1001,MATCH(ROWS($N$2:N658),$N$2:$N$1001,0),0),1)),INDEX($S$2:$S$1001,MATCH(ROWS($N$2:N658),$N$2:$N$1001,0),0)))</f>
        <v>0</v>
      </c>
      <c r="B658" s="4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4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4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4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4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4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4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4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4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OR(AND(IF(Metadata!C658="",FALSE,TRUE),OR(exact(Metadata!C658,"not applicable"),exact(Metadata!C658,"not collected"),exact(Metadata!C658,"not provided"),exact(Metadata!C658,"restricted access"))),IF(Metadata!C658="",FALSE,ISNUMBER(VALUE(Metadata!C658))))</f>
        <v>0</v>
      </c>
      <c r="W658">
        <f>AND(IF(Metadata!D658="",FALSE,TRUE),exact(Metadata!D658,"m"))</f>
        <v>0</v>
      </c>
      <c r="X658">
        <f>AND(IF(Metadata!E658="",FALSE,TRUE),OR(exact(Metadata!E658,"aerosol (non-saline)"),exact(Metadata!E658,"aerosol (saline)")))</f>
        <v>0</v>
      </c>
      <c r="Y658">
        <f>AND(IF(Metadata!F658="",FALSE,TRUE),exact(Metadata!F658,"air"))</f>
        <v>0</v>
      </c>
      <c r="Z658">
        <f>AND(IF(Metadata!G658="",FALSE,TRUE),exact(Metadata!G658,"air"))</f>
        <v>0</v>
      </c>
      <c r="AA658">
        <f>AND(IF(Metadata!H658="",FALSE,TRUE),exact(Metadata!H658,"air"))</f>
        <v>0</v>
      </c>
      <c r="AB658">
        <f>AND(IF(Metadata!I658="",FALSE,TRUE),exact(Metadata!I658,"air metagenome"))</f>
        <v>0</v>
      </c>
      <c r="AC658">
        <f>AND(IF(Metadata!J658="",FALSE,TRUE),exact(Metadata!J658,"655179"))</f>
        <v>0</v>
      </c>
    </row>
    <row r="659" spans="1:29">
      <c r="A659" s="5">
        <f>IF(B659=" "," ",HYPERLINK(CONCATENATE("#metadata!",ADDRESS(INDEX($P$2:$P$1001,MATCH(ROWS($N$2:N659),$N$2:$N$1001,0),0),1)),INDEX($S$2:$S$1001,MATCH(ROWS($N$2:N659),$N$2:$N$1001,0),0)))</f>
        <v>0</v>
      </c>
      <c r="B659" s="4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4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4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4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4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4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4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4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4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OR(AND(IF(Metadata!C659="",FALSE,TRUE),OR(exact(Metadata!C659,"not applicable"),exact(Metadata!C659,"not collected"),exact(Metadata!C659,"not provided"),exact(Metadata!C659,"restricted access"))),IF(Metadata!C659="",FALSE,ISNUMBER(VALUE(Metadata!C659))))</f>
        <v>0</v>
      </c>
      <c r="W659">
        <f>AND(IF(Metadata!D659="",FALSE,TRUE),exact(Metadata!D659,"m"))</f>
        <v>0</v>
      </c>
      <c r="X659">
        <f>AND(IF(Metadata!E659="",FALSE,TRUE),OR(exact(Metadata!E659,"aerosol (non-saline)"),exact(Metadata!E659,"aerosol (saline)")))</f>
        <v>0</v>
      </c>
      <c r="Y659">
        <f>AND(IF(Metadata!F659="",FALSE,TRUE),exact(Metadata!F659,"air"))</f>
        <v>0</v>
      </c>
      <c r="Z659">
        <f>AND(IF(Metadata!G659="",FALSE,TRUE),exact(Metadata!G659,"air"))</f>
        <v>0</v>
      </c>
      <c r="AA659">
        <f>AND(IF(Metadata!H659="",FALSE,TRUE),exact(Metadata!H659,"air"))</f>
        <v>0</v>
      </c>
      <c r="AB659">
        <f>AND(IF(Metadata!I659="",FALSE,TRUE),exact(Metadata!I659,"air metagenome"))</f>
        <v>0</v>
      </c>
      <c r="AC659">
        <f>AND(IF(Metadata!J659="",FALSE,TRUE),exact(Metadata!J659,"655179"))</f>
        <v>0</v>
      </c>
    </row>
    <row r="660" spans="1:29">
      <c r="A660" s="5">
        <f>IF(B660=" "," ",HYPERLINK(CONCATENATE("#metadata!",ADDRESS(INDEX($P$2:$P$1001,MATCH(ROWS($N$2:N660),$N$2:$N$1001,0),0),1)),INDEX($S$2:$S$1001,MATCH(ROWS($N$2:N660),$N$2:$N$1001,0),0)))</f>
        <v>0</v>
      </c>
      <c r="B660" s="4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4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4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4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4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4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4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4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4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OR(AND(IF(Metadata!C660="",FALSE,TRUE),OR(exact(Metadata!C660,"not applicable"),exact(Metadata!C660,"not collected"),exact(Metadata!C660,"not provided"),exact(Metadata!C660,"restricted access"))),IF(Metadata!C660="",FALSE,ISNUMBER(VALUE(Metadata!C660))))</f>
        <v>0</v>
      </c>
      <c r="W660">
        <f>AND(IF(Metadata!D660="",FALSE,TRUE),exact(Metadata!D660,"m"))</f>
        <v>0</v>
      </c>
      <c r="X660">
        <f>AND(IF(Metadata!E660="",FALSE,TRUE),OR(exact(Metadata!E660,"aerosol (non-saline)"),exact(Metadata!E660,"aerosol (saline)")))</f>
        <v>0</v>
      </c>
      <c r="Y660">
        <f>AND(IF(Metadata!F660="",FALSE,TRUE),exact(Metadata!F660,"air"))</f>
        <v>0</v>
      </c>
      <c r="Z660">
        <f>AND(IF(Metadata!G660="",FALSE,TRUE),exact(Metadata!G660,"air"))</f>
        <v>0</v>
      </c>
      <c r="AA660">
        <f>AND(IF(Metadata!H660="",FALSE,TRUE),exact(Metadata!H660,"air"))</f>
        <v>0</v>
      </c>
      <c r="AB660">
        <f>AND(IF(Metadata!I660="",FALSE,TRUE),exact(Metadata!I660,"air metagenome"))</f>
        <v>0</v>
      </c>
      <c r="AC660">
        <f>AND(IF(Metadata!J660="",FALSE,TRUE),exact(Metadata!J660,"655179"))</f>
        <v>0</v>
      </c>
    </row>
    <row r="661" spans="1:29">
      <c r="A661" s="5">
        <f>IF(B661=" "," ",HYPERLINK(CONCATENATE("#metadata!",ADDRESS(INDEX($P$2:$P$1001,MATCH(ROWS($N$2:N661),$N$2:$N$1001,0),0),1)),INDEX($S$2:$S$1001,MATCH(ROWS($N$2:N661),$N$2:$N$1001,0),0)))</f>
        <v>0</v>
      </c>
      <c r="B661" s="4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4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4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4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4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4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4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4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4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OR(AND(IF(Metadata!C661="",FALSE,TRUE),OR(exact(Metadata!C661,"not applicable"),exact(Metadata!C661,"not collected"),exact(Metadata!C661,"not provided"),exact(Metadata!C661,"restricted access"))),IF(Metadata!C661="",FALSE,ISNUMBER(VALUE(Metadata!C661))))</f>
        <v>0</v>
      </c>
      <c r="W661">
        <f>AND(IF(Metadata!D661="",FALSE,TRUE),exact(Metadata!D661,"m"))</f>
        <v>0</v>
      </c>
      <c r="X661">
        <f>AND(IF(Metadata!E661="",FALSE,TRUE),OR(exact(Metadata!E661,"aerosol (non-saline)"),exact(Metadata!E661,"aerosol (saline)")))</f>
        <v>0</v>
      </c>
      <c r="Y661">
        <f>AND(IF(Metadata!F661="",FALSE,TRUE),exact(Metadata!F661,"air"))</f>
        <v>0</v>
      </c>
      <c r="Z661">
        <f>AND(IF(Metadata!G661="",FALSE,TRUE),exact(Metadata!G661,"air"))</f>
        <v>0</v>
      </c>
      <c r="AA661">
        <f>AND(IF(Metadata!H661="",FALSE,TRUE),exact(Metadata!H661,"air"))</f>
        <v>0</v>
      </c>
      <c r="AB661">
        <f>AND(IF(Metadata!I661="",FALSE,TRUE),exact(Metadata!I661,"air metagenome"))</f>
        <v>0</v>
      </c>
      <c r="AC661">
        <f>AND(IF(Metadata!J661="",FALSE,TRUE),exact(Metadata!J661,"655179"))</f>
        <v>0</v>
      </c>
    </row>
    <row r="662" spans="1:29">
      <c r="A662" s="5">
        <f>IF(B662=" "," ",HYPERLINK(CONCATENATE("#metadata!",ADDRESS(INDEX($P$2:$P$1001,MATCH(ROWS($N$2:N662),$N$2:$N$1001,0),0),1)),INDEX($S$2:$S$1001,MATCH(ROWS($N$2:N662),$N$2:$N$1001,0),0)))</f>
        <v>0</v>
      </c>
      <c r="B662" s="4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4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4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4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4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4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4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4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4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OR(AND(IF(Metadata!C662="",FALSE,TRUE),OR(exact(Metadata!C662,"not applicable"),exact(Metadata!C662,"not collected"),exact(Metadata!C662,"not provided"),exact(Metadata!C662,"restricted access"))),IF(Metadata!C662="",FALSE,ISNUMBER(VALUE(Metadata!C662))))</f>
        <v>0</v>
      </c>
      <c r="W662">
        <f>AND(IF(Metadata!D662="",FALSE,TRUE),exact(Metadata!D662,"m"))</f>
        <v>0</v>
      </c>
      <c r="X662">
        <f>AND(IF(Metadata!E662="",FALSE,TRUE),OR(exact(Metadata!E662,"aerosol (non-saline)"),exact(Metadata!E662,"aerosol (saline)")))</f>
        <v>0</v>
      </c>
      <c r="Y662">
        <f>AND(IF(Metadata!F662="",FALSE,TRUE),exact(Metadata!F662,"air"))</f>
        <v>0</v>
      </c>
      <c r="Z662">
        <f>AND(IF(Metadata!G662="",FALSE,TRUE),exact(Metadata!G662,"air"))</f>
        <v>0</v>
      </c>
      <c r="AA662">
        <f>AND(IF(Metadata!H662="",FALSE,TRUE),exact(Metadata!H662,"air"))</f>
        <v>0</v>
      </c>
      <c r="AB662">
        <f>AND(IF(Metadata!I662="",FALSE,TRUE),exact(Metadata!I662,"air metagenome"))</f>
        <v>0</v>
      </c>
      <c r="AC662">
        <f>AND(IF(Metadata!J662="",FALSE,TRUE),exact(Metadata!J662,"655179"))</f>
        <v>0</v>
      </c>
    </row>
    <row r="663" spans="1:29">
      <c r="A663" s="5">
        <f>IF(B663=" "," ",HYPERLINK(CONCATENATE("#metadata!",ADDRESS(INDEX($P$2:$P$1001,MATCH(ROWS($N$2:N663),$N$2:$N$1001,0),0),1)),INDEX($S$2:$S$1001,MATCH(ROWS($N$2:N663),$N$2:$N$1001,0),0)))</f>
        <v>0</v>
      </c>
      <c r="B663" s="4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4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4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4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4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4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4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4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4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OR(AND(IF(Metadata!C663="",FALSE,TRUE),OR(exact(Metadata!C663,"not applicable"),exact(Metadata!C663,"not collected"),exact(Metadata!C663,"not provided"),exact(Metadata!C663,"restricted access"))),IF(Metadata!C663="",FALSE,ISNUMBER(VALUE(Metadata!C663))))</f>
        <v>0</v>
      </c>
      <c r="W663">
        <f>AND(IF(Metadata!D663="",FALSE,TRUE),exact(Metadata!D663,"m"))</f>
        <v>0</v>
      </c>
      <c r="X663">
        <f>AND(IF(Metadata!E663="",FALSE,TRUE),OR(exact(Metadata!E663,"aerosol (non-saline)"),exact(Metadata!E663,"aerosol (saline)")))</f>
        <v>0</v>
      </c>
      <c r="Y663">
        <f>AND(IF(Metadata!F663="",FALSE,TRUE),exact(Metadata!F663,"air"))</f>
        <v>0</v>
      </c>
      <c r="Z663">
        <f>AND(IF(Metadata!G663="",FALSE,TRUE),exact(Metadata!G663,"air"))</f>
        <v>0</v>
      </c>
      <c r="AA663">
        <f>AND(IF(Metadata!H663="",FALSE,TRUE),exact(Metadata!H663,"air"))</f>
        <v>0</v>
      </c>
      <c r="AB663">
        <f>AND(IF(Metadata!I663="",FALSE,TRUE),exact(Metadata!I663,"air metagenome"))</f>
        <v>0</v>
      </c>
      <c r="AC663">
        <f>AND(IF(Metadata!J663="",FALSE,TRUE),exact(Metadata!J663,"655179"))</f>
        <v>0</v>
      </c>
    </row>
    <row r="664" spans="1:29">
      <c r="A664" s="5">
        <f>IF(B664=" "," ",HYPERLINK(CONCATENATE("#metadata!",ADDRESS(INDEX($P$2:$P$1001,MATCH(ROWS($N$2:N664),$N$2:$N$1001,0),0),1)),INDEX($S$2:$S$1001,MATCH(ROWS($N$2:N664),$N$2:$N$1001,0),0)))</f>
        <v>0</v>
      </c>
      <c r="B664" s="4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4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4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4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4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4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4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4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4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OR(AND(IF(Metadata!C664="",FALSE,TRUE),OR(exact(Metadata!C664,"not applicable"),exact(Metadata!C664,"not collected"),exact(Metadata!C664,"not provided"),exact(Metadata!C664,"restricted access"))),IF(Metadata!C664="",FALSE,ISNUMBER(VALUE(Metadata!C664))))</f>
        <v>0</v>
      </c>
      <c r="W664">
        <f>AND(IF(Metadata!D664="",FALSE,TRUE),exact(Metadata!D664,"m"))</f>
        <v>0</v>
      </c>
      <c r="X664">
        <f>AND(IF(Metadata!E664="",FALSE,TRUE),OR(exact(Metadata!E664,"aerosol (non-saline)"),exact(Metadata!E664,"aerosol (saline)")))</f>
        <v>0</v>
      </c>
      <c r="Y664">
        <f>AND(IF(Metadata!F664="",FALSE,TRUE),exact(Metadata!F664,"air"))</f>
        <v>0</v>
      </c>
      <c r="Z664">
        <f>AND(IF(Metadata!G664="",FALSE,TRUE),exact(Metadata!G664,"air"))</f>
        <v>0</v>
      </c>
      <c r="AA664">
        <f>AND(IF(Metadata!H664="",FALSE,TRUE),exact(Metadata!H664,"air"))</f>
        <v>0</v>
      </c>
      <c r="AB664">
        <f>AND(IF(Metadata!I664="",FALSE,TRUE),exact(Metadata!I664,"air metagenome"))</f>
        <v>0</v>
      </c>
      <c r="AC664">
        <f>AND(IF(Metadata!J664="",FALSE,TRUE),exact(Metadata!J664,"655179"))</f>
        <v>0</v>
      </c>
    </row>
    <row r="665" spans="1:29">
      <c r="A665" s="5">
        <f>IF(B665=" "," ",HYPERLINK(CONCATENATE("#metadata!",ADDRESS(INDEX($P$2:$P$1001,MATCH(ROWS($N$2:N665),$N$2:$N$1001,0),0),1)),INDEX($S$2:$S$1001,MATCH(ROWS($N$2:N665),$N$2:$N$1001,0),0)))</f>
        <v>0</v>
      </c>
      <c r="B665" s="4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4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4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4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4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4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4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4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4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OR(AND(IF(Metadata!C665="",FALSE,TRUE),OR(exact(Metadata!C665,"not applicable"),exact(Metadata!C665,"not collected"),exact(Metadata!C665,"not provided"),exact(Metadata!C665,"restricted access"))),IF(Metadata!C665="",FALSE,ISNUMBER(VALUE(Metadata!C665))))</f>
        <v>0</v>
      </c>
      <c r="W665">
        <f>AND(IF(Metadata!D665="",FALSE,TRUE),exact(Metadata!D665,"m"))</f>
        <v>0</v>
      </c>
      <c r="X665">
        <f>AND(IF(Metadata!E665="",FALSE,TRUE),OR(exact(Metadata!E665,"aerosol (non-saline)"),exact(Metadata!E665,"aerosol (saline)")))</f>
        <v>0</v>
      </c>
      <c r="Y665">
        <f>AND(IF(Metadata!F665="",FALSE,TRUE),exact(Metadata!F665,"air"))</f>
        <v>0</v>
      </c>
      <c r="Z665">
        <f>AND(IF(Metadata!G665="",FALSE,TRUE),exact(Metadata!G665,"air"))</f>
        <v>0</v>
      </c>
      <c r="AA665">
        <f>AND(IF(Metadata!H665="",FALSE,TRUE),exact(Metadata!H665,"air"))</f>
        <v>0</v>
      </c>
      <c r="AB665">
        <f>AND(IF(Metadata!I665="",FALSE,TRUE),exact(Metadata!I665,"air metagenome"))</f>
        <v>0</v>
      </c>
      <c r="AC665">
        <f>AND(IF(Metadata!J665="",FALSE,TRUE),exact(Metadata!J665,"655179"))</f>
        <v>0</v>
      </c>
    </row>
    <row r="666" spans="1:29">
      <c r="A666" s="5">
        <f>IF(B666=" "," ",HYPERLINK(CONCATENATE("#metadata!",ADDRESS(INDEX($P$2:$P$1001,MATCH(ROWS($N$2:N666),$N$2:$N$1001,0),0),1)),INDEX($S$2:$S$1001,MATCH(ROWS($N$2:N666),$N$2:$N$1001,0),0)))</f>
        <v>0</v>
      </c>
      <c r="B666" s="4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4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4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4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4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4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4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4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4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OR(AND(IF(Metadata!C666="",FALSE,TRUE),OR(exact(Metadata!C666,"not applicable"),exact(Metadata!C666,"not collected"),exact(Metadata!C666,"not provided"),exact(Metadata!C666,"restricted access"))),IF(Metadata!C666="",FALSE,ISNUMBER(VALUE(Metadata!C666))))</f>
        <v>0</v>
      </c>
      <c r="W666">
        <f>AND(IF(Metadata!D666="",FALSE,TRUE),exact(Metadata!D666,"m"))</f>
        <v>0</v>
      </c>
      <c r="X666">
        <f>AND(IF(Metadata!E666="",FALSE,TRUE),OR(exact(Metadata!E666,"aerosol (non-saline)"),exact(Metadata!E666,"aerosol (saline)")))</f>
        <v>0</v>
      </c>
      <c r="Y666">
        <f>AND(IF(Metadata!F666="",FALSE,TRUE),exact(Metadata!F666,"air"))</f>
        <v>0</v>
      </c>
      <c r="Z666">
        <f>AND(IF(Metadata!G666="",FALSE,TRUE),exact(Metadata!G666,"air"))</f>
        <v>0</v>
      </c>
      <c r="AA666">
        <f>AND(IF(Metadata!H666="",FALSE,TRUE),exact(Metadata!H666,"air"))</f>
        <v>0</v>
      </c>
      <c r="AB666">
        <f>AND(IF(Metadata!I666="",FALSE,TRUE),exact(Metadata!I666,"air metagenome"))</f>
        <v>0</v>
      </c>
      <c r="AC666">
        <f>AND(IF(Metadata!J666="",FALSE,TRUE),exact(Metadata!J666,"655179"))</f>
        <v>0</v>
      </c>
    </row>
    <row r="667" spans="1:29">
      <c r="A667" s="5">
        <f>IF(B667=" "," ",HYPERLINK(CONCATENATE("#metadata!",ADDRESS(INDEX($P$2:$P$1001,MATCH(ROWS($N$2:N667),$N$2:$N$1001,0),0),1)),INDEX($S$2:$S$1001,MATCH(ROWS($N$2:N667),$N$2:$N$1001,0),0)))</f>
        <v>0</v>
      </c>
      <c r="B667" s="4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4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4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4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4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4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4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4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4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OR(AND(IF(Metadata!C667="",FALSE,TRUE),OR(exact(Metadata!C667,"not applicable"),exact(Metadata!C667,"not collected"),exact(Metadata!C667,"not provided"),exact(Metadata!C667,"restricted access"))),IF(Metadata!C667="",FALSE,ISNUMBER(VALUE(Metadata!C667))))</f>
        <v>0</v>
      </c>
      <c r="W667">
        <f>AND(IF(Metadata!D667="",FALSE,TRUE),exact(Metadata!D667,"m"))</f>
        <v>0</v>
      </c>
      <c r="X667">
        <f>AND(IF(Metadata!E667="",FALSE,TRUE),OR(exact(Metadata!E667,"aerosol (non-saline)"),exact(Metadata!E667,"aerosol (saline)")))</f>
        <v>0</v>
      </c>
      <c r="Y667">
        <f>AND(IF(Metadata!F667="",FALSE,TRUE),exact(Metadata!F667,"air"))</f>
        <v>0</v>
      </c>
      <c r="Z667">
        <f>AND(IF(Metadata!G667="",FALSE,TRUE),exact(Metadata!G667,"air"))</f>
        <v>0</v>
      </c>
      <c r="AA667">
        <f>AND(IF(Metadata!H667="",FALSE,TRUE),exact(Metadata!H667,"air"))</f>
        <v>0</v>
      </c>
      <c r="AB667">
        <f>AND(IF(Metadata!I667="",FALSE,TRUE),exact(Metadata!I667,"air metagenome"))</f>
        <v>0</v>
      </c>
      <c r="AC667">
        <f>AND(IF(Metadata!J667="",FALSE,TRUE),exact(Metadata!J667,"655179"))</f>
        <v>0</v>
      </c>
    </row>
    <row r="668" spans="1:29">
      <c r="A668" s="5">
        <f>IF(B668=" "," ",HYPERLINK(CONCATENATE("#metadata!",ADDRESS(INDEX($P$2:$P$1001,MATCH(ROWS($N$2:N668),$N$2:$N$1001,0),0),1)),INDEX($S$2:$S$1001,MATCH(ROWS($N$2:N668),$N$2:$N$1001,0),0)))</f>
        <v>0</v>
      </c>
      <c r="B668" s="4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4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4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4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4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4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4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4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4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OR(AND(IF(Metadata!C668="",FALSE,TRUE),OR(exact(Metadata!C668,"not applicable"),exact(Metadata!C668,"not collected"),exact(Metadata!C668,"not provided"),exact(Metadata!C668,"restricted access"))),IF(Metadata!C668="",FALSE,ISNUMBER(VALUE(Metadata!C668))))</f>
        <v>0</v>
      </c>
      <c r="W668">
        <f>AND(IF(Metadata!D668="",FALSE,TRUE),exact(Metadata!D668,"m"))</f>
        <v>0</v>
      </c>
      <c r="X668">
        <f>AND(IF(Metadata!E668="",FALSE,TRUE),OR(exact(Metadata!E668,"aerosol (non-saline)"),exact(Metadata!E668,"aerosol (saline)")))</f>
        <v>0</v>
      </c>
      <c r="Y668">
        <f>AND(IF(Metadata!F668="",FALSE,TRUE),exact(Metadata!F668,"air"))</f>
        <v>0</v>
      </c>
      <c r="Z668">
        <f>AND(IF(Metadata!G668="",FALSE,TRUE),exact(Metadata!G668,"air"))</f>
        <v>0</v>
      </c>
      <c r="AA668">
        <f>AND(IF(Metadata!H668="",FALSE,TRUE),exact(Metadata!H668,"air"))</f>
        <v>0</v>
      </c>
      <c r="AB668">
        <f>AND(IF(Metadata!I668="",FALSE,TRUE),exact(Metadata!I668,"air metagenome"))</f>
        <v>0</v>
      </c>
      <c r="AC668">
        <f>AND(IF(Metadata!J668="",FALSE,TRUE),exact(Metadata!J668,"655179"))</f>
        <v>0</v>
      </c>
    </row>
    <row r="669" spans="1:29">
      <c r="A669" s="5">
        <f>IF(B669=" "," ",HYPERLINK(CONCATENATE("#metadata!",ADDRESS(INDEX($P$2:$P$1001,MATCH(ROWS($N$2:N669),$N$2:$N$1001,0),0),1)),INDEX($S$2:$S$1001,MATCH(ROWS($N$2:N669),$N$2:$N$1001,0),0)))</f>
        <v>0</v>
      </c>
      <c r="B669" s="4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4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4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4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4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4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4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4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4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OR(AND(IF(Metadata!C669="",FALSE,TRUE),OR(exact(Metadata!C669,"not applicable"),exact(Metadata!C669,"not collected"),exact(Metadata!C669,"not provided"),exact(Metadata!C669,"restricted access"))),IF(Metadata!C669="",FALSE,ISNUMBER(VALUE(Metadata!C669))))</f>
        <v>0</v>
      </c>
      <c r="W669">
        <f>AND(IF(Metadata!D669="",FALSE,TRUE),exact(Metadata!D669,"m"))</f>
        <v>0</v>
      </c>
      <c r="X669">
        <f>AND(IF(Metadata!E669="",FALSE,TRUE),OR(exact(Metadata!E669,"aerosol (non-saline)"),exact(Metadata!E669,"aerosol (saline)")))</f>
        <v>0</v>
      </c>
      <c r="Y669">
        <f>AND(IF(Metadata!F669="",FALSE,TRUE),exact(Metadata!F669,"air"))</f>
        <v>0</v>
      </c>
      <c r="Z669">
        <f>AND(IF(Metadata!G669="",FALSE,TRUE),exact(Metadata!G669,"air"))</f>
        <v>0</v>
      </c>
      <c r="AA669">
        <f>AND(IF(Metadata!H669="",FALSE,TRUE),exact(Metadata!H669,"air"))</f>
        <v>0</v>
      </c>
      <c r="AB669">
        <f>AND(IF(Metadata!I669="",FALSE,TRUE),exact(Metadata!I669,"air metagenome"))</f>
        <v>0</v>
      </c>
      <c r="AC669">
        <f>AND(IF(Metadata!J669="",FALSE,TRUE),exact(Metadata!J669,"655179"))</f>
        <v>0</v>
      </c>
    </row>
    <row r="670" spans="1:29">
      <c r="A670" s="5">
        <f>IF(B670=" "," ",HYPERLINK(CONCATENATE("#metadata!",ADDRESS(INDEX($P$2:$P$1001,MATCH(ROWS($N$2:N670),$N$2:$N$1001,0),0),1)),INDEX($S$2:$S$1001,MATCH(ROWS($N$2:N670),$N$2:$N$1001,0),0)))</f>
        <v>0</v>
      </c>
      <c r="B670" s="4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4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4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4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4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4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4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4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4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OR(AND(IF(Metadata!C670="",FALSE,TRUE),OR(exact(Metadata!C670,"not applicable"),exact(Metadata!C670,"not collected"),exact(Metadata!C670,"not provided"),exact(Metadata!C670,"restricted access"))),IF(Metadata!C670="",FALSE,ISNUMBER(VALUE(Metadata!C670))))</f>
        <v>0</v>
      </c>
      <c r="W670">
        <f>AND(IF(Metadata!D670="",FALSE,TRUE),exact(Metadata!D670,"m"))</f>
        <v>0</v>
      </c>
      <c r="X670">
        <f>AND(IF(Metadata!E670="",FALSE,TRUE),OR(exact(Metadata!E670,"aerosol (non-saline)"),exact(Metadata!E670,"aerosol (saline)")))</f>
        <v>0</v>
      </c>
      <c r="Y670">
        <f>AND(IF(Metadata!F670="",FALSE,TRUE),exact(Metadata!F670,"air"))</f>
        <v>0</v>
      </c>
      <c r="Z670">
        <f>AND(IF(Metadata!G670="",FALSE,TRUE),exact(Metadata!G670,"air"))</f>
        <v>0</v>
      </c>
      <c r="AA670">
        <f>AND(IF(Metadata!H670="",FALSE,TRUE),exact(Metadata!H670,"air"))</f>
        <v>0</v>
      </c>
      <c r="AB670">
        <f>AND(IF(Metadata!I670="",FALSE,TRUE),exact(Metadata!I670,"air metagenome"))</f>
        <v>0</v>
      </c>
      <c r="AC670">
        <f>AND(IF(Metadata!J670="",FALSE,TRUE),exact(Metadata!J670,"655179"))</f>
        <v>0</v>
      </c>
    </row>
    <row r="671" spans="1:29">
      <c r="A671" s="5">
        <f>IF(B671=" "," ",HYPERLINK(CONCATENATE("#metadata!",ADDRESS(INDEX($P$2:$P$1001,MATCH(ROWS($N$2:N671),$N$2:$N$1001,0),0),1)),INDEX($S$2:$S$1001,MATCH(ROWS($N$2:N671),$N$2:$N$1001,0),0)))</f>
        <v>0</v>
      </c>
      <c r="B671" s="4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4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4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4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4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4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4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4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4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OR(AND(IF(Metadata!C671="",FALSE,TRUE),OR(exact(Metadata!C671,"not applicable"),exact(Metadata!C671,"not collected"),exact(Metadata!C671,"not provided"),exact(Metadata!C671,"restricted access"))),IF(Metadata!C671="",FALSE,ISNUMBER(VALUE(Metadata!C671))))</f>
        <v>0</v>
      </c>
      <c r="W671">
        <f>AND(IF(Metadata!D671="",FALSE,TRUE),exact(Metadata!D671,"m"))</f>
        <v>0</v>
      </c>
      <c r="X671">
        <f>AND(IF(Metadata!E671="",FALSE,TRUE),OR(exact(Metadata!E671,"aerosol (non-saline)"),exact(Metadata!E671,"aerosol (saline)")))</f>
        <v>0</v>
      </c>
      <c r="Y671">
        <f>AND(IF(Metadata!F671="",FALSE,TRUE),exact(Metadata!F671,"air"))</f>
        <v>0</v>
      </c>
      <c r="Z671">
        <f>AND(IF(Metadata!G671="",FALSE,TRUE),exact(Metadata!G671,"air"))</f>
        <v>0</v>
      </c>
      <c r="AA671">
        <f>AND(IF(Metadata!H671="",FALSE,TRUE),exact(Metadata!H671,"air"))</f>
        <v>0</v>
      </c>
      <c r="AB671">
        <f>AND(IF(Metadata!I671="",FALSE,TRUE),exact(Metadata!I671,"air metagenome"))</f>
        <v>0</v>
      </c>
      <c r="AC671">
        <f>AND(IF(Metadata!J671="",FALSE,TRUE),exact(Metadata!J671,"655179"))</f>
        <v>0</v>
      </c>
    </row>
    <row r="672" spans="1:29">
      <c r="A672" s="5">
        <f>IF(B672=" "," ",HYPERLINK(CONCATENATE("#metadata!",ADDRESS(INDEX($P$2:$P$1001,MATCH(ROWS($N$2:N672),$N$2:$N$1001,0),0),1)),INDEX($S$2:$S$1001,MATCH(ROWS($N$2:N672),$N$2:$N$1001,0),0)))</f>
        <v>0</v>
      </c>
      <c r="B672" s="4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4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4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4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4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4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4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4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4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OR(AND(IF(Metadata!C672="",FALSE,TRUE),OR(exact(Metadata!C672,"not applicable"),exact(Metadata!C672,"not collected"),exact(Metadata!C672,"not provided"),exact(Metadata!C672,"restricted access"))),IF(Metadata!C672="",FALSE,ISNUMBER(VALUE(Metadata!C672))))</f>
        <v>0</v>
      </c>
      <c r="W672">
        <f>AND(IF(Metadata!D672="",FALSE,TRUE),exact(Metadata!D672,"m"))</f>
        <v>0</v>
      </c>
      <c r="X672">
        <f>AND(IF(Metadata!E672="",FALSE,TRUE),OR(exact(Metadata!E672,"aerosol (non-saline)"),exact(Metadata!E672,"aerosol (saline)")))</f>
        <v>0</v>
      </c>
      <c r="Y672">
        <f>AND(IF(Metadata!F672="",FALSE,TRUE),exact(Metadata!F672,"air"))</f>
        <v>0</v>
      </c>
      <c r="Z672">
        <f>AND(IF(Metadata!G672="",FALSE,TRUE),exact(Metadata!G672,"air"))</f>
        <v>0</v>
      </c>
      <c r="AA672">
        <f>AND(IF(Metadata!H672="",FALSE,TRUE),exact(Metadata!H672,"air"))</f>
        <v>0</v>
      </c>
      <c r="AB672">
        <f>AND(IF(Metadata!I672="",FALSE,TRUE),exact(Metadata!I672,"air metagenome"))</f>
        <v>0</v>
      </c>
      <c r="AC672">
        <f>AND(IF(Metadata!J672="",FALSE,TRUE),exact(Metadata!J672,"655179"))</f>
        <v>0</v>
      </c>
    </row>
    <row r="673" spans="1:29">
      <c r="A673" s="5">
        <f>IF(B673=" "," ",HYPERLINK(CONCATENATE("#metadata!",ADDRESS(INDEX($P$2:$P$1001,MATCH(ROWS($N$2:N673),$N$2:$N$1001,0),0),1)),INDEX($S$2:$S$1001,MATCH(ROWS($N$2:N673),$N$2:$N$1001,0),0)))</f>
        <v>0</v>
      </c>
      <c r="B673" s="4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4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4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4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4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4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4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4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4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OR(AND(IF(Metadata!C673="",FALSE,TRUE),OR(exact(Metadata!C673,"not applicable"),exact(Metadata!C673,"not collected"),exact(Metadata!C673,"not provided"),exact(Metadata!C673,"restricted access"))),IF(Metadata!C673="",FALSE,ISNUMBER(VALUE(Metadata!C673))))</f>
        <v>0</v>
      </c>
      <c r="W673">
        <f>AND(IF(Metadata!D673="",FALSE,TRUE),exact(Metadata!D673,"m"))</f>
        <v>0</v>
      </c>
      <c r="X673">
        <f>AND(IF(Metadata!E673="",FALSE,TRUE),OR(exact(Metadata!E673,"aerosol (non-saline)"),exact(Metadata!E673,"aerosol (saline)")))</f>
        <v>0</v>
      </c>
      <c r="Y673">
        <f>AND(IF(Metadata!F673="",FALSE,TRUE),exact(Metadata!F673,"air"))</f>
        <v>0</v>
      </c>
      <c r="Z673">
        <f>AND(IF(Metadata!G673="",FALSE,TRUE),exact(Metadata!G673,"air"))</f>
        <v>0</v>
      </c>
      <c r="AA673">
        <f>AND(IF(Metadata!H673="",FALSE,TRUE),exact(Metadata!H673,"air"))</f>
        <v>0</v>
      </c>
      <c r="AB673">
        <f>AND(IF(Metadata!I673="",FALSE,TRUE),exact(Metadata!I673,"air metagenome"))</f>
        <v>0</v>
      </c>
      <c r="AC673">
        <f>AND(IF(Metadata!J673="",FALSE,TRUE),exact(Metadata!J673,"655179"))</f>
        <v>0</v>
      </c>
    </row>
    <row r="674" spans="1:29">
      <c r="A674" s="5">
        <f>IF(B674=" "," ",HYPERLINK(CONCATENATE("#metadata!",ADDRESS(INDEX($P$2:$P$1001,MATCH(ROWS($N$2:N674),$N$2:$N$1001,0),0),1)),INDEX($S$2:$S$1001,MATCH(ROWS($N$2:N674),$N$2:$N$1001,0),0)))</f>
        <v>0</v>
      </c>
      <c r="B674" s="4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4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4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4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4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4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4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4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4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OR(AND(IF(Metadata!C674="",FALSE,TRUE),OR(exact(Metadata!C674,"not applicable"),exact(Metadata!C674,"not collected"),exact(Metadata!C674,"not provided"),exact(Metadata!C674,"restricted access"))),IF(Metadata!C674="",FALSE,ISNUMBER(VALUE(Metadata!C674))))</f>
        <v>0</v>
      </c>
      <c r="W674">
        <f>AND(IF(Metadata!D674="",FALSE,TRUE),exact(Metadata!D674,"m"))</f>
        <v>0</v>
      </c>
      <c r="X674">
        <f>AND(IF(Metadata!E674="",FALSE,TRUE),OR(exact(Metadata!E674,"aerosol (non-saline)"),exact(Metadata!E674,"aerosol (saline)")))</f>
        <v>0</v>
      </c>
      <c r="Y674">
        <f>AND(IF(Metadata!F674="",FALSE,TRUE),exact(Metadata!F674,"air"))</f>
        <v>0</v>
      </c>
      <c r="Z674">
        <f>AND(IF(Metadata!G674="",FALSE,TRUE),exact(Metadata!G674,"air"))</f>
        <v>0</v>
      </c>
      <c r="AA674">
        <f>AND(IF(Metadata!H674="",FALSE,TRUE),exact(Metadata!H674,"air"))</f>
        <v>0</v>
      </c>
      <c r="AB674">
        <f>AND(IF(Metadata!I674="",FALSE,TRUE),exact(Metadata!I674,"air metagenome"))</f>
        <v>0</v>
      </c>
      <c r="AC674">
        <f>AND(IF(Metadata!J674="",FALSE,TRUE),exact(Metadata!J674,"655179"))</f>
        <v>0</v>
      </c>
    </row>
    <row r="675" spans="1:29">
      <c r="A675" s="5">
        <f>IF(B675=" "," ",HYPERLINK(CONCATENATE("#metadata!",ADDRESS(INDEX($P$2:$P$1001,MATCH(ROWS($N$2:N675),$N$2:$N$1001,0),0),1)),INDEX($S$2:$S$1001,MATCH(ROWS($N$2:N675),$N$2:$N$1001,0),0)))</f>
        <v>0</v>
      </c>
      <c r="B675" s="4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4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4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4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4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4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4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4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4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OR(AND(IF(Metadata!C675="",FALSE,TRUE),OR(exact(Metadata!C675,"not applicable"),exact(Metadata!C675,"not collected"),exact(Metadata!C675,"not provided"),exact(Metadata!C675,"restricted access"))),IF(Metadata!C675="",FALSE,ISNUMBER(VALUE(Metadata!C675))))</f>
        <v>0</v>
      </c>
      <c r="W675">
        <f>AND(IF(Metadata!D675="",FALSE,TRUE),exact(Metadata!D675,"m"))</f>
        <v>0</v>
      </c>
      <c r="X675">
        <f>AND(IF(Metadata!E675="",FALSE,TRUE),OR(exact(Metadata!E675,"aerosol (non-saline)"),exact(Metadata!E675,"aerosol (saline)")))</f>
        <v>0</v>
      </c>
      <c r="Y675">
        <f>AND(IF(Metadata!F675="",FALSE,TRUE),exact(Metadata!F675,"air"))</f>
        <v>0</v>
      </c>
      <c r="Z675">
        <f>AND(IF(Metadata!G675="",FALSE,TRUE),exact(Metadata!G675,"air"))</f>
        <v>0</v>
      </c>
      <c r="AA675">
        <f>AND(IF(Metadata!H675="",FALSE,TRUE),exact(Metadata!H675,"air"))</f>
        <v>0</v>
      </c>
      <c r="AB675">
        <f>AND(IF(Metadata!I675="",FALSE,TRUE),exact(Metadata!I675,"air metagenome"))</f>
        <v>0</v>
      </c>
      <c r="AC675">
        <f>AND(IF(Metadata!J675="",FALSE,TRUE),exact(Metadata!J675,"655179"))</f>
        <v>0</v>
      </c>
    </row>
    <row r="676" spans="1:29">
      <c r="A676" s="5">
        <f>IF(B676=" "," ",HYPERLINK(CONCATENATE("#metadata!",ADDRESS(INDEX($P$2:$P$1001,MATCH(ROWS($N$2:N676),$N$2:$N$1001,0),0),1)),INDEX($S$2:$S$1001,MATCH(ROWS($N$2:N676),$N$2:$N$1001,0),0)))</f>
        <v>0</v>
      </c>
      <c r="B676" s="4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4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4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4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4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4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4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4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4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OR(AND(IF(Metadata!C676="",FALSE,TRUE),OR(exact(Metadata!C676,"not applicable"),exact(Metadata!C676,"not collected"),exact(Metadata!C676,"not provided"),exact(Metadata!C676,"restricted access"))),IF(Metadata!C676="",FALSE,ISNUMBER(VALUE(Metadata!C676))))</f>
        <v>0</v>
      </c>
      <c r="W676">
        <f>AND(IF(Metadata!D676="",FALSE,TRUE),exact(Metadata!D676,"m"))</f>
        <v>0</v>
      </c>
      <c r="X676">
        <f>AND(IF(Metadata!E676="",FALSE,TRUE),OR(exact(Metadata!E676,"aerosol (non-saline)"),exact(Metadata!E676,"aerosol (saline)")))</f>
        <v>0</v>
      </c>
      <c r="Y676">
        <f>AND(IF(Metadata!F676="",FALSE,TRUE),exact(Metadata!F676,"air"))</f>
        <v>0</v>
      </c>
      <c r="Z676">
        <f>AND(IF(Metadata!G676="",FALSE,TRUE),exact(Metadata!G676,"air"))</f>
        <v>0</v>
      </c>
      <c r="AA676">
        <f>AND(IF(Metadata!H676="",FALSE,TRUE),exact(Metadata!H676,"air"))</f>
        <v>0</v>
      </c>
      <c r="AB676">
        <f>AND(IF(Metadata!I676="",FALSE,TRUE),exact(Metadata!I676,"air metagenome"))</f>
        <v>0</v>
      </c>
      <c r="AC676">
        <f>AND(IF(Metadata!J676="",FALSE,TRUE),exact(Metadata!J676,"655179"))</f>
        <v>0</v>
      </c>
    </row>
    <row r="677" spans="1:29">
      <c r="A677" s="5">
        <f>IF(B677=" "," ",HYPERLINK(CONCATENATE("#metadata!",ADDRESS(INDEX($P$2:$P$1001,MATCH(ROWS($N$2:N677),$N$2:$N$1001,0),0),1)),INDEX($S$2:$S$1001,MATCH(ROWS($N$2:N677),$N$2:$N$1001,0),0)))</f>
        <v>0</v>
      </c>
      <c r="B677" s="4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4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4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4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4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4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4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4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4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OR(AND(IF(Metadata!C677="",FALSE,TRUE),OR(exact(Metadata!C677,"not applicable"),exact(Metadata!C677,"not collected"),exact(Metadata!C677,"not provided"),exact(Metadata!C677,"restricted access"))),IF(Metadata!C677="",FALSE,ISNUMBER(VALUE(Metadata!C677))))</f>
        <v>0</v>
      </c>
      <c r="W677">
        <f>AND(IF(Metadata!D677="",FALSE,TRUE),exact(Metadata!D677,"m"))</f>
        <v>0</v>
      </c>
      <c r="X677">
        <f>AND(IF(Metadata!E677="",FALSE,TRUE),OR(exact(Metadata!E677,"aerosol (non-saline)"),exact(Metadata!E677,"aerosol (saline)")))</f>
        <v>0</v>
      </c>
      <c r="Y677">
        <f>AND(IF(Metadata!F677="",FALSE,TRUE),exact(Metadata!F677,"air"))</f>
        <v>0</v>
      </c>
      <c r="Z677">
        <f>AND(IF(Metadata!G677="",FALSE,TRUE),exact(Metadata!G677,"air"))</f>
        <v>0</v>
      </c>
      <c r="AA677">
        <f>AND(IF(Metadata!H677="",FALSE,TRUE),exact(Metadata!H677,"air"))</f>
        <v>0</v>
      </c>
      <c r="AB677">
        <f>AND(IF(Metadata!I677="",FALSE,TRUE),exact(Metadata!I677,"air metagenome"))</f>
        <v>0</v>
      </c>
      <c r="AC677">
        <f>AND(IF(Metadata!J677="",FALSE,TRUE),exact(Metadata!J677,"655179"))</f>
        <v>0</v>
      </c>
    </row>
    <row r="678" spans="1:29">
      <c r="A678" s="5">
        <f>IF(B678=" "," ",HYPERLINK(CONCATENATE("#metadata!",ADDRESS(INDEX($P$2:$P$1001,MATCH(ROWS($N$2:N678),$N$2:$N$1001,0),0),1)),INDEX($S$2:$S$1001,MATCH(ROWS($N$2:N678),$N$2:$N$1001,0),0)))</f>
        <v>0</v>
      </c>
      <c r="B678" s="4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4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4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4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4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4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4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4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4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OR(AND(IF(Metadata!C678="",FALSE,TRUE),OR(exact(Metadata!C678,"not applicable"),exact(Metadata!C678,"not collected"),exact(Metadata!C678,"not provided"),exact(Metadata!C678,"restricted access"))),IF(Metadata!C678="",FALSE,ISNUMBER(VALUE(Metadata!C678))))</f>
        <v>0</v>
      </c>
      <c r="W678">
        <f>AND(IF(Metadata!D678="",FALSE,TRUE),exact(Metadata!D678,"m"))</f>
        <v>0</v>
      </c>
      <c r="X678">
        <f>AND(IF(Metadata!E678="",FALSE,TRUE),OR(exact(Metadata!E678,"aerosol (non-saline)"),exact(Metadata!E678,"aerosol (saline)")))</f>
        <v>0</v>
      </c>
      <c r="Y678">
        <f>AND(IF(Metadata!F678="",FALSE,TRUE),exact(Metadata!F678,"air"))</f>
        <v>0</v>
      </c>
      <c r="Z678">
        <f>AND(IF(Metadata!G678="",FALSE,TRUE),exact(Metadata!G678,"air"))</f>
        <v>0</v>
      </c>
      <c r="AA678">
        <f>AND(IF(Metadata!H678="",FALSE,TRUE),exact(Metadata!H678,"air"))</f>
        <v>0</v>
      </c>
      <c r="AB678">
        <f>AND(IF(Metadata!I678="",FALSE,TRUE),exact(Metadata!I678,"air metagenome"))</f>
        <v>0</v>
      </c>
      <c r="AC678">
        <f>AND(IF(Metadata!J678="",FALSE,TRUE),exact(Metadata!J678,"655179"))</f>
        <v>0</v>
      </c>
    </row>
    <row r="679" spans="1:29">
      <c r="A679" s="5">
        <f>IF(B679=" "," ",HYPERLINK(CONCATENATE("#metadata!",ADDRESS(INDEX($P$2:$P$1001,MATCH(ROWS($N$2:N679),$N$2:$N$1001,0),0),1)),INDEX($S$2:$S$1001,MATCH(ROWS($N$2:N679),$N$2:$N$1001,0),0)))</f>
        <v>0</v>
      </c>
      <c r="B679" s="4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4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4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4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4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4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4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4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4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OR(AND(IF(Metadata!C679="",FALSE,TRUE),OR(exact(Metadata!C679,"not applicable"),exact(Metadata!C679,"not collected"),exact(Metadata!C679,"not provided"),exact(Metadata!C679,"restricted access"))),IF(Metadata!C679="",FALSE,ISNUMBER(VALUE(Metadata!C679))))</f>
        <v>0</v>
      </c>
      <c r="W679">
        <f>AND(IF(Metadata!D679="",FALSE,TRUE),exact(Metadata!D679,"m"))</f>
        <v>0</v>
      </c>
      <c r="X679">
        <f>AND(IF(Metadata!E679="",FALSE,TRUE),OR(exact(Metadata!E679,"aerosol (non-saline)"),exact(Metadata!E679,"aerosol (saline)")))</f>
        <v>0</v>
      </c>
      <c r="Y679">
        <f>AND(IF(Metadata!F679="",FALSE,TRUE),exact(Metadata!F679,"air"))</f>
        <v>0</v>
      </c>
      <c r="Z679">
        <f>AND(IF(Metadata!G679="",FALSE,TRUE),exact(Metadata!G679,"air"))</f>
        <v>0</v>
      </c>
      <c r="AA679">
        <f>AND(IF(Metadata!H679="",FALSE,TRUE),exact(Metadata!H679,"air"))</f>
        <v>0</v>
      </c>
      <c r="AB679">
        <f>AND(IF(Metadata!I679="",FALSE,TRUE),exact(Metadata!I679,"air metagenome"))</f>
        <v>0</v>
      </c>
      <c r="AC679">
        <f>AND(IF(Metadata!J679="",FALSE,TRUE),exact(Metadata!J679,"655179"))</f>
        <v>0</v>
      </c>
    </row>
    <row r="680" spans="1:29">
      <c r="A680" s="5">
        <f>IF(B680=" "," ",HYPERLINK(CONCATENATE("#metadata!",ADDRESS(INDEX($P$2:$P$1001,MATCH(ROWS($N$2:N680),$N$2:$N$1001,0),0),1)),INDEX($S$2:$S$1001,MATCH(ROWS($N$2:N680),$N$2:$N$1001,0),0)))</f>
        <v>0</v>
      </c>
      <c r="B680" s="4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4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4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4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4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4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4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4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4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OR(AND(IF(Metadata!C680="",FALSE,TRUE),OR(exact(Metadata!C680,"not applicable"),exact(Metadata!C680,"not collected"),exact(Metadata!C680,"not provided"),exact(Metadata!C680,"restricted access"))),IF(Metadata!C680="",FALSE,ISNUMBER(VALUE(Metadata!C680))))</f>
        <v>0</v>
      </c>
      <c r="W680">
        <f>AND(IF(Metadata!D680="",FALSE,TRUE),exact(Metadata!D680,"m"))</f>
        <v>0</v>
      </c>
      <c r="X680">
        <f>AND(IF(Metadata!E680="",FALSE,TRUE),OR(exact(Metadata!E680,"aerosol (non-saline)"),exact(Metadata!E680,"aerosol (saline)")))</f>
        <v>0</v>
      </c>
      <c r="Y680">
        <f>AND(IF(Metadata!F680="",FALSE,TRUE),exact(Metadata!F680,"air"))</f>
        <v>0</v>
      </c>
      <c r="Z680">
        <f>AND(IF(Metadata!G680="",FALSE,TRUE),exact(Metadata!G680,"air"))</f>
        <v>0</v>
      </c>
      <c r="AA680">
        <f>AND(IF(Metadata!H680="",FALSE,TRUE),exact(Metadata!H680,"air"))</f>
        <v>0</v>
      </c>
      <c r="AB680">
        <f>AND(IF(Metadata!I680="",FALSE,TRUE),exact(Metadata!I680,"air metagenome"))</f>
        <v>0</v>
      </c>
      <c r="AC680">
        <f>AND(IF(Metadata!J680="",FALSE,TRUE),exact(Metadata!J680,"655179"))</f>
        <v>0</v>
      </c>
    </row>
    <row r="681" spans="1:29">
      <c r="A681" s="5">
        <f>IF(B681=" "," ",HYPERLINK(CONCATENATE("#metadata!",ADDRESS(INDEX($P$2:$P$1001,MATCH(ROWS($N$2:N681),$N$2:$N$1001,0),0),1)),INDEX($S$2:$S$1001,MATCH(ROWS($N$2:N681),$N$2:$N$1001,0),0)))</f>
        <v>0</v>
      </c>
      <c r="B681" s="4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4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4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4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4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4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4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4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4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OR(AND(IF(Metadata!C681="",FALSE,TRUE),OR(exact(Metadata!C681,"not applicable"),exact(Metadata!C681,"not collected"),exact(Metadata!C681,"not provided"),exact(Metadata!C681,"restricted access"))),IF(Metadata!C681="",FALSE,ISNUMBER(VALUE(Metadata!C681))))</f>
        <v>0</v>
      </c>
      <c r="W681">
        <f>AND(IF(Metadata!D681="",FALSE,TRUE),exact(Metadata!D681,"m"))</f>
        <v>0</v>
      </c>
      <c r="X681">
        <f>AND(IF(Metadata!E681="",FALSE,TRUE),OR(exact(Metadata!E681,"aerosol (non-saline)"),exact(Metadata!E681,"aerosol (saline)")))</f>
        <v>0</v>
      </c>
      <c r="Y681">
        <f>AND(IF(Metadata!F681="",FALSE,TRUE),exact(Metadata!F681,"air"))</f>
        <v>0</v>
      </c>
      <c r="Z681">
        <f>AND(IF(Metadata!G681="",FALSE,TRUE),exact(Metadata!G681,"air"))</f>
        <v>0</v>
      </c>
      <c r="AA681">
        <f>AND(IF(Metadata!H681="",FALSE,TRUE),exact(Metadata!H681,"air"))</f>
        <v>0</v>
      </c>
      <c r="AB681">
        <f>AND(IF(Metadata!I681="",FALSE,TRUE),exact(Metadata!I681,"air metagenome"))</f>
        <v>0</v>
      </c>
      <c r="AC681">
        <f>AND(IF(Metadata!J681="",FALSE,TRUE),exact(Metadata!J681,"655179"))</f>
        <v>0</v>
      </c>
    </row>
    <row r="682" spans="1:29">
      <c r="A682" s="5">
        <f>IF(B682=" "," ",HYPERLINK(CONCATENATE("#metadata!",ADDRESS(INDEX($P$2:$P$1001,MATCH(ROWS($N$2:N682),$N$2:$N$1001,0),0),1)),INDEX($S$2:$S$1001,MATCH(ROWS($N$2:N682),$N$2:$N$1001,0),0)))</f>
        <v>0</v>
      </c>
      <c r="B682" s="4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4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4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4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4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4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4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4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4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OR(AND(IF(Metadata!C682="",FALSE,TRUE),OR(exact(Metadata!C682,"not applicable"),exact(Metadata!C682,"not collected"),exact(Metadata!C682,"not provided"),exact(Metadata!C682,"restricted access"))),IF(Metadata!C682="",FALSE,ISNUMBER(VALUE(Metadata!C682))))</f>
        <v>0</v>
      </c>
      <c r="W682">
        <f>AND(IF(Metadata!D682="",FALSE,TRUE),exact(Metadata!D682,"m"))</f>
        <v>0</v>
      </c>
      <c r="X682">
        <f>AND(IF(Metadata!E682="",FALSE,TRUE),OR(exact(Metadata!E682,"aerosol (non-saline)"),exact(Metadata!E682,"aerosol (saline)")))</f>
        <v>0</v>
      </c>
      <c r="Y682">
        <f>AND(IF(Metadata!F682="",FALSE,TRUE),exact(Metadata!F682,"air"))</f>
        <v>0</v>
      </c>
      <c r="Z682">
        <f>AND(IF(Metadata!G682="",FALSE,TRUE),exact(Metadata!G682,"air"))</f>
        <v>0</v>
      </c>
      <c r="AA682">
        <f>AND(IF(Metadata!H682="",FALSE,TRUE),exact(Metadata!H682,"air"))</f>
        <v>0</v>
      </c>
      <c r="AB682">
        <f>AND(IF(Metadata!I682="",FALSE,TRUE),exact(Metadata!I682,"air metagenome"))</f>
        <v>0</v>
      </c>
      <c r="AC682">
        <f>AND(IF(Metadata!J682="",FALSE,TRUE),exact(Metadata!J682,"655179"))</f>
        <v>0</v>
      </c>
    </row>
    <row r="683" spans="1:29">
      <c r="A683" s="5">
        <f>IF(B683=" "," ",HYPERLINK(CONCATENATE("#metadata!",ADDRESS(INDEX($P$2:$P$1001,MATCH(ROWS($N$2:N683),$N$2:$N$1001,0),0),1)),INDEX($S$2:$S$1001,MATCH(ROWS($N$2:N683),$N$2:$N$1001,0),0)))</f>
        <v>0</v>
      </c>
      <c r="B683" s="4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4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4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4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4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4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4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4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4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OR(AND(IF(Metadata!C683="",FALSE,TRUE),OR(exact(Metadata!C683,"not applicable"),exact(Metadata!C683,"not collected"),exact(Metadata!C683,"not provided"),exact(Metadata!C683,"restricted access"))),IF(Metadata!C683="",FALSE,ISNUMBER(VALUE(Metadata!C683))))</f>
        <v>0</v>
      </c>
      <c r="W683">
        <f>AND(IF(Metadata!D683="",FALSE,TRUE),exact(Metadata!D683,"m"))</f>
        <v>0</v>
      </c>
      <c r="X683">
        <f>AND(IF(Metadata!E683="",FALSE,TRUE),OR(exact(Metadata!E683,"aerosol (non-saline)"),exact(Metadata!E683,"aerosol (saline)")))</f>
        <v>0</v>
      </c>
      <c r="Y683">
        <f>AND(IF(Metadata!F683="",FALSE,TRUE),exact(Metadata!F683,"air"))</f>
        <v>0</v>
      </c>
      <c r="Z683">
        <f>AND(IF(Metadata!G683="",FALSE,TRUE),exact(Metadata!G683,"air"))</f>
        <v>0</v>
      </c>
      <c r="AA683">
        <f>AND(IF(Metadata!H683="",FALSE,TRUE),exact(Metadata!H683,"air"))</f>
        <v>0</v>
      </c>
      <c r="AB683">
        <f>AND(IF(Metadata!I683="",FALSE,TRUE),exact(Metadata!I683,"air metagenome"))</f>
        <v>0</v>
      </c>
      <c r="AC683">
        <f>AND(IF(Metadata!J683="",FALSE,TRUE),exact(Metadata!J683,"655179"))</f>
        <v>0</v>
      </c>
    </row>
    <row r="684" spans="1:29">
      <c r="A684" s="5">
        <f>IF(B684=" "," ",HYPERLINK(CONCATENATE("#metadata!",ADDRESS(INDEX($P$2:$P$1001,MATCH(ROWS($N$2:N684),$N$2:$N$1001,0),0),1)),INDEX($S$2:$S$1001,MATCH(ROWS($N$2:N684),$N$2:$N$1001,0),0)))</f>
        <v>0</v>
      </c>
      <c r="B684" s="4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4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4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4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4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4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4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4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4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OR(AND(IF(Metadata!C684="",FALSE,TRUE),OR(exact(Metadata!C684,"not applicable"),exact(Metadata!C684,"not collected"),exact(Metadata!C684,"not provided"),exact(Metadata!C684,"restricted access"))),IF(Metadata!C684="",FALSE,ISNUMBER(VALUE(Metadata!C684))))</f>
        <v>0</v>
      </c>
      <c r="W684">
        <f>AND(IF(Metadata!D684="",FALSE,TRUE),exact(Metadata!D684,"m"))</f>
        <v>0</v>
      </c>
      <c r="X684">
        <f>AND(IF(Metadata!E684="",FALSE,TRUE),OR(exact(Metadata!E684,"aerosol (non-saline)"),exact(Metadata!E684,"aerosol (saline)")))</f>
        <v>0</v>
      </c>
      <c r="Y684">
        <f>AND(IF(Metadata!F684="",FALSE,TRUE),exact(Metadata!F684,"air"))</f>
        <v>0</v>
      </c>
      <c r="Z684">
        <f>AND(IF(Metadata!G684="",FALSE,TRUE),exact(Metadata!G684,"air"))</f>
        <v>0</v>
      </c>
      <c r="AA684">
        <f>AND(IF(Metadata!H684="",FALSE,TRUE),exact(Metadata!H684,"air"))</f>
        <v>0</v>
      </c>
      <c r="AB684">
        <f>AND(IF(Metadata!I684="",FALSE,TRUE),exact(Metadata!I684,"air metagenome"))</f>
        <v>0</v>
      </c>
      <c r="AC684">
        <f>AND(IF(Metadata!J684="",FALSE,TRUE),exact(Metadata!J684,"655179"))</f>
        <v>0</v>
      </c>
    </row>
    <row r="685" spans="1:29">
      <c r="A685" s="5">
        <f>IF(B685=" "," ",HYPERLINK(CONCATENATE("#metadata!",ADDRESS(INDEX($P$2:$P$1001,MATCH(ROWS($N$2:N685),$N$2:$N$1001,0),0),1)),INDEX($S$2:$S$1001,MATCH(ROWS($N$2:N685),$N$2:$N$1001,0),0)))</f>
        <v>0</v>
      </c>
      <c r="B685" s="4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4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4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4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4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4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4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4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4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OR(AND(IF(Metadata!C685="",FALSE,TRUE),OR(exact(Metadata!C685,"not applicable"),exact(Metadata!C685,"not collected"),exact(Metadata!C685,"not provided"),exact(Metadata!C685,"restricted access"))),IF(Metadata!C685="",FALSE,ISNUMBER(VALUE(Metadata!C685))))</f>
        <v>0</v>
      </c>
      <c r="W685">
        <f>AND(IF(Metadata!D685="",FALSE,TRUE),exact(Metadata!D685,"m"))</f>
        <v>0</v>
      </c>
      <c r="X685">
        <f>AND(IF(Metadata!E685="",FALSE,TRUE),OR(exact(Metadata!E685,"aerosol (non-saline)"),exact(Metadata!E685,"aerosol (saline)")))</f>
        <v>0</v>
      </c>
      <c r="Y685">
        <f>AND(IF(Metadata!F685="",FALSE,TRUE),exact(Metadata!F685,"air"))</f>
        <v>0</v>
      </c>
      <c r="Z685">
        <f>AND(IF(Metadata!G685="",FALSE,TRUE),exact(Metadata!G685,"air"))</f>
        <v>0</v>
      </c>
      <c r="AA685">
        <f>AND(IF(Metadata!H685="",FALSE,TRUE),exact(Metadata!H685,"air"))</f>
        <v>0</v>
      </c>
      <c r="AB685">
        <f>AND(IF(Metadata!I685="",FALSE,TRUE),exact(Metadata!I685,"air metagenome"))</f>
        <v>0</v>
      </c>
      <c r="AC685">
        <f>AND(IF(Metadata!J685="",FALSE,TRUE),exact(Metadata!J685,"655179"))</f>
        <v>0</v>
      </c>
    </row>
    <row r="686" spans="1:29">
      <c r="A686" s="5">
        <f>IF(B686=" "," ",HYPERLINK(CONCATENATE("#metadata!",ADDRESS(INDEX($P$2:$P$1001,MATCH(ROWS($N$2:N686),$N$2:$N$1001,0),0),1)),INDEX($S$2:$S$1001,MATCH(ROWS($N$2:N686),$N$2:$N$1001,0),0)))</f>
        <v>0</v>
      </c>
      <c r="B686" s="4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4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4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4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4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4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4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4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4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OR(AND(IF(Metadata!C686="",FALSE,TRUE),OR(exact(Metadata!C686,"not applicable"),exact(Metadata!C686,"not collected"),exact(Metadata!C686,"not provided"),exact(Metadata!C686,"restricted access"))),IF(Metadata!C686="",FALSE,ISNUMBER(VALUE(Metadata!C686))))</f>
        <v>0</v>
      </c>
      <c r="W686">
        <f>AND(IF(Metadata!D686="",FALSE,TRUE),exact(Metadata!D686,"m"))</f>
        <v>0</v>
      </c>
      <c r="X686">
        <f>AND(IF(Metadata!E686="",FALSE,TRUE),OR(exact(Metadata!E686,"aerosol (non-saline)"),exact(Metadata!E686,"aerosol (saline)")))</f>
        <v>0</v>
      </c>
      <c r="Y686">
        <f>AND(IF(Metadata!F686="",FALSE,TRUE),exact(Metadata!F686,"air"))</f>
        <v>0</v>
      </c>
      <c r="Z686">
        <f>AND(IF(Metadata!G686="",FALSE,TRUE),exact(Metadata!G686,"air"))</f>
        <v>0</v>
      </c>
      <c r="AA686">
        <f>AND(IF(Metadata!H686="",FALSE,TRUE),exact(Metadata!H686,"air"))</f>
        <v>0</v>
      </c>
      <c r="AB686">
        <f>AND(IF(Metadata!I686="",FALSE,TRUE),exact(Metadata!I686,"air metagenome"))</f>
        <v>0</v>
      </c>
      <c r="AC686">
        <f>AND(IF(Metadata!J686="",FALSE,TRUE),exact(Metadata!J686,"655179"))</f>
        <v>0</v>
      </c>
    </row>
    <row r="687" spans="1:29">
      <c r="A687" s="5">
        <f>IF(B687=" "," ",HYPERLINK(CONCATENATE("#metadata!",ADDRESS(INDEX($P$2:$P$1001,MATCH(ROWS($N$2:N687),$N$2:$N$1001,0),0),1)),INDEX($S$2:$S$1001,MATCH(ROWS($N$2:N687),$N$2:$N$1001,0),0)))</f>
        <v>0</v>
      </c>
      <c r="B687" s="4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4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4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4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4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4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4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4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4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OR(AND(IF(Metadata!C687="",FALSE,TRUE),OR(exact(Metadata!C687,"not applicable"),exact(Metadata!C687,"not collected"),exact(Metadata!C687,"not provided"),exact(Metadata!C687,"restricted access"))),IF(Metadata!C687="",FALSE,ISNUMBER(VALUE(Metadata!C687))))</f>
        <v>0</v>
      </c>
      <c r="W687">
        <f>AND(IF(Metadata!D687="",FALSE,TRUE),exact(Metadata!D687,"m"))</f>
        <v>0</v>
      </c>
      <c r="X687">
        <f>AND(IF(Metadata!E687="",FALSE,TRUE),OR(exact(Metadata!E687,"aerosol (non-saline)"),exact(Metadata!E687,"aerosol (saline)")))</f>
        <v>0</v>
      </c>
      <c r="Y687">
        <f>AND(IF(Metadata!F687="",FALSE,TRUE),exact(Metadata!F687,"air"))</f>
        <v>0</v>
      </c>
      <c r="Z687">
        <f>AND(IF(Metadata!G687="",FALSE,TRUE),exact(Metadata!G687,"air"))</f>
        <v>0</v>
      </c>
      <c r="AA687">
        <f>AND(IF(Metadata!H687="",FALSE,TRUE),exact(Metadata!H687,"air"))</f>
        <v>0</v>
      </c>
      <c r="AB687">
        <f>AND(IF(Metadata!I687="",FALSE,TRUE),exact(Metadata!I687,"air metagenome"))</f>
        <v>0</v>
      </c>
      <c r="AC687">
        <f>AND(IF(Metadata!J687="",FALSE,TRUE),exact(Metadata!J687,"655179"))</f>
        <v>0</v>
      </c>
    </row>
    <row r="688" spans="1:29">
      <c r="A688" s="5">
        <f>IF(B688=" "," ",HYPERLINK(CONCATENATE("#metadata!",ADDRESS(INDEX($P$2:$P$1001,MATCH(ROWS($N$2:N688),$N$2:$N$1001,0),0),1)),INDEX($S$2:$S$1001,MATCH(ROWS($N$2:N688),$N$2:$N$1001,0),0)))</f>
        <v>0</v>
      </c>
      <c r="B688" s="4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4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4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4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4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4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4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4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4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OR(AND(IF(Metadata!C688="",FALSE,TRUE),OR(exact(Metadata!C688,"not applicable"),exact(Metadata!C688,"not collected"),exact(Metadata!C688,"not provided"),exact(Metadata!C688,"restricted access"))),IF(Metadata!C688="",FALSE,ISNUMBER(VALUE(Metadata!C688))))</f>
        <v>0</v>
      </c>
      <c r="W688">
        <f>AND(IF(Metadata!D688="",FALSE,TRUE),exact(Metadata!D688,"m"))</f>
        <v>0</v>
      </c>
      <c r="X688">
        <f>AND(IF(Metadata!E688="",FALSE,TRUE),OR(exact(Metadata!E688,"aerosol (non-saline)"),exact(Metadata!E688,"aerosol (saline)")))</f>
        <v>0</v>
      </c>
      <c r="Y688">
        <f>AND(IF(Metadata!F688="",FALSE,TRUE),exact(Metadata!F688,"air"))</f>
        <v>0</v>
      </c>
      <c r="Z688">
        <f>AND(IF(Metadata!G688="",FALSE,TRUE),exact(Metadata!G688,"air"))</f>
        <v>0</v>
      </c>
      <c r="AA688">
        <f>AND(IF(Metadata!H688="",FALSE,TRUE),exact(Metadata!H688,"air"))</f>
        <v>0</v>
      </c>
      <c r="AB688">
        <f>AND(IF(Metadata!I688="",FALSE,TRUE),exact(Metadata!I688,"air metagenome"))</f>
        <v>0</v>
      </c>
      <c r="AC688">
        <f>AND(IF(Metadata!J688="",FALSE,TRUE),exact(Metadata!J688,"655179"))</f>
        <v>0</v>
      </c>
    </row>
    <row r="689" spans="1:29">
      <c r="A689" s="5">
        <f>IF(B689=" "," ",HYPERLINK(CONCATENATE("#metadata!",ADDRESS(INDEX($P$2:$P$1001,MATCH(ROWS($N$2:N689),$N$2:$N$1001,0),0),1)),INDEX($S$2:$S$1001,MATCH(ROWS($N$2:N689),$N$2:$N$1001,0),0)))</f>
        <v>0</v>
      </c>
      <c r="B689" s="4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4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4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4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4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4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4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4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4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OR(AND(IF(Metadata!C689="",FALSE,TRUE),OR(exact(Metadata!C689,"not applicable"),exact(Metadata!C689,"not collected"),exact(Metadata!C689,"not provided"),exact(Metadata!C689,"restricted access"))),IF(Metadata!C689="",FALSE,ISNUMBER(VALUE(Metadata!C689))))</f>
        <v>0</v>
      </c>
      <c r="W689">
        <f>AND(IF(Metadata!D689="",FALSE,TRUE),exact(Metadata!D689,"m"))</f>
        <v>0</v>
      </c>
      <c r="X689">
        <f>AND(IF(Metadata!E689="",FALSE,TRUE),OR(exact(Metadata!E689,"aerosol (non-saline)"),exact(Metadata!E689,"aerosol (saline)")))</f>
        <v>0</v>
      </c>
      <c r="Y689">
        <f>AND(IF(Metadata!F689="",FALSE,TRUE),exact(Metadata!F689,"air"))</f>
        <v>0</v>
      </c>
      <c r="Z689">
        <f>AND(IF(Metadata!G689="",FALSE,TRUE),exact(Metadata!G689,"air"))</f>
        <v>0</v>
      </c>
      <c r="AA689">
        <f>AND(IF(Metadata!H689="",FALSE,TRUE),exact(Metadata!H689,"air"))</f>
        <v>0</v>
      </c>
      <c r="AB689">
        <f>AND(IF(Metadata!I689="",FALSE,TRUE),exact(Metadata!I689,"air metagenome"))</f>
        <v>0</v>
      </c>
      <c r="AC689">
        <f>AND(IF(Metadata!J689="",FALSE,TRUE),exact(Metadata!J689,"655179"))</f>
        <v>0</v>
      </c>
    </row>
    <row r="690" spans="1:29">
      <c r="A690" s="5">
        <f>IF(B690=" "," ",HYPERLINK(CONCATENATE("#metadata!",ADDRESS(INDEX($P$2:$P$1001,MATCH(ROWS($N$2:N690),$N$2:$N$1001,0),0),1)),INDEX($S$2:$S$1001,MATCH(ROWS($N$2:N690),$N$2:$N$1001,0),0)))</f>
        <v>0</v>
      </c>
      <c r="B690" s="4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4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4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4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4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4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4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4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4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OR(AND(IF(Metadata!C690="",FALSE,TRUE),OR(exact(Metadata!C690,"not applicable"),exact(Metadata!C690,"not collected"),exact(Metadata!C690,"not provided"),exact(Metadata!C690,"restricted access"))),IF(Metadata!C690="",FALSE,ISNUMBER(VALUE(Metadata!C690))))</f>
        <v>0</v>
      </c>
      <c r="W690">
        <f>AND(IF(Metadata!D690="",FALSE,TRUE),exact(Metadata!D690,"m"))</f>
        <v>0</v>
      </c>
      <c r="X690">
        <f>AND(IF(Metadata!E690="",FALSE,TRUE),OR(exact(Metadata!E690,"aerosol (non-saline)"),exact(Metadata!E690,"aerosol (saline)")))</f>
        <v>0</v>
      </c>
      <c r="Y690">
        <f>AND(IF(Metadata!F690="",FALSE,TRUE),exact(Metadata!F690,"air"))</f>
        <v>0</v>
      </c>
      <c r="Z690">
        <f>AND(IF(Metadata!G690="",FALSE,TRUE),exact(Metadata!G690,"air"))</f>
        <v>0</v>
      </c>
      <c r="AA690">
        <f>AND(IF(Metadata!H690="",FALSE,TRUE),exact(Metadata!H690,"air"))</f>
        <v>0</v>
      </c>
      <c r="AB690">
        <f>AND(IF(Metadata!I690="",FALSE,TRUE),exact(Metadata!I690,"air metagenome"))</f>
        <v>0</v>
      </c>
      <c r="AC690">
        <f>AND(IF(Metadata!J690="",FALSE,TRUE),exact(Metadata!J690,"655179"))</f>
        <v>0</v>
      </c>
    </row>
    <row r="691" spans="1:29">
      <c r="A691" s="5">
        <f>IF(B691=" "," ",HYPERLINK(CONCATENATE("#metadata!",ADDRESS(INDEX($P$2:$P$1001,MATCH(ROWS($N$2:N691),$N$2:$N$1001,0),0),1)),INDEX($S$2:$S$1001,MATCH(ROWS($N$2:N691),$N$2:$N$1001,0),0)))</f>
        <v>0</v>
      </c>
      <c r="B691" s="4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4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4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4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4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4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4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4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4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OR(AND(IF(Metadata!C691="",FALSE,TRUE),OR(exact(Metadata!C691,"not applicable"),exact(Metadata!C691,"not collected"),exact(Metadata!C691,"not provided"),exact(Metadata!C691,"restricted access"))),IF(Metadata!C691="",FALSE,ISNUMBER(VALUE(Metadata!C691))))</f>
        <v>0</v>
      </c>
      <c r="W691">
        <f>AND(IF(Metadata!D691="",FALSE,TRUE),exact(Metadata!D691,"m"))</f>
        <v>0</v>
      </c>
      <c r="X691">
        <f>AND(IF(Metadata!E691="",FALSE,TRUE),OR(exact(Metadata!E691,"aerosol (non-saline)"),exact(Metadata!E691,"aerosol (saline)")))</f>
        <v>0</v>
      </c>
      <c r="Y691">
        <f>AND(IF(Metadata!F691="",FALSE,TRUE),exact(Metadata!F691,"air"))</f>
        <v>0</v>
      </c>
      <c r="Z691">
        <f>AND(IF(Metadata!G691="",FALSE,TRUE),exact(Metadata!G691,"air"))</f>
        <v>0</v>
      </c>
      <c r="AA691">
        <f>AND(IF(Metadata!H691="",FALSE,TRUE),exact(Metadata!H691,"air"))</f>
        <v>0</v>
      </c>
      <c r="AB691">
        <f>AND(IF(Metadata!I691="",FALSE,TRUE),exact(Metadata!I691,"air metagenome"))</f>
        <v>0</v>
      </c>
      <c r="AC691">
        <f>AND(IF(Metadata!J691="",FALSE,TRUE),exact(Metadata!J691,"655179"))</f>
        <v>0</v>
      </c>
    </row>
    <row r="692" spans="1:29">
      <c r="A692" s="5">
        <f>IF(B692=" "," ",HYPERLINK(CONCATENATE("#metadata!",ADDRESS(INDEX($P$2:$P$1001,MATCH(ROWS($N$2:N692),$N$2:$N$1001,0),0),1)),INDEX($S$2:$S$1001,MATCH(ROWS($N$2:N692),$N$2:$N$1001,0),0)))</f>
        <v>0</v>
      </c>
      <c r="B692" s="4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4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4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4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4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4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4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4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4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OR(AND(IF(Metadata!C692="",FALSE,TRUE),OR(exact(Metadata!C692,"not applicable"),exact(Metadata!C692,"not collected"),exact(Metadata!C692,"not provided"),exact(Metadata!C692,"restricted access"))),IF(Metadata!C692="",FALSE,ISNUMBER(VALUE(Metadata!C692))))</f>
        <v>0</v>
      </c>
      <c r="W692">
        <f>AND(IF(Metadata!D692="",FALSE,TRUE),exact(Metadata!D692,"m"))</f>
        <v>0</v>
      </c>
      <c r="X692">
        <f>AND(IF(Metadata!E692="",FALSE,TRUE),OR(exact(Metadata!E692,"aerosol (non-saline)"),exact(Metadata!E692,"aerosol (saline)")))</f>
        <v>0</v>
      </c>
      <c r="Y692">
        <f>AND(IF(Metadata!F692="",FALSE,TRUE),exact(Metadata!F692,"air"))</f>
        <v>0</v>
      </c>
      <c r="Z692">
        <f>AND(IF(Metadata!G692="",FALSE,TRUE),exact(Metadata!G692,"air"))</f>
        <v>0</v>
      </c>
      <c r="AA692">
        <f>AND(IF(Metadata!H692="",FALSE,TRUE),exact(Metadata!H692,"air"))</f>
        <v>0</v>
      </c>
      <c r="AB692">
        <f>AND(IF(Metadata!I692="",FALSE,TRUE),exact(Metadata!I692,"air metagenome"))</f>
        <v>0</v>
      </c>
      <c r="AC692">
        <f>AND(IF(Metadata!J692="",FALSE,TRUE),exact(Metadata!J692,"655179"))</f>
        <v>0</v>
      </c>
    </row>
    <row r="693" spans="1:29">
      <c r="A693" s="5">
        <f>IF(B693=" "," ",HYPERLINK(CONCATENATE("#metadata!",ADDRESS(INDEX($P$2:$P$1001,MATCH(ROWS($N$2:N693),$N$2:$N$1001,0),0),1)),INDEX($S$2:$S$1001,MATCH(ROWS($N$2:N693),$N$2:$N$1001,0),0)))</f>
        <v>0</v>
      </c>
      <c r="B693" s="4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4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4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4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4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4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4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4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4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OR(AND(IF(Metadata!C693="",FALSE,TRUE),OR(exact(Metadata!C693,"not applicable"),exact(Metadata!C693,"not collected"),exact(Metadata!C693,"not provided"),exact(Metadata!C693,"restricted access"))),IF(Metadata!C693="",FALSE,ISNUMBER(VALUE(Metadata!C693))))</f>
        <v>0</v>
      </c>
      <c r="W693">
        <f>AND(IF(Metadata!D693="",FALSE,TRUE),exact(Metadata!D693,"m"))</f>
        <v>0</v>
      </c>
      <c r="X693">
        <f>AND(IF(Metadata!E693="",FALSE,TRUE),OR(exact(Metadata!E693,"aerosol (non-saline)"),exact(Metadata!E693,"aerosol (saline)")))</f>
        <v>0</v>
      </c>
      <c r="Y693">
        <f>AND(IF(Metadata!F693="",FALSE,TRUE),exact(Metadata!F693,"air"))</f>
        <v>0</v>
      </c>
      <c r="Z693">
        <f>AND(IF(Metadata!G693="",FALSE,TRUE),exact(Metadata!G693,"air"))</f>
        <v>0</v>
      </c>
      <c r="AA693">
        <f>AND(IF(Metadata!H693="",FALSE,TRUE),exact(Metadata!H693,"air"))</f>
        <v>0</v>
      </c>
      <c r="AB693">
        <f>AND(IF(Metadata!I693="",FALSE,TRUE),exact(Metadata!I693,"air metagenome"))</f>
        <v>0</v>
      </c>
      <c r="AC693">
        <f>AND(IF(Metadata!J693="",FALSE,TRUE),exact(Metadata!J693,"655179"))</f>
        <v>0</v>
      </c>
    </row>
    <row r="694" spans="1:29">
      <c r="A694" s="5">
        <f>IF(B694=" "," ",HYPERLINK(CONCATENATE("#metadata!",ADDRESS(INDEX($P$2:$P$1001,MATCH(ROWS($N$2:N694),$N$2:$N$1001,0),0),1)),INDEX($S$2:$S$1001,MATCH(ROWS($N$2:N694),$N$2:$N$1001,0),0)))</f>
        <v>0</v>
      </c>
      <c r="B694" s="4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4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4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4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4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4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4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4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4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OR(AND(IF(Metadata!C694="",FALSE,TRUE),OR(exact(Metadata!C694,"not applicable"),exact(Metadata!C694,"not collected"),exact(Metadata!C694,"not provided"),exact(Metadata!C694,"restricted access"))),IF(Metadata!C694="",FALSE,ISNUMBER(VALUE(Metadata!C694))))</f>
        <v>0</v>
      </c>
      <c r="W694">
        <f>AND(IF(Metadata!D694="",FALSE,TRUE),exact(Metadata!D694,"m"))</f>
        <v>0</v>
      </c>
      <c r="X694">
        <f>AND(IF(Metadata!E694="",FALSE,TRUE),OR(exact(Metadata!E694,"aerosol (non-saline)"),exact(Metadata!E694,"aerosol (saline)")))</f>
        <v>0</v>
      </c>
      <c r="Y694">
        <f>AND(IF(Metadata!F694="",FALSE,TRUE),exact(Metadata!F694,"air"))</f>
        <v>0</v>
      </c>
      <c r="Z694">
        <f>AND(IF(Metadata!G694="",FALSE,TRUE),exact(Metadata!G694,"air"))</f>
        <v>0</v>
      </c>
      <c r="AA694">
        <f>AND(IF(Metadata!H694="",FALSE,TRUE),exact(Metadata!H694,"air"))</f>
        <v>0</v>
      </c>
      <c r="AB694">
        <f>AND(IF(Metadata!I694="",FALSE,TRUE),exact(Metadata!I694,"air metagenome"))</f>
        <v>0</v>
      </c>
      <c r="AC694">
        <f>AND(IF(Metadata!J694="",FALSE,TRUE),exact(Metadata!J694,"655179"))</f>
        <v>0</v>
      </c>
    </row>
    <row r="695" spans="1:29">
      <c r="A695" s="5">
        <f>IF(B695=" "," ",HYPERLINK(CONCATENATE("#metadata!",ADDRESS(INDEX($P$2:$P$1001,MATCH(ROWS($N$2:N695),$N$2:$N$1001,0),0),1)),INDEX($S$2:$S$1001,MATCH(ROWS($N$2:N695),$N$2:$N$1001,0),0)))</f>
        <v>0</v>
      </c>
      <c r="B695" s="4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4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4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4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4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4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4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4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4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OR(AND(IF(Metadata!C695="",FALSE,TRUE),OR(exact(Metadata!C695,"not applicable"),exact(Metadata!C695,"not collected"),exact(Metadata!C695,"not provided"),exact(Metadata!C695,"restricted access"))),IF(Metadata!C695="",FALSE,ISNUMBER(VALUE(Metadata!C695))))</f>
        <v>0</v>
      </c>
      <c r="W695">
        <f>AND(IF(Metadata!D695="",FALSE,TRUE),exact(Metadata!D695,"m"))</f>
        <v>0</v>
      </c>
      <c r="X695">
        <f>AND(IF(Metadata!E695="",FALSE,TRUE),OR(exact(Metadata!E695,"aerosol (non-saline)"),exact(Metadata!E695,"aerosol (saline)")))</f>
        <v>0</v>
      </c>
      <c r="Y695">
        <f>AND(IF(Metadata!F695="",FALSE,TRUE),exact(Metadata!F695,"air"))</f>
        <v>0</v>
      </c>
      <c r="Z695">
        <f>AND(IF(Metadata!G695="",FALSE,TRUE),exact(Metadata!G695,"air"))</f>
        <v>0</v>
      </c>
      <c r="AA695">
        <f>AND(IF(Metadata!H695="",FALSE,TRUE),exact(Metadata!H695,"air"))</f>
        <v>0</v>
      </c>
      <c r="AB695">
        <f>AND(IF(Metadata!I695="",FALSE,TRUE),exact(Metadata!I695,"air metagenome"))</f>
        <v>0</v>
      </c>
      <c r="AC695">
        <f>AND(IF(Metadata!J695="",FALSE,TRUE),exact(Metadata!J695,"655179"))</f>
        <v>0</v>
      </c>
    </row>
    <row r="696" spans="1:29">
      <c r="A696" s="5">
        <f>IF(B696=" "," ",HYPERLINK(CONCATENATE("#metadata!",ADDRESS(INDEX($P$2:$P$1001,MATCH(ROWS($N$2:N696),$N$2:$N$1001,0),0),1)),INDEX($S$2:$S$1001,MATCH(ROWS($N$2:N696),$N$2:$N$1001,0),0)))</f>
        <v>0</v>
      </c>
      <c r="B696" s="4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4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4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4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4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4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4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4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4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OR(AND(IF(Metadata!C696="",FALSE,TRUE),OR(exact(Metadata!C696,"not applicable"),exact(Metadata!C696,"not collected"),exact(Metadata!C696,"not provided"),exact(Metadata!C696,"restricted access"))),IF(Metadata!C696="",FALSE,ISNUMBER(VALUE(Metadata!C696))))</f>
        <v>0</v>
      </c>
      <c r="W696">
        <f>AND(IF(Metadata!D696="",FALSE,TRUE),exact(Metadata!D696,"m"))</f>
        <v>0</v>
      </c>
      <c r="X696">
        <f>AND(IF(Metadata!E696="",FALSE,TRUE),OR(exact(Metadata!E696,"aerosol (non-saline)"),exact(Metadata!E696,"aerosol (saline)")))</f>
        <v>0</v>
      </c>
      <c r="Y696">
        <f>AND(IF(Metadata!F696="",FALSE,TRUE),exact(Metadata!F696,"air"))</f>
        <v>0</v>
      </c>
      <c r="Z696">
        <f>AND(IF(Metadata!G696="",FALSE,TRUE),exact(Metadata!G696,"air"))</f>
        <v>0</v>
      </c>
      <c r="AA696">
        <f>AND(IF(Metadata!H696="",FALSE,TRUE),exact(Metadata!H696,"air"))</f>
        <v>0</v>
      </c>
      <c r="AB696">
        <f>AND(IF(Metadata!I696="",FALSE,TRUE),exact(Metadata!I696,"air metagenome"))</f>
        <v>0</v>
      </c>
      <c r="AC696">
        <f>AND(IF(Metadata!J696="",FALSE,TRUE),exact(Metadata!J696,"655179"))</f>
        <v>0</v>
      </c>
    </row>
    <row r="697" spans="1:29">
      <c r="A697" s="5">
        <f>IF(B697=" "," ",HYPERLINK(CONCATENATE("#metadata!",ADDRESS(INDEX($P$2:$P$1001,MATCH(ROWS($N$2:N697),$N$2:$N$1001,0),0),1)),INDEX($S$2:$S$1001,MATCH(ROWS($N$2:N697),$N$2:$N$1001,0),0)))</f>
        <v>0</v>
      </c>
      <c r="B697" s="4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4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4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4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4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4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4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4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4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OR(AND(IF(Metadata!C697="",FALSE,TRUE),OR(exact(Metadata!C697,"not applicable"),exact(Metadata!C697,"not collected"),exact(Metadata!C697,"not provided"),exact(Metadata!C697,"restricted access"))),IF(Metadata!C697="",FALSE,ISNUMBER(VALUE(Metadata!C697))))</f>
        <v>0</v>
      </c>
      <c r="W697">
        <f>AND(IF(Metadata!D697="",FALSE,TRUE),exact(Metadata!D697,"m"))</f>
        <v>0</v>
      </c>
      <c r="X697">
        <f>AND(IF(Metadata!E697="",FALSE,TRUE),OR(exact(Metadata!E697,"aerosol (non-saline)"),exact(Metadata!E697,"aerosol (saline)")))</f>
        <v>0</v>
      </c>
      <c r="Y697">
        <f>AND(IF(Metadata!F697="",FALSE,TRUE),exact(Metadata!F697,"air"))</f>
        <v>0</v>
      </c>
      <c r="Z697">
        <f>AND(IF(Metadata!G697="",FALSE,TRUE),exact(Metadata!G697,"air"))</f>
        <v>0</v>
      </c>
      <c r="AA697">
        <f>AND(IF(Metadata!H697="",FALSE,TRUE),exact(Metadata!H697,"air"))</f>
        <v>0</v>
      </c>
      <c r="AB697">
        <f>AND(IF(Metadata!I697="",FALSE,TRUE),exact(Metadata!I697,"air metagenome"))</f>
        <v>0</v>
      </c>
      <c r="AC697">
        <f>AND(IF(Metadata!J697="",FALSE,TRUE),exact(Metadata!J697,"655179"))</f>
        <v>0</v>
      </c>
    </row>
    <row r="698" spans="1:29">
      <c r="A698" s="5">
        <f>IF(B698=" "," ",HYPERLINK(CONCATENATE("#metadata!",ADDRESS(INDEX($P$2:$P$1001,MATCH(ROWS($N$2:N698),$N$2:$N$1001,0),0),1)),INDEX($S$2:$S$1001,MATCH(ROWS($N$2:N698),$N$2:$N$1001,0),0)))</f>
        <v>0</v>
      </c>
      <c r="B698" s="4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4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4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4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4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4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4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4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4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OR(AND(IF(Metadata!C698="",FALSE,TRUE),OR(exact(Metadata!C698,"not applicable"),exact(Metadata!C698,"not collected"),exact(Metadata!C698,"not provided"),exact(Metadata!C698,"restricted access"))),IF(Metadata!C698="",FALSE,ISNUMBER(VALUE(Metadata!C698))))</f>
        <v>0</v>
      </c>
      <c r="W698">
        <f>AND(IF(Metadata!D698="",FALSE,TRUE),exact(Metadata!D698,"m"))</f>
        <v>0</v>
      </c>
      <c r="X698">
        <f>AND(IF(Metadata!E698="",FALSE,TRUE),OR(exact(Metadata!E698,"aerosol (non-saline)"),exact(Metadata!E698,"aerosol (saline)")))</f>
        <v>0</v>
      </c>
      <c r="Y698">
        <f>AND(IF(Metadata!F698="",FALSE,TRUE),exact(Metadata!F698,"air"))</f>
        <v>0</v>
      </c>
      <c r="Z698">
        <f>AND(IF(Metadata!G698="",FALSE,TRUE),exact(Metadata!G698,"air"))</f>
        <v>0</v>
      </c>
      <c r="AA698">
        <f>AND(IF(Metadata!H698="",FALSE,TRUE),exact(Metadata!H698,"air"))</f>
        <v>0</v>
      </c>
      <c r="AB698">
        <f>AND(IF(Metadata!I698="",FALSE,TRUE),exact(Metadata!I698,"air metagenome"))</f>
        <v>0</v>
      </c>
      <c r="AC698">
        <f>AND(IF(Metadata!J698="",FALSE,TRUE),exact(Metadata!J698,"655179"))</f>
        <v>0</v>
      </c>
    </row>
    <row r="699" spans="1:29">
      <c r="A699" s="5">
        <f>IF(B699=" "," ",HYPERLINK(CONCATENATE("#metadata!",ADDRESS(INDEX($P$2:$P$1001,MATCH(ROWS($N$2:N699),$N$2:$N$1001,0),0),1)),INDEX($S$2:$S$1001,MATCH(ROWS($N$2:N699),$N$2:$N$1001,0),0)))</f>
        <v>0</v>
      </c>
      <c r="B699" s="4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4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4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4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4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4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4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4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4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OR(AND(IF(Metadata!C699="",FALSE,TRUE),OR(exact(Metadata!C699,"not applicable"),exact(Metadata!C699,"not collected"),exact(Metadata!C699,"not provided"),exact(Metadata!C699,"restricted access"))),IF(Metadata!C699="",FALSE,ISNUMBER(VALUE(Metadata!C699))))</f>
        <v>0</v>
      </c>
      <c r="W699">
        <f>AND(IF(Metadata!D699="",FALSE,TRUE),exact(Metadata!D699,"m"))</f>
        <v>0</v>
      </c>
      <c r="X699">
        <f>AND(IF(Metadata!E699="",FALSE,TRUE),OR(exact(Metadata!E699,"aerosol (non-saline)"),exact(Metadata!E699,"aerosol (saline)")))</f>
        <v>0</v>
      </c>
      <c r="Y699">
        <f>AND(IF(Metadata!F699="",FALSE,TRUE),exact(Metadata!F699,"air"))</f>
        <v>0</v>
      </c>
      <c r="Z699">
        <f>AND(IF(Metadata!G699="",FALSE,TRUE),exact(Metadata!G699,"air"))</f>
        <v>0</v>
      </c>
      <c r="AA699">
        <f>AND(IF(Metadata!H699="",FALSE,TRUE),exact(Metadata!H699,"air"))</f>
        <v>0</v>
      </c>
      <c r="AB699">
        <f>AND(IF(Metadata!I699="",FALSE,TRUE),exact(Metadata!I699,"air metagenome"))</f>
        <v>0</v>
      </c>
      <c r="AC699">
        <f>AND(IF(Metadata!J699="",FALSE,TRUE),exact(Metadata!J699,"655179"))</f>
        <v>0</v>
      </c>
    </row>
    <row r="700" spans="1:29">
      <c r="A700" s="5">
        <f>IF(B700=" "," ",HYPERLINK(CONCATENATE("#metadata!",ADDRESS(INDEX($P$2:$P$1001,MATCH(ROWS($N$2:N700),$N$2:$N$1001,0),0),1)),INDEX($S$2:$S$1001,MATCH(ROWS($N$2:N700),$N$2:$N$1001,0),0)))</f>
        <v>0</v>
      </c>
      <c r="B700" s="4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4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4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4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4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4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4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4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4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OR(AND(IF(Metadata!C700="",FALSE,TRUE),OR(exact(Metadata!C700,"not applicable"),exact(Metadata!C700,"not collected"),exact(Metadata!C700,"not provided"),exact(Metadata!C700,"restricted access"))),IF(Metadata!C700="",FALSE,ISNUMBER(VALUE(Metadata!C700))))</f>
        <v>0</v>
      </c>
      <c r="W700">
        <f>AND(IF(Metadata!D700="",FALSE,TRUE),exact(Metadata!D700,"m"))</f>
        <v>0</v>
      </c>
      <c r="X700">
        <f>AND(IF(Metadata!E700="",FALSE,TRUE),OR(exact(Metadata!E700,"aerosol (non-saline)"),exact(Metadata!E700,"aerosol (saline)")))</f>
        <v>0</v>
      </c>
      <c r="Y700">
        <f>AND(IF(Metadata!F700="",FALSE,TRUE),exact(Metadata!F700,"air"))</f>
        <v>0</v>
      </c>
      <c r="Z700">
        <f>AND(IF(Metadata!G700="",FALSE,TRUE),exact(Metadata!G700,"air"))</f>
        <v>0</v>
      </c>
      <c r="AA700">
        <f>AND(IF(Metadata!H700="",FALSE,TRUE),exact(Metadata!H700,"air"))</f>
        <v>0</v>
      </c>
      <c r="AB700">
        <f>AND(IF(Metadata!I700="",FALSE,TRUE),exact(Metadata!I700,"air metagenome"))</f>
        <v>0</v>
      </c>
      <c r="AC700">
        <f>AND(IF(Metadata!J700="",FALSE,TRUE),exact(Metadata!J700,"655179"))</f>
        <v>0</v>
      </c>
    </row>
    <row r="701" spans="1:29">
      <c r="A701" s="5">
        <f>IF(B701=" "," ",HYPERLINK(CONCATENATE("#metadata!",ADDRESS(INDEX($P$2:$P$1001,MATCH(ROWS($N$2:N701),$N$2:$N$1001,0),0),1)),INDEX($S$2:$S$1001,MATCH(ROWS($N$2:N701),$N$2:$N$1001,0),0)))</f>
        <v>0</v>
      </c>
      <c r="B701" s="4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4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4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4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4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4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4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4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4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OR(AND(IF(Metadata!C701="",FALSE,TRUE),OR(exact(Metadata!C701,"not applicable"),exact(Metadata!C701,"not collected"),exact(Metadata!C701,"not provided"),exact(Metadata!C701,"restricted access"))),IF(Metadata!C701="",FALSE,ISNUMBER(VALUE(Metadata!C701))))</f>
        <v>0</v>
      </c>
      <c r="W701">
        <f>AND(IF(Metadata!D701="",FALSE,TRUE),exact(Metadata!D701,"m"))</f>
        <v>0</v>
      </c>
      <c r="X701">
        <f>AND(IF(Metadata!E701="",FALSE,TRUE),OR(exact(Metadata!E701,"aerosol (non-saline)"),exact(Metadata!E701,"aerosol (saline)")))</f>
        <v>0</v>
      </c>
      <c r="Y701">
        <f>AND(IF(Metadata!F701="",FALSE,TRUE),exact(Metadata!F701,"air"))</f>
        <v>0</v>
      </c>
      <c r="Z701">
        <f>AND(IF(Metadata!G701="",FALSE,TRUE),exact(Metadata!G701,"air"))</f>
        <v>0</v>
      </c>
      <c r="AA701">
        <f>AND(IF(Metadata!H701="",FALSE,TRUE),exact(Metadata!H701,"air"))</f>
        <v>0</v>
      </c>
      <c r="AB701">
        <f>AND(IF(Metadata!I701="",FALSE,TRUE),exact(Metadata!I701,"air metagenome"))</f>
        <v>0</v>
      </c>
      <c r="AC701">
        <f>AND(IF(Metadata!J701="",FALSE,TRUE),exact(Metadata!J701,"655179"))</f>
        <v>0</v>
      </c>
    </row>
    <row r="702" spans="1:29">
      <c r="A702" s="5">
        <f>IF(B702=" "," ",HYPERLINK(CONCATENATE("#metadata!",ADDRESS(INDEX($P$2:$P$1001,MATCH(ROWS($N$2:N702),$N$2:$N$1001,0),0),1)),INDEX($S$2:$S$1001,MATCH(ROWS($N$2:N702),$N$2:$N$1001,0),0)))</f>
        <v>0</v>
      </c>
      <c r="B702" s="4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4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4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4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4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4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4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4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4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OR(AND(IF(Metadata!C702="",FALSE,TRUE),OR(exact(Metadata!C702,"not applicable"),exact(Metadata!C702,"not collected"),exact(Metadata!C702,"not provided"),exact(Metadata!C702,"restricted access"))),IF(Metadata!C702="",FALSE,ISNUMBER(VALUE(Metadata!C702))))</f>
        <v>0</v>
      </c>
      <c r="W702">
        <f>AND(IF(Metadata!D702="",FALSE,TRUE),exact(Metadata!D702,"m"))</f>
        <v>0</v>
      </c>
      <c r="X702">
        <f>AND(IF(Metadata!E702="",FALSE,TRUE),OR(exact(Metadata!E702,"aerosol (non-saline)"),exact(Metadata!E702,"aerosol (saline)")))</f>
        <v>0</v>
      </c>
      <c r="Y702">
        <f>AND(IF(Metadata!F702="",FALSE,TRUE),exact(Metadata!F702,"air"))</f>
        <v>0</v>
      </c>
      <c r="Z702">
        <f>AND(IF(Metadata!G702="",FALSE,TRUE),exact(Metadata!G702,"air"))</f>
        <v>0</v>
      </c>
      <c r="AA702">
        <f>AND(IF(Metadata!H702="",FALSE,TRUE),exact(Metadata!H702,"air"))</f>
        <v>0</v>
      </c>
      <c r="AB702">
        <f>AND(IF(Metadata!I702="",FALSE,TRUE),exact(Metadata!I702,"air metagenome"))</f>
        <v>0</v>
      </c>
      <c r="AC702">
        <f>AND(IF(Metadata!J702="",FALSE,TRUE),exact(Metadata!J702,"655179"))</f>
        <v>0</v>
      </c>
    </row>
    <row r="703" spans="1:29">
      <c r="A703" s="5">
        <f>IF(B703=" "," ",HYPERLINK(CONCATENATE("#metadata!",ADDRESS(INDEX($P$2:$P$1001,MATCH(ROWS($N$2:N703),$N$2:$N$1001,0),0),1)),INDEX($S$2:$S$1001,MATCH(ROWS($N$2:N703),$N$2:$N$1001,0),0)))</f>
        <v>0</v>
      </c>
      <c r="B703" s="4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4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4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4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4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4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4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4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4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OR(AND(IF(Metadata!C703="",FALSE,TRUE),OR(exact(Metadata!C703,"not applicable"),exact(Metadata!C703,"not collected"),exact(Metadata!C703,"not provided"),exact(Metadata!C703,"restricted access"))),IF(Metadata!C703="",FALSE,ISNUMBER(VALUE(Metadata!C703))))</f>
        <v>0</v>
      </c>
      <c r="W703">
        <f>AND(IF(Metadata!D703="",FALSE,TRUE),exact(Metadata!D703,"m"))</f>
        <v>0</v>
      </c>
      <c r="X703">
        <f>AND(IF(Metadata!E703="",FALSE,TRUE),OR(exact(Metadata!E703,"aerosol (non-saline)"),exact(Metadata!E703,"aerosol (saline)")))</f>
        <v>0</v>
      </c>
      <c r="Y703">
        <f>AND(IF(Metadata!F703="",FALSE,TRUE),exact(Metadata!F703,"air"))</f>
        <v>0</v>
      </c>
      <c r="Z703">
        <f>AND(IF(Metadata!G703="",FALSE,TRUE),exact(Metadata!G703,"air"))</f>
        <v>0</v>
      </c>
      <c r="AA703">
        <f>AND(IF(Metadata!H703="",FALSE,TRUE),exact(Metadata!H703,"air"))</f>
        <v>0</v>
      </c>
      <c r="AB703">
        <f>AND(IF(Metadata!I703="",FALSE,TRUE),exact(Metadata!I703,"air metagenome"))</f>
        <v>0</v>
      </c>
      <c r="AC703">
        <f>AND(IF(Metadata!J703="",FALSE,TRUE),exact(Metadata!J703,"655179"))</f>
        <v>0</v>
      </c>
    </row>
    <row r="704" spans="1:29">
      <c r="A704" s="5">
        <f>IF(B704=" "," ",HYPERLINK(CONCATENATE("#metadata!",ADDRESS(INDEX($P$2:$P$1001,MATCH(ROWS($N$2:N704),$N$2:$N$1001,0),0),1)),INDEX($S$2:$S$1001,MATCH(ROWS($N$2:N704),$N$2:$N$1001,0),0)))</f>
        <v>0</v>
      </c>
      <c r="B704" s="4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4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4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4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4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4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4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4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4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OR(AND(IF(Metadata!C704="",FALSE,TRUE),OR(exact(Metadata!C704,"not applicable"),exact(Metadata!C704,"not collected"),exact(Metadata!C704,"not provided"),exact(Metadata!C704,"restricted access"))),IF(Metadata!C704="",FALSE,ISNUMBER(VALUE(Metadata!C704))))</f>
        <v>0</v>
      </c>
      <c r="W704">
        <f>AND(IF(Metadata!D704="",FALSE,TRUE),exact(Metadata!D704,"m"))</f>
        <v>0</v>
      </c>
      <c r="X704">
        <f>AND(IF(Metadata!E704="",FALSE,TRUE),OR(exact(Metadata!E704,"aerosol (non-saline)"),exact(Metadata!E704,"aerosol (saline)")))</f>
        <v>0</v>
      </c>
      <c r="Y704">
        <f>AND(IF(Metadata!F704="",FALSE,TRUE),exact(Metadata!F704,"air"))</f>
        <v>0</v>
      </c>
      <c r="Z704">
        <f>AND(IF(Metadata!G704="",FALSE,TRUE),exact(Metadata!G704,"air"))</f>
        <v>0</v>
      </c>
      <c r="AA704">
        <f>AND(IF(Metadata!H704="",FALSE,TRUE),exact(Metadata!H704,"air"))</f>
        <v>0</v>
      </c>
      <c r="AB704">
        <f>AND(IF(Metadata!I704="",FALSE,TRUE),exact(Metadata!I704,"air metagenome"))</f>
        <v>0</v>
      </c>
      <c r="AC704">
        <f>AND(IF(Metadata!J704="",FALSE,TRUE),exact(Metadata!J704,"655179"))</f>
        <v>0</v>
      </c>
    </row>
    <row r="705" spans="1:29">
      <c r="A705" s="5">
        <f>IF(B705=" "," ",HYPERLINK(CONCATENATE("#metadata!",ADDRESS(INDEX($P$2:$P$1001,MATCH(ROWS($N$2:N705),$N$2:$N$1001,0),0),1)),INDEX($S$2:$S$1001,MATCH(ROWS($N$2:N705),$N$2:$N$1001,0),0)))</f>
        <v>0</v>
      </c>
      <c r="B705" s="4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4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4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4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4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4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4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4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4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OR(AND(IF(Metadata!C705="",FALSE,TRUE),OR(exact(Metadata!C705,"not applicable"),exact(Metadata!C705,"not collected"),exact(Metadata!C705,"not provided"),exact(Metadata!C705,"restricted access"))),IF(Metadata!C705="",FALSE,ISNUMBER(VALUE(Metadata!C705))))</f>
        <v>0</v>
      </c>
      <c r="W705">
        <f>AND(IF(Metadata!D705="",FALSE,TRUE),exact(Metadata!D705,"m"))</f>
        <v>0</v>
      </c>
      <c r="X705">
        <f>AND(IF(Metadata!E705="",FALSE,TRUE),OR(exact(Metadata!E705,"aerosol (non-saline)"),exact(Metadata!E705,"aerosol (saline)")))</f>
        <v>0</v>
      </c>
      <c r="Y705">
        <f>AND(IF(Metadata!F705="",FALSE,TRUE),exact(Metadata!F705,"air"))</f>
        <v>0</v>
      </c>
      <c r="Z705">
        <f>AND(IF(Metadata!G705="",FALSE,TRUE),exact(Metadata!G705,"air"))</f>
        <v>0</v>
      </c>
      <c r="AA705">
        <f>AND(IF(Metadata!H705="",FALSE,TRUE),exact(Metadata!H705,"air"))</f>
        <v>0</v>
      </c>
      <c r="AB705">
        <f>AND(IF(Metadata!I705="",FALSE,TRUE),exact(Metadata!I705,"air metagenome"))</f>
        <v>0</v>
      </c>
      <c r="AC705">
        <f>AND(IF(Metadata!J705="",FALSE,TRUE),exact(Metadata!J705,"655179"))</f>
        <v>0</v>
      </c>
    </row>
    <row r="706" spans="1:29">
      <c r="A706" s="5">
        <f>IF(B706=" "," ",HYPERLINK(CONCATENATE("#metadata!",ADDRESS(INDEX($P$2:$P$1001,MATCH(ROWS($N$2:N706),$N$2:$N$1001,0),0),1)),INDEX($S$2:$S$1001,MATCH(ROWS($N$2:N706),$N$2:$N$1001,0),0)))</f>
        <v>0</v>
      </c>
      <c r="B706" s="4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4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4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4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4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4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4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4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4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OR(AND(IF(Metadata!C706="",FALSE,TRUE),OR(exact(Metadata!C706,"not applicable"),exact(Metadata!C706,"not collected"),exact(Metadata!C706,"not provided"),exact(Metadata!C706,"restricted access"))),IF(Metadata!C706="",FALSE,ISNUMBER(VALUE(Metadata!C706))))</f>
        <v>0</v>
      </c>
      <c r="W706">
        <f>AND(IF(Metadata!D706="",FALSE,TRUE),exact(Metadata!D706,"m"))</f>
        <v>0</v>
      </c>
      <c r="X706">
        <f>AND(IF(Metadata!E706="",FALSE,TRUE),OR(exact(Metadata!E706,"aerosol (non-saline)"),exact(Metadata!E706,"aerosol (saline)")))</f>
        <v>0</v>
      </c>
      <c r="Y706">
        <f>AND(IF(Metadata!F706="",FALSE,TRUE),exact(Metadata!F706,"air"))</f>
        <v>0</v>
      </c>
      <c r="Z706">
        <f>AND(IF(Metadata!G706="",FALSE,TRUE),exact(Metadata!G706,"air"))</f>
        <v>0</v>
      </c>
      <c r="AA706">
        <f>AND(IF(Metadata!H706="",FALSE,TRUE),exact(Metadata!H706,"air"))</f>
        <v>0</v>
      </c>
      <c r="AB706">
        <f>AND(IF(Metadata!I706="",FALSE,TRUE),exact(Metadata!I706,"air metagenome"))</f>
        <v>0</v>
      </c>
      <c r="AC706">
        <f>AND(IF(Metadata!J706="",FALSE,TRUE),exact(Metadata!J706,"655179"))</f>
        <v>0</v>
      </c>
    </row>
    <row r="707" spans="1:29">
      <c r="A707" s="5">
        <f>IF(B707=" "," ",HYPERLINK(CONCATENATE("#metadata!",ADDRESS(INDEX($P$2:$P$1001,MATCH(ROWS($N$2:N707),$N$2:$N$1001,0),0),1)),INDEX($S$2:$S$1001,MATCH(ROWS($N$2:N707),$N$2:$N$1001,0),0)))</f>
        <v>0</v>
      </c>
      <c r="B707" s="4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4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4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4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4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4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4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4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4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OR(AND(IF(Metadata!C707="",FALSE,TRUE),OR(exact(Metadata!C707,"not applicable"),exact(Metadata!C707,"not collected"),exact(Metadata!C707,"not provided"),exact(Metadata!C707,"restricted access"))),IF(Metadata!C707="",FALSE,ISNUMBER(VALUE(Metadata!C707))))</f>
        <v>0</v>
      </c>
      <c r="W707">
        <f>AND(IF(Metadata!D707="",FALSE,TRUE),exact(Metadata!D707,"m"))</f>
        <v>0</v>
      </c>
      <c r="X707">
        <f>AND(IF(Metadata!E707="",FALSE,TRUE),OR(exact(Metadata!E707,"aerosol (non-saline)"),exact(Metadata!E707,"aerosol (saline)")))</f>
        <v>0</v>
      </c>
      <c r="Y707">
        <f>AND(IF(Metadata!F707="",FALSE,TRUE),exact(Metadata!F707,"air"))</f>
        <v>0</v>
      </c>
      <c r="Z707">
        <f>AND(IF(Metadata!G707="",FALSE,TRUE),exact(Metadata!G707,"air"))</f>
        <v>0</v>
      </c>
      <c r="AA707">
        <f>AND(IF(Metadata!H707="",FALSE,TRUE),exact(Metadata!H707,"air"))</f>
        <v>0</v>
      </c>
      <c r="AB707">
        <f>AND(IF(Metadata!I707="",FALSE,TRUE),exact(Metadata!I707,"air metagenome"))</f>
        <v>0</v>
      </c>
      <c r="AC707">
        <f>AND(IF(Metadata!J707="",FALSE,TRUE),exact(Metadata!J707,"655179"))</f>
        <v>0</v>
      </c>
    </row>
    <row r="708" spans="1:29">
      <c r="A708" s="5">
        <f>IF(B708=" "," ",HYPERLINK(CONCATENATE("#metadata!",ADDRESS(INDEX($P$2:$P$1001,MATCH(ROWS($N$2:N708),$N$2:$N$1001,0),0),1)),INDEX($S$2:$S$1001,MATCH(ROWS($N$2:N708),$N$2:$N$1001,0),0)))</f>
        <v>0</v>
      </c>
      <c r="B708" s="4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4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4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4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4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4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4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4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4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OR(AND(IF(Metadata!C708="",FALSE,TRUE),OR(exact(Metadata!C708,"not applicable"),exact(Metadata!C708,"not collected"),exact(Metadata!C708,"not provided"),exact(Metadata!C708,"restricted access"))),IF(Metadata!C708="",FALSE,ISNUMBER(VALUE(Metadata!C708))))</f>
        <v>0</v>
      </c>
      <c r="W708">
        <f>AND(IF(Metadata!D708="",FALSE,TRUE),exact(Metadata!D708,"m"))</f>
        <v>0</v>
      </c>
      <c r="X708">
        <f>AND(IF(Metadata!E708="",FALSE,TRUE),OR(exact(Metadata!E708,"aerosol (non-saline)"),exact(Metadata!E708,"aerosol (saline)")))</f>
        <v>0</v>
      </c>
      <c r="Y708">
        <f>AND(IF(Metadata!F708="",FALSE,TRUE),exact(Metadata!F708,"air"))</f>
        <v>0</v>
      </c>
      <c r="Z708">
        <f>AND(IF(Metadata!G708="",FALSE,TRUE),exact(Metadata!G708,"air"))</f>
        <v>0</v>
      </c>
      <c r="AA708">
        <f>AND(IF(Metadata!H708="",FALSE,TRUE),exact(Metadata!H708,"air"))</f>
        <v>0</v>
      </c>
      <c r="AB708">
        <f>AND(IF(Metadata!I708="",FALSE,TRUE),exact(Metadata!I708,"air metagenome"))</f>
        <v>0</v>
      </c>
      <c r="AC708">
        <f>AND(IF(Metadata!J708="",FALSE,TRUE),exact(Metadata!J708,"655179"))</f>
        <v>0</v>
      </c>
    </row>
    <row r="709" spans="1:29">
      <c r="A709" s="5">
        <f>IF(B709=" "," ",HYPERLINK(CONCATENATE("#metadata!",ADDRESS(INDEX($P$2:$P$1001,MATCH(ROWS($N$2:N709),$N$2:$N$1001,0),0),1)),INDEX($S$2:$S$1001,MATCH(ROWS($N$2:N709),$N$2:$N$1001,0),0)))</f>
        <v>0</v>
      </c>
      <c r="B709" s="4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4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4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4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4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4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4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4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4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OR(AND(IF(Metadata!C709="",FALSE,TRUE),OR(exact(Metadata!C709,"not applicable"),exact(Metadata!C709,"not collected"),exact(Metadata!C709,"not provided"),exact(Metadata!C709,"restricted access"))),IF(Metadata!C709="",FALSE,ISNUMBER(VALUE(Metadata!C709))))</f>
        <v>0</v>
      </c>
      <c r="W709">
        <f>AND(IF(Metadata!D709="",FALSE,TRUE),exact(Metadata!D709,"m"))</f>
        <v>0</v>
      </c>
      <c r="X709">
        <f>AND(IF(Metadata!E709="",FALSE,TRUE),OR(exact(Metadata!E709,"aerosol (non-saline)"),exact(Metadata!E709,"aerosol (saline)")))</f>
        <v>0</v>
      </c>
      <c r="Y709">
        <f>AND(IF(Metadata!F709="",FALSE,TRUE),exact(Metadata!F709,"air"))</f>
        <v>0</v>
      </c>
      <c r="Z709">
        <f>AND(IF(Metadata!G709="",FALSE,TRUE),exact(Metadata!G709,"air"))</f>
        <v>0</v>
      </c>
      <c r="AA709">
        <f>AND(IF(Metadata!H709="",FALSE,TRUE),exact(Metadata!H709,"air"))</f>
        <v>0</v>
      </c>
      <c r="AB709">
        <f>AND(IF(Metadata!I709="",FALSE,TRUE),exact(Metadata!I709,"air metagenome"))</f>
        <v>0</v>
      </c>
      <c r="AC709">
        <f>AND(IF(Metadata!J709="",FALSE,TRUE),exact(Metadata!J709,"655179"))</f>
        <v>0</v>
      </c>
    </row>
    <row r="710" spans="1:29">
      <c r="A710" s="5">
        <f>IF(B710=" "," ",HYPERLINK(CONCATENATE("#metadata!",ADDRESS(INDEX($P$2:$P$1001,MATCH(ROWS($N$2:N710),$N$2:$N$1001,0),0),1)),INDEX($S$2:$S$1001,MATCH(ROWS($N$2:N710),$N$2:$N$1001,0),0)))</f>
        <v>0</v>
      </c>
      <c r="B710" s="4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4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4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4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4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4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4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4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4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OR(AND(IF(Metadata!C710="",FALSE,TRUE),OR(exact(Metadata!C710,"not applicable"),exact(Metadata!C710,"not collected"),exact(Metadata!C710,"not provided"),exact(Metadata!C710,"restricted access"))),IF(Metadata!C710="",FALSE,ISNUMBER(VALUE(Metadata!C710))))</f>
        <v>0</v>
      </c>
      <c r="W710">
        <f>AND(IF(Metadata!D710="",FALSE,TRUE),exact(Metadata!D710,"m"))</f>
        <v>0</v>
      </c>
      <c r="X710">
        <f>AND(IF(Metadata!E710="",FALSE,TRUE),OR(exact(Metadata!E710,"aerosol (non-saline)"),exact(Metadata!E710,"aerosol (saline)")))</f>
        <v>0</v>
      </c>
      <c r="Y710">
        <f>AND(IF(Metadata!F710="",FALSE,TRUE),exact(Metadata!F710,"air"))</f>
        <v>0</v>
      </c>
      <c r="Z710">
        <f>AND(IF(Metadata!G710="",FALSE,TRUE),exact(Metadata!G710,"air"))</f>
        <v>0</v>
      </c>
      <c r="AA710">
        <f>AND(IF(Metadata!H710="",FALSE,TRUE),exact(Metadata!H710,"air"))</f>
        <v>0</v>
      </c>
      <c r="AB710">
        <f>AND(IF(Metadata!I710="",FALSE,TRUE),exact(Metadata!I710,"air metagenome"))</f>
        <v>0</v>
      </c>
      <c r="AC710">
        <f>AND(IF(Metadata!J710="",FALSE,TRUE),exact(Metadata!J710,"655179"))</f>
        <v>0</v>
      </c>
    </row>
    <row r="711" spans="1:29">
      <c r="A711" s="5">
        <f>IF(B711=" "," ",HYPERLINK(CONCATENATE("#metadata!",ADDRESS(INDEX($P$2:$P$1001,MATCH(ROWS($N$2:N711),$N$2:$N$1001,0),0),1)),INDEX($S$2:$S$1001,MATCH(ROWS($N$2:N711),$N$2:$N$1001,0),0)))</f>
        <v>0</v>
      </c>
      <c r="B711" s="4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4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4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4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4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4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4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4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4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OR(AND(IF(Metadata!C711="",FALSE,TRUE),OR(exact(Metadata!C711,"not applicable"),exact(Metadata!C711,"not collected"),exact(Metadata!C711,"not provided"),exact(Metadata!C711,"restricted access"))),IF(Metadata!C711="",FALSE,ISNUMBER(VALUE(Metadata!C711))))</f>
        <v>0</v>
      </c>
      <c r="W711">
        <f>AND(IF(Metadata!D711="",FALSE,TRUE),exact(Metadata!D711,"m"))</f>
        <v>0</v>
      </c>
      <c r="X711">
        <f>AND(IF(Metadata!E711="",FALSE,TRUE),OR(exact(Metadata!E711,"aerosol (non-saline)"),exact(Metadata!E711,"aerosol (saline)")))</f>
        <v>0</v>
      </c>
      <c r="Y711">
        <f>AND(IF(Metadata!F711="",FALSE,TRUE),exact(Metadata!F711,"air"))</f>
        <v>0</v>
      </c>
      <c r="Z711">
        <f>AND(IF(Metadata!G711="",FALSE,TRUE),exact(Metadata!G711,"air"))</f>
        <v>0</v>
      </c>
      <c r="AA711">
        <f>AND(IF(Metadata!H711="",FALSE,TRUE),exact(Metadata!H711,"air"))</f>
        <v>0</v>
      </c>
      <c r="AB711">
        <f>AND(IF(Metadata!I711="",FALSE,TRUE),exact(Metadata!I711,"air metagenome"))</f>
        <v>0</v>
      </c>
      <c r="AC711">
        <f>AND(IF(Metadata!J711="",FALSE,TRUE),exact(Metadata!J711,"655179"))</f>
        <v>0</v>
      </c>
    </row>
    <row r="712" spans="1:29">
      <c r="A712" s="5">
        <f>IF(B712=" "," ",HYPERLINK(CONCATENATE("#metadata!",ADDRESS(INDEX($P$2:$P$1001,MATCH(ROWS($N$2:N712),$N$2:$N$1001,0),0),1)),INDEX($S$2:$S$1001,MATCH(ROWS($N$2:N712),$N$2:$N$1001,0),0)))</f>
        <v>0</v>
      </c>
      <c r="B712" s="4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4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4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4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4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4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4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4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4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OR(AND(IF(Metadata!C712="",FALSE,TRUE),OR(exact(Metadata!C712,"not applicable"),exact(Metadata!C712,"not collected"),exact(Metadata!C712,"not provided"),exact(Metadata!C712,"restricted access"))),IF(Metadata!C712="",FALSE,ISNUMBER(VALUE(Metadata!C712))))</f>
        <v>0</v>
      </c>
      <c r="W712">
        <f>AND(IF(Metadata!D712="",FALSE,TRUE),exact(Metadata!D712,"m"))</f>
        <v>0</v>
      </c>
      <c r="X712">
        <f>AND(IF(Metadata!E712="",FALSE,TRUE),OR(exact(Metadata!E712,"aerosol (non-saline)"),exact(Metadata!E712,"aerosol (saline)")))</f>
        <v>0</v>
      </c>
      <c r="Y712">
        <f>AND(IF(Metadata!F712="",FALSE,TRUE),exact(Metadata!F712,"air"))</f>
        <v>0</v>
      </c>
      <c r="Z712">
        <f>AND(IF(Metadata!G712="",FALSE,TRUE),exact(Metadata!G712,"air"))</f>
        <v>0</v>
      </c>
      <c r="AA712">
        <f>AND(IF(Metadata!H712="",FALSE,TRUE),exact(Metadata!H712,"air"))</f>
        <v>0</v>
      </c>
      <c r="AB712">
        <f>AND(IF(Metadata!I712="",FALSE,TRUE),exact(Metadata!I712,"air metagenome"))</f>
        <v>0</v>
      </c>
      <c r="AC712">
        <f>AND(IF(Metadata!J712="",FALSE,TRUE),exact(Metadata!J712,"655179"))</f>
        <v>0</v>
      </c>
    </row>
    <row r="713" spans="1:29">
      <c r="A713" s="5">
        <f>IF(B713=" "," ",HYPERLINK(CONCATENATE("#metadata!",ADDRESS(INDEX($P$2:$P$1001,MATCH(ROWS($N$2:N713),$N$2:$N$1001,0),0),1)),INDEX($S$2:$S$1001,MATCH(ROWS($N$2:N713),$N$2:$N$1001,0),0)))</f>
        <v>0</v>
      </c>
      <c r="B713" s="4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4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4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4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4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4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4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4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4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OR(AND(IF(Metadata!C713="",FALSE,TRUE),OR(exact(Metadata!C713,"not applicable"),exact(Metadata!C713,"not collected"),exact(Metadata!C713,"not provided"),exact(Metadata!C713,"restricted access"))),IF(Metadata!C713="",FALSE,ISNUMBER(VALUE(Metadata!C713))))</f>
        <v>0</v>
      </c>
      <c r="W713">
        <f>AND(IF(Metadata!D713="",FALSE,TRUE),exact(Metadata!D713,"m"))</f>
        <v>0</v>
      </c>
      <c r="X713">
        <f>AND(IF(Metadata!E713="",FALSE,TRUE),OR(exact(Metadata!E713,"aerosol (non-saline)"),exact(Metadata!E713,"aerosol (saline)")))</f>
        <v>0</v>
      </c>
      <c r="Y713">
        <f>AND(IF(Metadata!F713="",FALSE,TRUE),exact(Metadata!F713,"air"))</f>
        <v>0</v>
      </c>
      <c r="Z713">
        <f>AND(IF(Metadata!G713="",FALSE,TRUE),exact(Metadata!G713,"air"))</f>
        <v>0</v>
      </c>
      <c r="AA713">
        <f>AND(IF(Metadata!H713="",FALSE,TRUE),exact(Metadata!H713,"air"))</f>
        <v>0</v>
      </c>
      <c r="AB713">
        <f>AND(IF(Metadata!I713="",FALSE,TRUE),exact(Metadata!I713,"air metagenome"))</f>
        <v>0</v>
      </c>
      <c r="AC713">
        <f>AND(IF(Metadata!J713="",FALSE,TRUE),exact(Metadata!J713,"655179"))</f>
        <v>0</v>
      </c>
    </row>
    <row r="714" spans="1:29">
      <c r="A714" s="5">
        <f>IF(B714=" "," ",HYPERLINK(CONCATENATE("#metadata!",ADDRESS(INDEX($P$2:$P$1001,MATCH(ROWS($N$2:N714),$N$2:$N$1001,0),0),1)),INDEX($S$2:$S$1001,MATCH(ROWS($N$2:N714),$N$2:$N$1001,0),0)))</f>
        <v>0</v>
      </c>
      <c r="B714" s="4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4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4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4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4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4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4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4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4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OR(AND(IF(Metadata!C714="",FALSE,TRUE),OR(exact(Metadata!C714,"not applicable"),exact(Metadata!C714,"not collected"),exact(Metadata!C714,"not provided"),exact(Metadata!C714,"restricted access"))),IF(Metadata!C714="",FALSE,ISNUMBER(VALUE(Metadata!C714))))</f>
        <v>0</v>
      </c>
      <c r="W714">
        <f>AND(IF(Metadata!D714="",FALSE,TRUE),exact(Metadata!D714,"m"))</f>
        <v>0</v>
      </c>
      <c r="X714">
        <f>AND(IF(Metadata!E714="",FALSE,TRUE),OR(exact(Metadata!E714,"aerosol (non-saline)"),exact(Metadata!E714,"aerosol (saline)")))</f>
        <v>0</v>
      </c>
      <c r="Y714">
        <f>AND(IF(Metadata!F714="",FALSE,TRUE),exact(Metadata!F714,"air"))</f>
        <v>0</v>
      </c>
      <c r="Z714">
        <f>AND(IF(Metadata!G714="",FALSE,TRUE),exact(Metadata!G714,"air"))</f>
        <v>0</v>
      </c>
      <c r="AA714">
        <f>AND(IF(Metadata!H714="",FALSE,TRUE),exact(Metadata!H714,"air"))</f>
        <v>0</v>
      </c>
      <c r="AB714">
        <f>AND(IF(Metadata!I714="",FALSE,TRUE),exact(Metadata!I714,"air metagenome"))</f>
        <v>0</v>
      </c>
      <c r="AC714">
        <f>AND(IF(Metadata!J714="",FALSE,TRUE),exact(Metadata!J714,"655179"))</f>
        <v>0</v>
      </c>
    </row>
    <row r="715" spans="1:29">
      <c r="A715" s="5">
        <f>IF(B715=" "," ",HYPERLINK(CONCATENATE("#metadata!",ADDRESS(INDEX($P$2:$P$1001,MATCH(ROWS($N$2:N715),$N$2:$N$1001,0),0),1)),INDEX($S$2:$S$1001,MATCH(ROWS($N$2:N715),$N$2:$N$1001,0),0)))</f>
        <v>0</v>
      </c>
      <c r="B715" s="4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4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4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4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4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4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4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4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4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OR(AND(IF(Metadata!C715="",FALSE,TRUE),OR(exact(Metadata!C715,"not applicable"),exact(Metadata!C715,"not collected"),exact(Metadata!C715,"not provided"),exact(Metadata!C715,"restricted access"))),IF(Metadata!C715="",FALSE,ISNUMBER(VALUE(Metadata!C715))))</f>
        <v>0</v>
      </c>
      <c r="W715">
        <f>AND(IF(Metadata!D715="",FALSE,TRUE),exact(Metadata!D715,"m"))</f>
        <v>0</v>
      </c>
      <c r="X715">
        <f>AND(IF(Metadata!E715="",FALSE,TRUE),OR(exact(Metadata!E715,"aerosol (non-saline)"),exact(Metadata!E715,"aerosol (saline)")))</f>
        <v>0</v>
      </c>
      <c r="Y715">
        <f>AND(IF(Metadata!F715="",FALSE,TRUE),exact(Metadata!F715,"air"))</f>
        <v>0</v>
      </c>
      <c r="Z715">
        <f>AND(IF(Metadata!G715="",FALSE,TRUE),exact(Metadata!G715,"air"))</f>
        <v>0</v>
      </c>
      <c r="AA715">
        <f>AND(IF(Metadata!H715="",FALSE,TRUE),exact(Metadata!H715,"air"))</f>
        <v>0</v>
      </c>
      <c r="AB715">
        <f>AND(IF(Metadata!I715="",FALSE,TRUE),exact(Metadata!I715,"air metagenome"))</f>
        <v>0</v>
      </c>
      <c r="AC715">
        <f>AND(IF(Metadata!J715="",FALSE,TRUE),exact(Metadata!J715,"655179"))</f>
        <v>0</v>
      </c>
    </row>
    <row r="716" spans="1:29">
      <c r="A716" s="5">
        <f>IF(B716=" "," ",HYPERLINK(CONCATENATE("#metadata!",ADDRESS(INDEX($P$2:$P$1001,MATCH(ROWS($N$2:N716),$N$2:$N$1001,0),0),1)),INDEX($S$2:$S$1001,MATCH(ROWS($N$2:N716),$N$2:$N$1001,0),0)))</f>
        <v>0</v>
      </c>
      <c r="B716" s="4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4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4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4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4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4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4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4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4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OR(AND(IF(Metadata!C716="",FALSE,TRUE),OR(exact(Metadata!C716,"not applicable"),exact(Metadata!C716,"not collected"),exact(Metadata!C716,"not provided"),exact(Metadata!C716,"restricted access"))),IF(Metadata!C716="",FALSE,ISNUMBER(VALUE(Metadata!C716))))</f>
        <v>0</v>
      </c>
      <c r="W716">
        <f>AND(IF(Metadata!D716="",FALSE,TRUE),exact(Metadata!D716,"m"))</f>
        <v>0</v>
      </c>
      <c r="X716">
        <f>AND(IF(Metadata!E716="",FALSE,TRUE),OR(exact(Metadata!E716,"aerosol (non-saline)"),exact(Metadata!E716,"aerosol (saline)")))</f>
        <v>0</v>
      </c>
      <c r="Y716">
        <f>AND(IF(Metadata!F716="",FALSE,TRUE),exact(Metadata!F716,"air"))</f>
        <v>0</v>
      </c>
      <c r="Z716">
        <f>AND(IF(Metadata!G716="",FALSE,TRUE),exact(Metadata!G716,"air"))</f>
        <v>0</v>
      </c>
      <c r="AA716">
        <f>AND(IF(Metadata!H716="",FALSE,TRUE),exact(Metadata!H716,"air"))</f>
        <v>0</v>
      </c>
      <c r="AB716">
        <f>AND(IF(Metadata!I716="",FALSE,TRUE),exact(Metadata!I716,"air metagenome"))</f>
        <v>0</v>
      </c>
      <c r="AC716">
        <f>AND(IF(Metadata!J716="",FALSE,TRUE),exact(Metadata!J716,"655179"))</f>
        <v>0</v>
      </c>
    </row>
    <row r="717" spans="1:29">
      <c r="A717" s="5">
        <f>IF(B717=" "," ",HYPERLINK(CONCATENATE("#metadata!",ADDRESS(INDEX($P$2:$P$1001,MATCH(ROWS($N$2:N717),$N$2:$N$1001,0),0),1)),INDEX($S$2:$S$1001,MATCH(ROWS($N$2:N717),$N$2:$N$1001,0),0)))</f>
        <v>0</v>
      </c>
      <c r="B717" s="4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4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4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4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4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4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4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4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4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OR(AND(IF(Metadata!C717="",FALSE,TRUE),OR(exact(Metadata!C717,"not applicable"),exact(Metadata!C717,"not collected"),exact(Metadata!C717,"not provided"),exact(Metadata!C717,"restricted access"))),IF(Metadata!C717="",FALSE,ISNUMBER(VALUE(Metadata!C717))))</f>
        <v>0</v>
      </c>
      <c r="W717">
        <f>AND(IF(Metadata!D717="",FALSE,TRUE),exact(Metadata!D717,"m"))</f>
        <v>0</v>
      </c>
      <c r="X717">
        <f>AND(IF(Metadata!E717="",FALSE,TRUE),OR(exact(Metadata!E717,"aerosol (non-saline)"),exact(Metadata!E717,"aerosol (saline)")))</f>
        <v>0</v>
      </c>
      <c r="Y717">
        <f>AND(IF(Metadata!F717="",FALSE,TRUE),exact(Metadata!F717,"air"))</f>
        <v>0</v>
      </c>
      <c r="Z717">
        <f>AND(IF(Metadata!G717="",FALSE,TRUE),exact(Metadata!G717,"air"))</f>
        <v>0</v>
      </c>
      <c r="AA717">
        <f>AND(IF(Metadata!H717="",FALSE,TRUE),exact(Metadata!H717,"air"))</f>
        <v>0</v>
      </c>
      <c r="AB717">
        <f>AND(IF(Metadata!I717="",FALSE,TRUE),exact(Metadata!I717,"air metagenome"))</f>
        <v>0</v>
      </c>
      <c r="AC717">
        <f>AND(IF(Metadata!J717="",FALSE,TRUE),exact(Metadata!J717,"655179"))</f>
        <v>0</v>
      </c>
    </row>
    <row r="718" spans="1:29">
      <c r="A718" s="5">
        <f>IF(B718=" "," ",HYPERLINK(CONCATENATE("#metadata!",ADDRESS(INDEX($P$2:$P$1001,MATCH(ROWS($N$2:N718),$N$2:$N$1001,0),0),1)),INDEX($S$2:$S$1001,MATCH(ROWS($N$2:N718),$N$2:$N$1001,0),0)))</f>
        <v>0</v>
      </c>
      <c r="B718" s="4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4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4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4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4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4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4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4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4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OR(AND(IF(Metadata!C718="",FALSE,TRUE),OR(exact(Metadata!C718,"not applicable"),exact(Metadata!C718,"not collected"),exact(Metadata!C718,"not provided"),exact(Metadata!C718,"restricted access"))),IF(Metadata!C718="",FALSE,ISNUMBER(VALUE(Metadata!C718))))</f>
        <v>0</v>
      </c>
      <c r="W718">
        <f>AND(IF(Metadata!D718="",FALSE,TRUE),exact(Metadata!D718,"m"))</f>
        <v>0</v>
      </c>
      <c r="X718">
        <f>AND(IF(Metadata!E718="",FALSE,TRUE),OR(exact(Metadata!E718,"aerosol (non-saline)"),exact(Metadata!E718,"aerosol (saline)")))</f>
        <v>0</v>
      </c>
      <c r="Y718">
        <f>AND(IF(Metadata!F718="",FALSE,TRUE),exact(Metadata!F718,"air"))</f>
        <v>0</v>
      </c>
      <c r="Z718">
        <f>AND(IF(Metadata!G718="",FALSE,TRUE),exact(Metadata!G718,"air"))</f>
        <v>0</v>
      </c>
      <c r="AA718">
        <f>AND(IF(Metadata!H718="",FALSE,TRUE),exact(Metadata!H718,"air"))</f>
        <v>0</v>
      </c>
      <c r="AB718">
        <f>AND(IF(Metadata!I718="",FALSE,TRUE),exact(Metadata!I718,"air metagenome"))</f>
        <v>0</v>
      </c>
      <c r="AC718">
        <f>AND(IF(Metadata!J718="",FALSE,TRUE),exact(Metadata!J718,"655179"))</f>
        <v>0</v>
      </c>
    </row>
    <row r="719" spans="1:29">
      <c r="A719" s="5">
        <f>IF(B719=" "," ",HYPERLINK(CONCATENATE("#metadata!",ADDRESS(INDEX($P$2:$P$1001,MATCH(ROWS($N$2:N719),$N$2:$N$1001,0),0),1)),INDEX($S$2:$S$1001,MATCH(ROWS($N$2:N719),$N$2:$N$1001,0),0)))</f>
        <v>0</v>
      </c>
      <c r="B719" s="4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4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4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4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4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4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4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4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4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OR(AND(IF(Metadata!C719="",FALSE,TRUE),OR(exact(Metadata!C719,"not applicable"),exact(Metadata!C719,"not collected"),exact(Metadata!C719,"not provided"),exact(Metadata!C719,"restricted access"))),IF(Metadata!C719="",FALSE,ISNUMBER(VALUE(Metadata!C719))))</f>
        <v>0</v>
      </c>
      <c r="W719">
        <f>AND(IF(Metadata!D719="",FALSE,TRUE),exact(Metadata!D719,"m"))</f>
        <v>0</v>
      </c>
      <c r="X719">
        <f>AND(IF(Metadata!E719="",FALSE,TRUE),OR(exact(Metadata!E719,"aerosol (non-saline)"),exact(Metadata!E719,"aerosol (saline)")))</f>
        <v>0</v>
      </c>
      <c r="Y719">
        <f>AND(IF(Metadata!F719="",FALSE,TRUE),exact(Metadata!F719,"air"))</f>
        <v>0</v>
      </c>
      <c r="Z719">
        <f>AND(IF(Metadata!G719="",FALSE,TRUE),exact(Metadata!G719,"air"))</f>
        <v>0</v>
      </c>
      <c r="AA719">
        <f>AND(IF(Metadata!H719="",FALSE,TRUE),exact(Metadata!H719,"air"))</f>
        <v>0</v>
      </c>
      <c r="AB719">
        <f>AND(IF(Metadata!I719="",FALSE,TRUE),exact(Metadata!I719,"air metagenome"))</f>
        <v>0</v>
      </c>
      <c r="AC719">
        <f>AND(IF(Metadata!J719="",FALSE,TRUE),exact(Metadata!J719,"655179"))</f>
        <v>0</v>
      </c>
    </row>
    <row r="720" spans="1:29">
      <c r="A720" s="5">
        <f>IF(B720=" "," ",HYPERLINK(CONCATENATE("#metadata!",ADDRESS(INDEX($P$2:$P$1001,MATCH(ROWS($N$2:N720),$N$2:$N$1001,0),0),1)),INDEX($S$2:$S$1001,MATCH(ROWS($N$2:N720),$N$2:$N$1001,0),0)))</f>
        <v>0</v>
      </c>
      <c r="B720" s="4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4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4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4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4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4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4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4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4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OR(AND(IF(Metadata!C720="",FALSE,TRUE),OR(exact(Metadata!C720,"not applicable"),exact(Metadata!C720,"not collected"),exact(Metadata!C720,"not provided"),exact(Metadata!C720,"restricted access"))),IF(Metadata!C720="",FALSE,ISNUMBER(VALUE(Metadata!C720))))</f>
        <v>0</v>
      </c>
      <c r="W720">
        <f>AND(IF(Metadata!D720="",FALSE,TRUE),exact(Metadata!D720,"m"))</f>
        <v>0</v>
      </c>
      <c r="X720">
        <f>AND(IF(Metadata!E720="",FALSE,TRUE),OR(exact(Metadata!E720,"aerosol (non-saline)"),exact(Metadata!E720,"aerosol (saline)")))</f>
        <v>0</v>
      </c>
      <c r="Y720">
        <f>AND(IF(Metadata!F720="",FALSE,TRUE),exact(Metadata!F720,"air"))</f>
        <v>0</v>
      </c>
      <c r="Z720">
        <f>AND(IF(Metadata!G720="",FALSE,TRUE),exact(Metadata!G720,"air"))</f>
        <v>0</v>
      </c>
      <c r="AA720">
        <f>AND(IF(Metadata!H720="",FALSE,TRUE),exact(Metadata!H720,"air"))</f>
        <v>0</v>
      </c>
      <c r="AB720">
        <f>AND(IF(Metadata!I720="",FALSE,TRUE),exact(Metadata!I720,"air metagenome"))</f>
        <v>0</v>
      </c>
      <c r="AC720">
        <f>AND(IF(Metadata!J720="",FALSE,TRUE),exact(Metadata!J720,"655179"))</f>
        <v>0</v>
      </c>
    </row>
    <row r="721" spans="1:29">
      <c r="A721" s="5">
        <f>IF(B721=" "," ",HYPERLINK(CONCATENATE("#metadata!",ADDRESS(INDEX($P$2:$P$1001,MATCH(ROWS($N$2:N721),$N$2:$N$1001,0),0),1)),INDEX($S$2:$S$1001,MATCH(ROWS($N$2:N721),$N$2:$N$1001,0),0)))</f>
        <v>0</v>
      </c>
      <c r="B721" s="4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4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4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4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4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4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4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4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4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OR(AND(IF(Metadata!C721="",FALSE,TRUE),OR(exact(Metadata!C721,"not applicable"),exact(Metadata!C721,"not collected"),exact(Metadata!C721,"not provided"),exact(Metadata!C721,"restricted access"))),IF(Metadata!C721="",FALSE,ISNUMBER(VALUE(Metadata!C721))))</f>
        <v>0</v>
      </c>
      <c r="W721">
        <f>AND(IF(Metadata!D721="",FALSE,TRUE),exact(Metadata!D721,"m"))</f>
        <v>0</v>
      </c>
      <c r="X721">
        <f>AND(IF(Metadata!E721="",FALSE,TRUE),OR(exact(Metadata!E721,"aerosol (non-saline)"),exact(Metadata!E721,"aerosol (saline)")))</f>
        <v>0</v>
      </c>
      <c r="Y721">
        <f>AND(IF(Metadata!F721="",FALSE,TRUE),exact(Metadata!F721,"air"))</f>
        <v>0</v>
      </c>
      <c r="Z721">
        <f>AND(IF(Metadata!G721="",FALSE,TRUE),exact(Metadata!G721,"air"))</f>
        <v>0</v>
      </c>
      <c r="AA721">
        <f>AND(IF(Metadata!H721="",FALSE,TRUE),exact(Metadata!H721,"air"))</f>
        <v>0</v>
      </c>
      <c r="AB721">
        <f>AND(IF(Metadata!I721="",FALSE,TRUE),exact(Metadata!I721,"air metagenome"))</f>
        <v>0</v>
      </c>
      <c r="AC721">
        <f>AND(IF(Metadata!J721="",FALSE,TRUE),exact(Metadata!J721,"655179"))</f>
        <v>0</v>
      </c>
    </row>
    <row r="722" spans="1:29">
      <c r="A722" s="5">
        <f>IF(B722=" "," ",HYPERLINK(CONCATENATE("#metadata!",ADDRESS(INDEX($P$2:$P$1001,MATCH(ROWS($N$2:N722),$N$2:$N$1001,0),0),1)),INDEX($S$2:$S$1001,MATCH(ROWS($N$2:N722),$N$2:$N$1001,0),0)))</f>
        <v>0</v>
      </c>
      <c r="B722" s="4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4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4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4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4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4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4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4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4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OR(AND(IF(Metadata!C722="",FALSE,TRUE),OR(exact(Metadata!C722,"not applicable"),exact(Metadata!C722,"not collected"),exact(Metadata!C722,"not provided"),exact(Metadata!C722,"restricted access"))),IF(Metadata!C722="",FALSE,ISNUMBER(VALUE(Metadata!C722))))</f>
        <v>0</v>
      </c>
      <c r="W722">
        <f>AND(IF(Metadata!D722="",FALSE,TRUE),exact(Metadata!D722,"m"))</f>
        <v>0</v>
      </c>
      <c r="X722">
        <f>AND(IF(Metadata!E722="",FALSE,TRUE),OR(exact(Metadata!E722,"aerosol (non-saline)"),exact(Metadata!E722,"aerosol (saline)")))</f>
        <v>0</v>
      </c>
      <c r="Y722">
        <f>AND(IF(Metadata!F722="",FALSE,TRUE),exact(Metadata!F722,"air"))</f>
        <v>0</v>
      </c>
      <c r="Z722">
        <f>AND(IF(Metadata!G722="",FALSE,TRUE),exact(Metadata!G722,"air"))</f>
        <v>0</v>
      </c>
      <c r="AA722">
        <f>AND(IF(Metadata!H722="",FALSE,TRUE),exact(Metadata!H722,"air"))</f>
        <v>0</v>
      </c>
      <c r="AB722">
        <f>AND(IF(Metadata!I722="",FALSE,TRUE),exact(Metadata!I722,"air metagenome"))</f>
        <v>0</v>
      </c>
      <c r="AC722">
        <f>AND(IF(Metadata!J722="",FALSE,TRUE),exact(Metadata!J722,"655179"))</f>
        <v>0</v>
      </c>
    </row>
    <row r="723" spans="1:29">
      <c r="A723" s="5">
        <f>IF(B723=" "," ",HYPERLINK(CONCATENATE("#metadata!",ADDRESS(INDEX($P$2:$P$1001,MATCH(ROWS($N$2:N723),$N$2:$N$1001,0),0),1)),INDEX($S$2:$S$1001,MATCH(ROWS($N$2:N723),$N$2:$N$1001,0),0)))</f>
        <v>0</v>
      </c>
      <c r="B723" s="4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4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4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4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4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4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4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4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4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OR(AND(IF(Metadata!C723="",FALSE,TRUE),OR(exact(Metadata!C723,"not applicable"),exact(Metadata!C723,"not collected"),exact(Metadata!C723,"not provided"),exact(Metadata!C723,"restricted access"))),IF(Metadata!C723="",FALSE,ISNUMBER(VALUE(Metadata!C723))))</f>
        <v>0</v>
      </c>
      <c r="W723">
        <f>AND(IF(Metadata!D723="",FALSE,TRUE),exact(Metadata!D723,"m"))</f>
        <v>0</v>
      </c>
      <c r="X723">
        <f>AND(IF(Metadata!E723="",FALSE,TRUE),OR(exact(Metadata!E723,"aerosol (non-saline)"),exact(Metadata!E723,"aerosol (saline)")))</f>
        <v>0</v>
      </c>
      <c r="Y723">
        <f>AND(IF(Metadata!F723="",FALSE,TRUE),exact(Metadata!F723,"air"))</f>
        <v>0</v>
      </c>
      <c r="Z723">
        <f>AND(IF(Metadata!G723="",FALSE,TRUE),exact(Metadata!G723,"air"))</f>
        <v>0</v>
      </c>
      <c r="AA723">
        <f>AND(IF(Metadata!H723="",FALSE,TRUE),exact(Metadata!H723,"air"))</f>
        <v>0</v>
      </c>
      <c r="AB723">
        <f>AND(IF(Metadata!I723="",FALSE,TRUE),exact(Metadata!I723,"air metagenome"))</f>
        <v>0</v>
      </c>
      <c r="AC723">
        <f>AND(IF(Metadata!J723="",FALSE,TRUE),exact(Metadata!J723,"655179"))</f>
        <v>0</v>
      </c>
    </row>
    <row r="724" spans="1:29">
      <c r="A724" s="5">
        <f>IF(B724=" "," ",HYPERLINK(CONCATENATE("#metadata!",ADDRESS(INDEX($P$2:$P$1001,MATCH(ROWS($N$2:N724),$N$2:$N$1001,0),0),1)),INDEX($S$2:$S$1001,MATCH(ROWS($N$2:N724),$N$2:$N$1001,0),0)))</f>
        <v>0</v>
      </c>
      <c r="B724" s="4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4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4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4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4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4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4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4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4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OR(AND(IF(Metadata!C724="",FALSE,TRUE),OR(exact(Metadata!C724,"not applicable"),exact(Metadata!C724,"not collected"),exact(Metadata!C724,"not provided"),exact(Metadata!C724,"restricted access"))),IF(Metadata!C724="",FALSE,ISNUMBER(VALUE(Metadata!C724))))</f>
        <v>0</v>
      </c>
      <c r="W724">
        <f>AND(IF(Metadata!D724="",FALSE,TRUE),exact(Metadata!D724,"m"))</f>
        <v>0</v>
      </c>
      <c r="X724">
        <f>AND(IF(Metadata!E724="",FALSE,TRUE),OR(exact(Metadata!E724,"aerosol (non-saline)"),exact(Metadata!E724,"aerosol (saline)")))</f>
        <v>0</v>
      </c>
      <c r="Y724">
        <f>AND(IF(Metadata!F724="",FALSE,TRUE),exact(Metadata!F724,"air"))</f>
        <v>0</v>
      </c>
      <c r="Z724">
        <f>AND(IF(Metadata!G724="",FALSE,TRUE),exact(Metadata!G724,"air"))</f>
        <v>0</v>
      </c>
      <c r="AA724">
        <f>AND(IF(Metadata!H724="",FALSE,TRUE),exact(Metadata!H724,"air"))</f>
        <v>0</v>
      </c>
      <c r="AB724">
        <f>AND(IF(Metadata!I724="",FALSE,TRUE),exact(Metadata!I724,"air metagenome"))</f>
        <v>0</v>
      </c>
      <c r="AC724">
        <f>AND(IF(Metadata!J724="",FALSE,TRUE),exact(Metadata!J724,"655179"))</f>
        <v>0</v>
      </c>
    </row>
    <row r="725" spans="1:29">
      <c r="A725" s="5">
        <f>IF(B725=" "," ",HYPERLINK(CONCATENATE("#metadata!",ADDRESS(INDEX($P$2:$P$1001,MATCH(ROWS($N$2:N725),$N$2:$N$1001,0),0),1)),INDEX($S$2:$S$1001,MATCH(ROWS($N$2:N725),$N$2:$N$1001,0),0)))</f>
        <v>0</v>
      </c>
      <c r="B725" s="4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4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4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4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4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4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4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4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4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OR(AND(IF(Metadata!C725="",FALSE,TRUE),OR(exact(Metadata!C725,"not applicable"),exact(Metadata!C725,"not collected"),exact(Metadata!C725,"not provided"),exact(Metadata!C725,"restricted access"))),IF(Metadata!C725="",FALSE,ISNUMBER(VALUE(Metadata!C725))))</f>
        <v>0</v>
      </c>
      <c r="W725">
        <f>AND(IF(Metadata!D725="",FALSE,TRUE),exact(Metadata!D725,"m"))</f>
        <v>0</v>
      </c>
      <c r="X725">
        <f>AND(IF(Metadata!E725="",FALSE,TRUE),OR(exact(Metadata!E725,"aerosol (non-saline)"),exact(Metadata!E725,"aerosol (saline)")))</f>
        <v>0</v>
      </c>
      <c r="Y725">
        <f>AND(IF(Metadata!F725="",FALSE,TRUE),exact(Metadata!F725,"air"))</f>
        <v>0</v>
      </c>
      <c r="Z725">
        <f>AND(IF(Metadata!G725="",FALSE,TRUE),exact(Metadata!G725,"air"))</f>
        <v>0</v>
      </c>
      <c r="AA725">
        <f>AND(IF(Metadata!H725="",FALSE,TRUE),exact(Metadata!H725,"air"))</f>
        <v>0</v>
      </c>
      <c r="AB725">
        <f>AND(IF(Metadata!I725="",FALSE,TRUE),exact(Metadata!I725,"air metagenome"))</f>
        <v>0</v>
      </c>
      <c r="AC725">
        <f>AND(IF(Metadata!J725="",FALSE,TRUE),exact(Metadata!J725,"655179"))</f>
        <v>0</v>
      </c>
    </row>
    <row r="726" spans="1:29">
      <c r="A726" s="5">
        <f>IF(B726=" "," ",HYPERLINK(CONCATENATE("#metadata!",ADDRESS(INDEX($P$2:$P$1001,MATCH(ROWS($N$2:N726),$N$2:$N$1001,0),0),1)),INDEX($S$2:$S$1001,MATCH(ROWS($N$2:N726),$N$2:$N$1001,0),0)))</f>
        <v>0</v>
      </c>
      <c r="B726" s="4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4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4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4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4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4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4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4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4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OR(AND(IF(Metadata!C726="",FALSE,TRUE),OR(exact(Metadata!C726,"not applicable"),exact(Metadata!C726,"not collected"),exact(Metadata!C726,"not provided"),exact(Metadata!C726,"restricted access"))),IF(Metadata!C726="",FALSE,ISNUMBER(VALUE(Metadata!C726))))</f>
        <v>0</v>
      </c>
      <c r="W726">
        <f>AND(IF(Metadata!D726="",FALSE,TRUE),exact(Metadata!D726,"m"))</f>
        <v>0</v>
      </c>
      <c r="X726">
        <f>AND(IF(Metadata!E726="",FALSE,TRUE),OR(exact(Metadata!E726,"aerosol (non-saline)"),exact(Metadata!E726,"aerosol (saline)")))</f>
        <v>0</v>
      </c>
      <c r="Y726">
        <f>AND(IF(Metadata!F726="",FALSE,TRUE),exact(Metadata!F726,"air"))</f>
        <v>0</v>
      </c>
      <c r="Z726">
        <f>AND(IF(Metadata!G726="",FALSE,TRUE),exact(Metadata!G726,"air"))</f>
        <v>0</v>
      </c>
      <c r="AA726">
        <f>AND(IF(Metadata!H726="",FALSE,TRUE),exact(Metadata!H726,"air"))</f>
        <v>0</v>
      </c>
      <c r="AB726">
        <f>AND(IF(Metadata!I726="",FALSE,TRUE),exact(Metadata!I726,"air metagenome"))</f>
        <v>0</v>
      </c>
      <c r="AC726">
        <f>AND(IF(Metadata!J726="",FALSE,TRUE),exact(Metadata!J726,"655179"))</f>
        <v>0</v>
      </c>
    </row>
    <row r="727" spans="1:29">
      <c r="A727" s="5">
        <f>IF(B727=" "," ",HYPERLINK(CONCATENATE("#metadata!",ADDRESS(INDEX($P$2:$P$1001,MATCH(ROWS($N$2:N727),$N$2:$N$1001,0),0),1)),INDEX($S$2:$S$1001,MATCH(ROWS($N$2:N727),$N$2:$N$1001,0),0)))</f>
        <v>0</v>
      </c>
      <c r="B727" s="4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4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4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4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4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4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4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4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4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OR(AND(IF(Metadata!C727="",FALSE,TRUE),OR(exact(Metadata!C727,"not applicable"),exact(Metadata!C727,"not collected"),exact(Metadata!C727,"not provided"),exact(Metadata!C727,"restricted access"))),IF(Metadata!C727="",FALSE,ISNUMBER(VALUE(Metadata!C727))))</f>
        <v>0</v>
      </c>
      <c r="W727">
        <f>AND(IF(Metadata!D727="",FALSE,TRUE),exact(Metadata!D727,"m"))</f>
        <v>0</v>
      </c>
      <c r="X727">
        <f>AND(IF(Metadata!E727="",FALSE,TRUE),OR(exact(Metadata!E727,"aerosol (non-saline)"),exact(Metadata!E727,"aerosol (saline)")))</f>
        <v>0</v>
      </c>
      <c r="Y727">
        <f>AND(IF(Metadata!F727="",FALSE,TRUE),exact(Metadata!F727,"air"))</f>
        <v>0</v>
      </c>
      <c r="Z727">
        <f>AND(IF(Metadata!G727="",FALSE,TRUE),exact(Metadata!G727,"air"))</f>
        <v>0</v>
      </c>
      <c r="AA727">
        <f>AND(IF(Metadata!H727="",FALSE,TRUE),exact(Metadata!H727,"air"))</f>
        <v>0</v>
      </c>
      <c r="AB727">
        <f>AND(IF(Metadata!I727="",FALSE,TRUE),exact(Metadata!I727,"air metagenome"))</f>
        <v>0</v>
      </c>
      <c r="AC727">
        <f>AND(IF(Metadata!J727="",FALSE,TRUE),exact(Metadata!J727,"655179"))</f>
        <v>0</v>
      </c>
    </row>
    <row r="728" spans="1:29">
      <c r="A728" s="5">
        <f>IF(B728=" "," ",HYPERLINK(CONCATENATE("#metadata!",ADDRESS(INDEX($P$2:$P$1001,MATCH(ROWS($N$2:N728),$N$2:$N$1001,0),0),1)),INDEX($S$2:$S$1001,MATCH(ROWS($N$2:N728),$N$2:$N$1001,0),0)))</f>
        <v>0</v>
      </c>
      <c r="B728" s="4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4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4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4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4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4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4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4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4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OR(AND(IF(Metadata!C728="",FALSE,TRUE),OR(exact(Metadata!C728,"not applicable"),exact(Metadata!C728,"not collected"),exact(Metadata!C728,"not provided"),exact(Metadata!C728,"restricted access"))),IF(Metadata!C728="",FALSE,ISNUMBER(VALUE(Metadata!C728))))</f>
        <v>0</v>
      </c>
      <c r="W728">
        <f>AND(IF(Metadata!D728="",FALSE,TRUE),exact(Metadata!D728,"m"))</f>
        <v>0</v>
      </c>
      <c r="X728">
        <f>AND(IF(Metadata!E728="",FALSE,TRUE),OR(exact(Metadata!E728,"aerosol (non-saline)"),exact(Metadata!E728,"aerosol (saline)")))</f>
        <v>0</v>
      </c>
      <c r="Y728">
        <f>AND(IF(Metadata!F728="",FALSE,TRUE),exact(Metadata!F728,"air"))</f>
        <v>0</v>
      </c>
      <c r="Z728">
        <f>AND(IF(Metadata!G728="",FALSE,TRUE),exact(Metadata!G728,"air"))</f>
        <v>0</v>
      </c>
      <c r="AA728">
        <f>AND(IF(Metadata!H728="",FALSE,TRUE),exact(Metadata!H728,"air"))</f>
        <v>0</v>
      </c>
      <c r="AB728">
        <f>AND(IF(Metadata!I728="",FALSE,TRUE),exact(Metadata!I728,"air metagenome"))</f>
        <v>0</v>
      </c>
      <c r="AC728">
        <f>AND(IF(Metadata!J728="",FALSE,TRUE),exact(Metadata!J728,"655179"))</f>
        <v>0</v>
      </c>
    </row>
    <row r="729" spans="1:29">
      <c r="A729" s="5">
        <f>IF(B729=" "," ",HYPERLINK(CONCATENATE("#metadata!",ADDRESS(INDEX($P$2:$P$1001,MATCH(ROWS($N$2:N729),$N$2:$N$1001,0),0),1)),INDEX($S$2:$S$1001,MATCH(ROWS($N$2:N729),$N$2:$N$1001,0),0)))</f>
        <v>0</v>
      </c>
      <c r="B729" s="4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4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4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4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4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4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4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4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4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OR(AND(IF(Metadata!C729="",FALSE,TRUE),OR(exact(Metadata!C729,"not applicable"),exact(Metadata!C729,"not collected"),exact(Metadata!C729,"not provided"),exact(Metadata!C729,"restricted access"))),IF(Metadata!C729="",FALSE,ISNUMBER(VALUE(Metadata!C729))))</f>
        <v>0</v>
      </c>
      <c r="W729">
        <f>AND(IF(Metadata!D729="",FALSE,TRUE),exact(Metadata!D729,"m"))</f>
        <v>0</v>
      </c>
      <c r="X729">
        <f>AND(IF(Metadata!E729="",FALSE,TRUE),OR(exact(Metadata!E729,"aerosol (non-saline)"),exact(Metadata!E729,"aerosol (saline)")))</f>
        <v>0</v>
      </c>
      <c r="Y729">
        <f>AND(IF(Metadata!F729="",FALSE,TRUE),exact(Metadata!F729,"air"))</f>
        <v>0</v>
      </c>
      <c r="Z729">
        <f>AND(IF(Metadata!G729="",FALSE,TRUE),exact(Metadata!G729,"air"))</f>
        <v>0</v>
      </c>
      <c r="AA729">
        <f>AND(IF(Metadata!H729="",FALSE,TRUE),exact(Metadata!H729,"air"))</f>
        <v>0</v>
      </c>
      <c r="AB729">
        <f>AND(IF(Metadata!I729="",FALSE,TRUE),exact(Metadata!I729,"air metagenome"))</f>
        <v>0</v>
      </c>
      <c r="AC729">
        <f>AND(IF(Metadata!J729="",FALSE,TRUE),exact(Metadata!J729,"655179"))</f>
        <v>0</v>
      </c>
    </row>
    <row r="730" spans="1:29">
      <c r="A730" s="5">
        <f>IF(B730=" "," ",HYPERLINK(CONCATENATE("#metadata!",ADDRESS(INDEX($P$2:$P$1001,MATCH(ROWS($N$2:N730),$N$2:$N$1001,0),0),1)),INDEX($S$2:$S$1001,MATCH(ROWS($N$2:N730),$N$2:$N$1001,0),0)))</f>
        <v>0</v>
      </c>
      <c r="B730" s="4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4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4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4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4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4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4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4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4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OR(AND(IF(Metadata!C730="",FALSE,TRUE),OR(exact(Metadata!C730,"not applicable"),exact(Metadata!C730,"not collected"),exact(Metadata!C730,"not provided"),exact(Metadata!C730,"restricted access"))),IF(Metadata!C730="",FALSE,ISNUMBER(VALUE(Metadata!C730))))</f>
        <v>0</v>
      </c>
      <c r="W730">
        <f>AND(IF(Metadata!D730="",FALSE,TRUE),exact(Metadata!D730,"m"))</f>
        <v>0</v>
      </c>
      <c r="X730">
        <f>AND(IF(Metadata!E730="",FALSE,TRUE),OR(exact(Metadata!E730,"aerosol (non-saline)"),exact(Metadata!E730,"aerosol (saline)")))</f>
        <v>0</v>
      </c>
      <c r="Y730">
        <f>AND(IF(Metadata!F730="",FALSE,TRUE),exact(Metadata!F730,"air"))</f>
        <v>0</v>
      </c>
      <c r="Z730">
        <f>AND(IF(Metadata!G730="",FALSE,TRUE),exact(Metadata!G730,"air"))</f>
        <v>0</v>
      </c>
      <c r="AA730">
        <f>AND(IF(Metadata!H730="",FALSE,TRUE),exact(Metadata!H730,"air"))</f>
        <v>0</v>
      </c>
      <c r="AB730">
        <f>AND(IF(Metadata!I730="",FALSE,TRUE),exact(Metadata!I730,"air metagenome"))</f>
        <v>0</v>
      </c>
      <c r="AC730">
        <f>AND(IF(Metadata!J730="",FALSE,TRUE),exact(Metadata!J730,"655179"))</f>
        <v>0</v>
      </c>
    </row>
    <row r="731" spans="1:29">
      <c r="A731" s="5">
        <f>IF(B731=" "," ",HYPERLINK(CONCATENATE("#metadata!",ADDRESS(INDEX($P$2:$P$1001,MATCH(ROWS($N$2:N731),$N$2:$N$1001,0),0),1)),INDEX($S$2:$S$1001,MATCH(ROWS($N$2:N731),$N$2:$N$1001,0),0)))</f>
        <v>0</v>
      </c>
      <c r="B731" s="4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4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4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4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4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4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4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4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4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OR(AND(IF(Metadata!C731="",FALSE,TRUE),OR(exact(Metadata!C731,"not applicable"),exact(Metadata!C731,"not collected"),exact(Metadata!C731,"not provided"),exact(Metadata!C731,"restricted access"))),IF(Metadata!C731="",FALSE,ISNUMBER(VALUE(Metadata!C731))))</f>
        <v>0</v>
      </c>
      <c r="W731">
        <f>AND(IF(Metadata!D731="",FALSE,TRUE),exact(Metadata!D731,"m"))</f>
        <v>0</v>
      </c>
      <c r="X731">
        <f>AND(IF(Metadata!E731="",FALSE,TRUE),OR(exact(Metadata!E731,"aerosol (non-saline)"),exact(Metadata!E731,"aerosol (saline)")))</f>
        <v>0</v>
      </c>
      <c r="Y731">
        <f>AND(IF(Metadata!F731="",FALSE,TRUE),exact(Metadata!F731,"air"))</f>
        <v>0</v>
      </c>
      <c r="Z731">
        <f>AND(IF(Metadata!G731="",FALSE,TRUE),exact(Metadata!G731,"air"))</f>
        <v>0</v>
      </c>
      <c r="AA731">
        <f>AND(IF(Metadata!H731="",FALSE,TRUE),exact(Metadata!H731,"air"))</f>
        <v>0</v>
      </c>
      <c r="AB731">
        <f>AND(IF(Metadata!I731="",FALSE,TRUE),exact(Metadata!I731,"air metagenome"))</f>
        <v>0</v>
      </c>
      <c r="AC731">
        <f>AND(IF(Metadata!J731="",FALSE,TRUE),exact(Metadata!J731,"655179"))</f>
        <v>0</v>
      </c>
    </row>
    <row r="732" spans="1:29">
      <c r="A732" s="5">
        <f>IF(B732=" "," ",HYPERLINK(CONCATENATE("#metadata!",ADDRESS(INDEX($P$2:$P$1001,MATCH(ROWS($N$2:N732),$N$2:$N$1001,0),0),1)),INDEX($S$2:$S$1001,MATCH(ROWS($N$2:N732),$N$2:$N$1001,0),0)))</f>
        <v>0</v>
      </c>
      <c r="B732" s="4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4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4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4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4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4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4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4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4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OR(AND(IF(Metadata!C732="",FALSE,TRUE),OR(exact(Metadata!C732,"not applicable"),exact(Metadata!C732,"not collected"),exact(Metadata!C732,"not provided"),exact(Metadata!C732,"restricted access"))),IF(Metadata!C732="",FALSE,ISNUMBER(VALUE(Metadata!C732))))</f>
        <v>0</v>
      </c>
      <c r="W732">
        <f>AND(IF(Metadata!D732="",FALSE,TRUE),exact(Metadata!D732,"m"))</f>
        <v>0</v>
      </c>
      <c r="X732">
        <f>AND(IF(Metadata!E732="",FALSE,TRUE),OR(exact(Metadata!E732,"aerosol (non-saline)"),exact(Metadata!E732,"aerosol (saline)")))</f>
        <v>0</v>
      </c>
      <c r="Y732">
        <f>AND(IF(Metadata!F732="",FALSE,TRUE),exact(Metadata!F732,"air"))</f>
        <v>0</v>
      </c>
      <c r="Z732">
        <f>AND(IF(Metadata!G732="",FALSE,TRUE),exact(Metadata!G732,"air"))</f>
        <v>0</v>
      </c>
      <c r="AA732">
        <f>AND(IF(Metadata!H732="",FALSE,TRUE),exact(Metadata!H732,"air"))</f>
        <v>0</v>
      </c>
      <c r="AB732">
        <f>AND(IF(Metadata!I732="",FALSE,TRUE),exact(Metadata!I732,"air metagenome"))</f>
        <v>0</v>
      </c>
      <c r="AC732">
        <f>AND(IF(Metadata!J732="",FALSE,TRUE),exact(Metadata!J732,"655179"))</f>
        <v>0</v>
      </c>
    </row>
    <row r="733" spans="1:29">
      <c r="A733" s="5">
        <f>IF(B733=" "," ",HYPERLINK(CONCATENATE("#metadata!",ADDRESS(INDEX($P$2:$P$1001,MATCH(ROWS($N$2:N733),$N$2:$N$1001,0),0),1)),INDEX($S$2:$S$1001,MATCH(ROWS($N$2:N733),$N$2:$N$1001,0),0)))</f>
        <v>0</v>
      </c>
      <c r="B733" s="4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4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4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4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4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4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4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4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4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OR(AND(IF(Metadata!C733="",FALSE,TRUE),OR(exact(Metadata!C733,"not applicable"),exact(Metadata!C733,"not collected"),exact(Metadata!C733,"not provided"),exact(Metadata!C733,"restricted access"))),IF(Metadata!C733="",FALSE,ISNUMBER(VALUE(Metadata!C733))))</f>
        <v>0</v>
      </c>
      <c r="W733">
        <f>AND(IF(Metadata!D733="",FALSE,TRUE),exact(Metadata!D733,"m"))</f>
        <v>0</v>
      </c>
      <c r="X733">
        <f>AND(IF(Metadata!E733="",FALSE,TRUE),OR(exact(Metadata!E733,"aerosol (non-saline)"),exact(Metadata!E733,"aerosol (saline)")))</f>
        <v>0</v>
      </c>
      <c r="Y733">
        <f>AND(IF(Metadata!F733="",FALSE,TRUE),exact(Metadata!F733,"air"))</f>
        <v>0</v>
      </c>
      <c r="Z733">
        <f>AND(IF(Metadata!G733="",FALSE,TRUE),exact(Metadata!G733,"air"))</f>
        <v>0</v>
      </c>
      <c r="AA733">
        <f>AND(IF(Metadata!H733="",FALSE,TRUE),exact(Metadata!H733,"air"))</f>
        <v>0</v>
      </c>
      <c r="AB733">
        <f>AND(IF(Metadata!I733="",FALSE,TRUE),exact(Metadata!I733,"air metagenome"))</f>
        <v>0</v>
      </c>
      <c r="AC733">
        <f>AND(IF(Metadata!J733="",FALSE,TRUE),exact(Metadata!J733,"655179"))</f>
        <v>0</v>
      </c>
    </row>
    <row r="734" spans="1:29">
      <c r="A734" s="5">
        <f>IF(B734=" "," ",HYPERLINK(CONCATENATE("#metadata!",ADDRESS(INDEX($P$2:$P$1001,MATCH(ROWS($N$2:N734),$N$2:$N$1001,0),0),1)),INDEX($S$2:$S$1001,MATCH(ROWS($N$2:N734),$N$2:$N$1001,0),0)))</f>
        <v>0</v>
      </c>
      <c r="B734" s="4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4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4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4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4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4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4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4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4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OR(AND(IF(Metadata!C734="",FALSE,TRUE),OR(exact(Metadata!C734,"not applicable"),exact(Metadata!C734,"not collected"),exact(Metadata!C734,"not provided"),exact(Metadata!C734,"restricted access"))),IF(Metadata!C734="",FALSE,ISNUMBER(VALUE(Metadata!C734))))</f>
        <v>0</v>
      </c>
      <c r="W734">
        <f>AND(IF(Metadata!D734="",FALSE,TRUE),exact(Metadata!D734,"m"))</f>
        <v>0</v>
      </c>
      <c r="X734">
        <f>AND(IF(Metadata!E734="",FALSE,TRUE),OR(exact(Metadata!E734,"aerosol (non-saline)"),exact(Metadata!E734,"aerosol (saline)")))</f>
        <v>0</v>
      </c>
      <c r="Y734">
        <f>AND(IF(Metadata!F734="",FALSE,TRUE),exact(Metadata!F734,"air"))</f>
        <v>0</v>
      </c>
      <c r="Z734">
        <f>AND(IF(Metadata!G734="",FALSE,TRUE),exact(Metadata!G734,"air"))</f>
        <v>0</v>
      </c>
      <c r="AA734">
        <f>AND(IF(Metadata!H734="",FALSE,TRUE),exact(Metadata!H734,"air"))</f>
        <v>0</v>
      </c>
      <c r="AB734">
        <f>AND(IF(Metadata!I734="",FALSE,TRUE),exact(Metadata!I734,"air metagenome"))</f>
        <v>0</v>
      </c>
      <c r="AC734">
        <f>AND(IF(Metadata!J734="",FALSE,TRUE),exact(Metadata!J734,"655179"))</f>
        <v>0</v>
      </c>
    </row>
    <row r="735" spans="1:29">
      <c r="A735" s="5">
        <f>IF(B735=" "," ",HYPERLINK(CONCATENATE("#metadata!",ADDRESS(INDEX($P$2:$P$1001,MATCH(ROWS($N$2:N735),$N$2:$N$1001,0),0),1)),INDEX($S$2:$S$1001,MATCH(ROWS($N$2:N735),$N$2:$N$1001,0),0)))</f>
        <v>0</v>
      </c>
      <c r="B735" s="4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4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4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4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4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4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4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4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4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OR(AND(IF(Metadata!C735="",FALSE,TRUE),OR(exact(Metadata!C735,"not applicable"),exact(Metadata!C735,"not collected"),exact(Metadata!C735,"not provided"),exact(Metadata!C735,"restricted access"))),IF(Metadata!C735="",FALSE,ISNUMBER(VALUE(Metadata!C735))))</f>
        <v>0</v>
      </c>
      <c r="W735">
        <f>AND(IF(Metadata!D735="",FALSE,TRUE),exact(Metadata!D735,"m"))</f>
        <v>0</v>
      </c>
      <c r="X735">
        <f>AND(IF(Metadata!E735="",FALSE,TRUE),OR(exact(Metadata!E735,"aerosol (non-saline)"),exact(Metadata!E735,"aerosol (saline)")))</f>
        <v>0</v>
      </c>
      <c r="Y735">
        <f>AND(IF(Metadata!F735="",FALSE,TRUE),exact(Metadata!F735,"air"))</f>
        <v>0</v>
      </c>
      <c r="Z735">
        <f>AND(IF(Metadata!G735="",FALSE,TRUE),exact(Metadata!G735,"air"))</f>
        <v>0</v>
      </c>
      <c r="AA735">
        <f>AND(IF(Metadata!H735="",FALSE,TRUE),exact(Metadata!H735,"air"))</f>
        <v>0</v>
      </c>
      <c r="AB735">
        <f>AND(IF(Metadata!I735="",FALSE,TRUE),exact(Metadata!I735,"air metagenome"))</f>
        <v>0</v>
      </c>
      <c r="AC735">
        <f>AND(IF(Metadata!J735="",FALSE,TRUE),exact(Metadata!J735,"655179"))</f>
        <v>0</v>
      </c>
    </row>
    <row r="736" spans="1:29">
      <c r="A736" s="5">
        <f>IF(B736=" "," ",HYPERLINK(CONCATENATE("#metadata!",ADDRESS(INDEX($P$2:$P$1001,MATCH(ROWS($N$2:N736),$N$2:$N$1001,0),0),1)),INDEX($S$2:$S$1001,MATCH(ROWS($N$2:N736),$N$2:$N$1001,0),0)))</f>
        <v>0</v>
      </c>
      <c r="B736" s="4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4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4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4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4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4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4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4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4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OR(AND(IF(Metadata!C736="",FALSE,TRUE),OR(exact(Metadata!C736,"not applicable"),exact(Metadata!C736,"not collected"),exact(Metadata!C736,"not provided"),exact(Metadata!C736,"restricted access"))),IF(Metadata!C736="",FALSE,ISNUMBER(VALUE(Metadata!C736))))</f>
        <v>0</v>
      </c>
      <c r="W736">
        <f>AND(IF(Metadata!D736="",FALSE,TRUE),exact(Metadata!D736,"m"))</f>
        <v>0</v>
      </c>
      <c r="X736">
        <f>AND(IF(Metadata!E736="",FALSE,TRUE),OR(exact(Metadata!E736,"aerosol (non-saline)"),exact(Metadata!E736,"aerosol (saline)")))</f>
        <v>0</v>
      </c>
      <c r="Y736">
        <f>AND(IF(Metadata!F736="",FALSE,TRUE),exact(Metadata!F736,"air"))</f>
        <v>0</v>
      </c>
      <c r="Z736">
        <f>AND(IF(Metadata!G736="",FALSE,TRUE),exact(Metadata!G736,"air"))</f>
        <v>0</v>
      </c>
      <c r="AA736">
        <f>AND(IF(Metadata!H736="",FALSE,TRUE),exact(Metadata!H736,"air"))</f>
        <v>0</v>
      </c>
      <c r="AB736">
        <f>AND(IF(Metadata!I736="",FALSE,TRUE),exact(Metadata!I736,"air metagenome"))</f>
        <v>0</v>
      </c>
      <c r="AC736">
        <f>AND(IF(Metadata!J736="",FALSE,TRUE),exact(Metadata!J736,"655179"))</f>
        <v>0</v>
      </c>
    </row>
    <row r="737" spans="1:29">
      <c r="A737" s="5">
        <f>IF(B737=" "," ",HYPERLINK(CONCATENATE("#metadata!",ADDRESS(INDEX($P$2:$P$1001,MATCH(ROWS($N$2:N737),$N$2:$N$1001,0),0),1)),INDEX($S$2:$S$1001,MATCH(ROWS($N$2:N737),$N$2:$N$1001,0),0)))</f>
        <v>0</v>
      </c>
      <c r="B737" s="4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4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4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4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4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4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4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4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4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OR(AND(IF(Metadata!C737="",FALSE,TRUE),OR(exact(Metadata!C737,"not applicable"),exact(Metadata!C737,"not collected"),exact(Metadata!C737,"not provided"),exact(Metadata!C737,"restricted access"))),IF(Metadata!C737="",FALSE,ISNUMBER(VALUE(Metadata!C737))))</f>
        <v>0</v>
      </c>
      <c r="W737">
        <f>AND(IF(Metadata!D737="",FALSE,TRUE),exact(Metadata!D737,"m"))</f>
        <v>0</v>
      </c>
      <c r="X737">
        <f>AND(IF(Metadata!E737="",FALSE,TRUE),OR(exact(Metadata!E737,"aerosol (non-saline)"),exact(Metadata!E737,"aerosol (saline)")))</f>
        <v>0</v>
      </c>
      <c r="Y737">
        <f>AND(IF(Metadata!F737="",FALSE,TRUE),exact(Metadata!F737,"air"))</f>
        <v>0</v>
      </c>
      <c r="Z737">
        <f>AND(IF(Metadata!G737="",FALSE,TRUE),exact(Metadata!G737,"air"))</f>
        <v>0</v>
      </c>
      <c r="AA737">
        <f>AND(IF(Metadata!H737="",FALSE,TRUE),exact(Metadata!H737,"air"))</f>
        <v>0</v>
      </c>
      <c r="AB737">
        <f>AND(IF(Metadata!I737="",FALSE,TRUE),exact(Metadata!I737,"air metagenome"))</f>
        <v>0</v>
      </c>
      <c r="AC737">
        <f>AND(IF(Metadata!J737="",FALSE,TRUE),exact(Metadata!J737,"655179"))</f>
        <v>0</v>
      </c>
    </row>
    <row r="738" spans="1:29">
      <c r="A738" s="5">
        <f>IF(B738=" "," ",HYPERLINK(CONCATENATE("#metadata!",ADDRESS(INDEX($P$2:$P$1001,MATCH(ROWS($N$2:N738),$N$2:$N$1001,0),0),1)),INDEX($S$2:$S$1001,MATCH(ROWS($N$2:N738),$N$2:$N$1001,0),0)))</f>
        <v>0</v>
      </c>
      <c r="B738" s="4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4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4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4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4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4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4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4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4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OR(AND(IF(Metadata!C738="",FALSE,TRUE),OR(exact(Metadata!C738,"not applicable"),exact(Metadata!C738,"not collected"),exact(Metadata!C738,"not provided"),exact(Metadata!C738,"restricted access"))),IF(Metadata!C738="",FALSE,ISNUMBER(VALUE(Metadata!C738))))</f>
        <v>0</v>
      </c>
      <c r="W738">
        <f>AND(IF(Metadata!D738="",FALSE,TRUE),exact(Metadata!D738,"m"))</f>
        <v>0</v>
      </c>
      <c r="X738">
        <f>AND(IF(Metadata!E738="",FALSE,TRUE),OR(exact(Metadata!E738,"aerosol (non-saline)"),exact(Metadata!E738,"aerosol (saline)")))</f>
        <v>0</v>
      </c>
      <c r="Y738">
        <f>AND(IF(Metadata!F738="",FALSE,TRUE),exact(Metadata!F738,"air"))</f>
        <v>0</v>
      </c>
      <c r="Z738">
        <f>AND(IF(Metadata!G738="",FALSE,TRUE),exact(Metadata!G738,"air"))</f>
        <v>0</v>
      </c>
      <c r="AA738">
        <f>AND(IF(Metadata!H738="",FALSE,TRUE),exact(Metadata!H738,"air"))</f>
        <v>0</v>
      </c>
      <c r="AB738">
        <f>AND(IF(Metadata!I738="",FALSE,TRUE),exact(Metadata!I738,"air metagenome"))</f>
        <v>0</v>
      </c>
      <c r="AC738">
        <f>AND(IF(Metadata!J738="",FALSE,TRUE),exact(Metadata!J738,"655179"))</f>
        <v>0</v>
      </c>
    </row>
    <row r="739" spans="1:29">
      <c r="A739" s="5">
        <f>IF(B739=" "," ",HYPERLINK(CONCATENATE("#metadata!",ADDRESS(INDEX($P$2:$P$1001,MATCH(ROWS($N$2:N739),$N$2:$N$1001,0),0),1)),INDEX($S$2:$S$1001,MATCH(ROWS($N$2:N739),$N$2:$N$1001,0),0)))</f>
        <v>0</v>
      </c>
      <c r="B739" s="4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4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4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4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4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4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4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4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4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OR(AND(IF(Metadata!C739="",FALSE,TRUE),OR(exact(Metadata!C739,"not applicable"),exact(Metadata!C739,"not collected"),exact(Metadata!C739,"not provided"),exact(Metadata!C739,"restricted access"))),IF(Metadata!C739="",FALSE,ISNUMBER(VALUE(Metadata!C739))))</f>
        <v>0</v>
      </c>
      <c r="W739">
        <f>AND(IF(Metadata!D739="",FALSE,TRUE),exact(Metadata!D739,"m"))</f>
        <v>0</v>
      </c>
      <c r="X739">
        <f>AND(IF(Metadata!E739="",FALSE,TRUE),OR(exact(Metadata!E739,"aerosol (non-saline)"),exact(Metadata!E739,"aerosol (saline)")))</f>
        <v>0</v>
      </c>
      <c r="Y739">
        <f>AND(IF(Metadata!F739="",FALSE,TRUE),exact(Metadata!F739,"air"))</f>
        <v>0</v>
      </c>
      <c r="Z739">
        <f>AND(IF(Metadata!G739="",FALSE,TRUE),exact(Metadata!G739,"air"))</f>
        <v>0</v>
      </c>
      <c r="AA739">
        <f>AND(IF(Metadata!H739="",FALSE,TRUE),exact(Metadata!H739,"air"))</f>
        <v>0</v>
      </c>
      <c r="AB739">
        <f>AND(IF(Metadata!I739="",FALSE,TRUE),exact(Metadata!I739,"air metagenome"))</f>
        <v>0</v>
      </c>
      <c r="AC739">
        <f>AND(IF(Metadata!J739="",FALSE,TRUE),exact(Metadata!J739,"655179"))</f>
        <v>0</v>
      </c>
    </row>
    <row r="740" spans="1:29">
      <c r="A740" s="5">
        <f>IF(B740=" "," ",HYPERLINK(CONCATENATE("#metadata!",ADDRESS(INDEX($P$2:$P$1001,MATCH(ROWS($N$2:N740),$N$2:$N$1001,0),0),1)),INDEX($S$2:$S$1001,MATCH(ROWS($N$2:N740),$N$2:$N$1001,0),0)))</f>
        <v>0</v>
      </c>
      <c r="B740" s="4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4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4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4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4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4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4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4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4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OR(AND(IF(Metadata!C740="",FALSE,TRUE),OR(exact(Metadata!C740,"not applicable"),exact(Metadata!C740,"not collected"),exact(Metadata!C740,"not provided"),exact(Metadata!C740,"restricted access"))),IF(Metadata!C740="",FALSE,ISNUMBER(VALUE(Metadata!C740))))</f>
        <v>0</v>
      </c>
      <c r="W740">
        <f>AND(IF(Metadata!D740="",FALSE,TRUE),exact(Metadata!D740,"m"))</f>
        <v>0</v>
      </c>
      <c r="X740">
        <f>AND(IF(Metadata!E740="",FALSE,TRUE),OR(exact(Metadata!E740,"aerosol (non-saline)"),exact(Metadata!E740,"aerosol (saline)")))</f>
        <v>0</v>
      </c>
      <c r="Y740">
        <f>AND(IF(Metadata!F740="",FALSE,TRUE),exact(Metadata!F740,"air"))</f>
        <v>0</v>
      </c>
      <c r="Z740">
        <f>AND(IF(Metadata!G740="",FALSE,TRUE),exact(Metadata!G740,"air"))</f>
        <v>0</v>
      </c>
      <c r="AA740">
        <f>AND(IF(Metadata!H740="",FALSE,TRUE),exact(Metadata!H740,"air"))</f>
        <v>0</v>
      </c>
      <c r="AB740">
        <f>AND(IF(Metadata!I740="",FALSE,TRUE),exact(Metadata!I740,"air metagenome"))</f>
        <v>0</v>
      </c>
      <c r="AC740">
        <f>AND(IF(Metadata!J740="",FALSE,TRUE),exact(Metadata!J740,"655179"))</f>
        <v>0</v>
      </c>
    </row>
    <row r="741" spans="1:29">
      <c r="A741" s="5">
        <f>IF(B741=" "," ",HYPERLINK(CONCATENATE("#metadata!",ADDRESS(INDEX($P$2:$P$1001,MATCH(ROWS($N$2:N741),$N$2:$N$1001,0),0),1)),INDEX($S$2:$S$1001,MATCH(ROWS($N$2:N741),$N$2:$N$1001,0),0)))</f>
        <v>0</v>
      </c>
      <c r="B741" s="4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4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4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4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4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4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4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4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4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OR(AND(IF(Metadata!C741="",FALSE,TRUE),OR(exact(Metadata!C741,"not applicable"),exact(Metadata!C741,"not collected"),exact(Metadata!C741,"not provided"),exact(Metadata!C741,"restricted access"))),IF(Metadata!C741="",FALSE,ISNUMBER(VALUE(Metadata!C741))))</f>
        <v>0</v>
      </c>
      <c r="W741">
        <f>AND(IF(Metadata!D741="",FALSE,TRUE),exact(Metadata!D741,"m"))</f>
        <v>0</v>
      </c>
      <c r="X741">
        <f>AND(IF(Metadata!E741="",FALSE,TRUE),OR(exact(Metadata!E741,"aerosol (non-saline)"),exact(Metadata!E741,"aerosol (saline)")))</f>
        <v>0</v>
      </c>
      <c r="Y741">
        <f>AND(IF(Metadata!F741="",FALSE,TRUE),exact(Metadata!F741,"air"))</f>
        <v>0</v>
      </c>
      <c r="Z741">
        <f>AND(IF(Metadata!G741="",FALSE,TRUE),exact(Metadata!G741,"air"))</f>
        <v>0</v>
      </c>
      <c r="AA741">
        <f>AND(IF(Metadata!H741="",FALSE,TRUE),exact(Metadata!H741,"air"))</f>
        <v>0</v>
      </c>
      <c r="AB741">
        <f>AND(IF(Metadata!I741="",FALSE,TRUE),exact(Metadata!I741,"air metagenome"))</f>
        <v>0</v>
      </c>
      <c r="AC741">
        <f>AND(IF(Metadata!J741="",FALSE,TRUE),exact(Metadata!J741,"655179"))</f>
        <v>0</v>
      </c>
    </row>
    <row r="742" spans="1:29">
      <c r="A742" s="5">
        <f>IF(B742=" "," ",HYPERLINK(CONCATENATE("#metadata!",ADDRESS(INDEX($P$2:$P$1001,MATCH(ROWS($N$2:N742),$N$2:$N$1001,0),0),1)),INDEX($S$2:$S$1001,MATCH(ROWS($N$2:N742),$N$2:$N$1001,0),0)))</f>
        <v>0</v>
      </c>
      <c r="B742" s="4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4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4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4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4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4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4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4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4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OR(AND(IF(Metadata!C742="",FALSE,TRUE),OR(exact(Metadata!C742,"not applicable"),exact(Metadata!C742,"not collected"),exact(Metadata!C742,"not provided"),exact(Metadata!C742,"restricted access"))),IF(Metadata!C742="",FALSE,ISNUMBER(VALUE(Metadata!C742))))</f>
        <v>0</v>
      </c>
      <c r="W742">
        <f>AND(IF(Metadata!D742="",FALSE,TRUE),exact(Metadata!D742,"m"))</f>
        <v>0</v>
      </c>
      <c r="X742">
        <f>AND(IF(Metadata!E742="",FALSE,TRUE),OR(exact(Metadata!E742,"aerosol (non-saline)"),exact(Metadata!E742,"aerosol (saline)")))</f>
        <v>0</v>
      </c>
      <c r="Y742">
        <f>AND(IF(Metadata!F742="",FALSE,TRUE),exact(Metadata!F742,"air"))</f>
        <v>0</v>
      </c>
      <c r="Z742">
        <f>AND(IF(Metadata!G742="",FALSE,TRUE),exact(Metadata!G742,"air"))</f>
        <v>0</v>
      </c>
      <c r="AA742">
        <f>AND(IF(Metadata!H742="",FALSE,TRUE),exact(Metadata!H742,"air"))</f>
        <v>0</v>
      </c>
      <c r="AB742">
        <f>AND(IF(Metadata!I742="",FALSE,TRUE),exact(Metadata!I742,"air metagenome"))</f>
        <v>0</v>
      </c>
      <c r="AC742">
        <f>AND(IF(Metadata!J742="",FALSE,TRUE),exact(Metadata!J742,"655179"))</f>
        <v>0</v>
      </c>
    </row>
    <row r="743" spans="1:29">
      <c r="A743" s="5">
        <f>IF(B743=" "," ",HYPERLINK(CONCATENATE("#metadata!",ADDRESS(INDEX($P$2:$P$1001,MATCH(ROWS($N$2:N743),$N$2:$N$1001,0),0),1)),INDEX($S$2:$S$1001,MATCH(ROWS($N$2:N743),$N$2:$N$1001,0),0)))</f>
        <v>0</v>
      </c>
      <c r="B743" s="4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4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4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4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4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4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4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4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4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OR(AND(IF(Metadata!C743="",FALSE,TRUE),OR(exact(Metadata!C743,"not applicable"),exact(Metadata!C743,"not collected"),exact(Metadata!C743,"not provided"),exact(Metadata!C743,"restricted access"))),IF(Metadata!C743="",FALSE,ISNUMBER(VALUE(Metadata!C743))))</f>
        <v>0</v>
      </c>
      <c r="W743">
        <f>AND(IF(Metadata!D743="",FALSE,TRUE),exact(Metadata!D743,"m"))</f>
        <v>0</v>
      </c>
      <c r="X743">
        <f>AND(IF(Metadata!E743="",FALSE,TRUE),OR(exact(Metadata!E743,"aerosol (non-saline)"),exact(Metadata!E743,"aerosol (saline)")))</f>
        <v>0</v>
      </c>
      <c r="Y743">
        <f>AND(IF(Metadata!F743="",FALSE,TRUE),exact(Metadata!F743,"air"))</f>
        <v>0</v>
      </c>
      <c r="Z743">
        <f>AND(IF(Metadata!G743="",FALSE,TRUE),exact(Metadata!G743,"air"))</f>
        <v>0</v>
      </c>
      <c r="AA743">
        <f>AND(IF(Metadata!H743="",FALSE,TRUE),exact(Metadata!H743,"air"))</f>
        <v>0</v>
      </c>
      <c r="AB743">
        <f>AND(IF(Metadata!I743="",FALSE,TRUE),exact(Metadata!I743,"air metagenome"))</f>
        <v>0</v>
      </c>
      <c r="AC743">
        <f>AND(IF(Metadata!J743="",FALSE,TRUE),exact(Metadata!J743,"655179"))</f>
        <v>0</v>
      </c>
    </row>
    <row r="744" spans="1:29">
      <c r="A744" s="5">
        <f>IF(B744=" "," ",HYPERLINK(CONCATENATE("#metadata!",ADDRESS(INDEX($P$2:$P$1001,MATCH(ROWS($N$2:N744),$N$2:$N$1001,0),0),1)),INDEX($S$2:$S$1001,MATCH(ROWS($N$2:N744),$N$2:$N$1001,0),0)))</f>
        <v>0</v>
      </c>
      <c r="B744" s="4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4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4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4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4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4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4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4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4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OR(AND(IF(Metadata!C744="",FALSE,TRUE),OR(exact(Metadata!C744,"not applicable"),exact(Metadata!C744,"not collected"),exact(Metadata!C744,"not provided"),exact(Metadata!C744,"restricted access"))),IF(Metadata!C744="",FALSE,ISNUMBER(VALUE(Metadata!C744))))</f>
        <v>0</v>
      </c>
      <c r="W744">
        <f>AND(IF(Metadata!D744="",FALSE,TRUE),exact(Metadata!D744,"m"))</f>
        <v>0</v>
      </c>
      <c r="X744">
        <f>AND(IF(Metadata!E744="",FALSE,TRUE),OR(exact(Metadata!E744,"aerosol (non-saline)"),exact(Metadata!E744,"aerosol (saline)")))</f>
        <v>0</v>
      </c>
      <c r="Y744">
        <f>AND(IF(Metadata!F744="",FALSE,TRUE),exact(Metadata!F744,"air"))</f>
        <v>0</v>
      </c>
      <c r="Z744">
        <f>AND(IF(Metadata!G744="",FALSE,TRUE),exact(Metadata!G744,"air"))</f>
        <v>0</v>
      </c>
      <c r="AA744">
        <f>AND(IF(Metadata!H744="",FALSE,TRUE),exact(Metadata!H744,"air"))</f>
        <v>0</v>
      </c>
      <c r="AB744">
        <f>AND(IF(Metadata!I744="",FALSE,TRUE),exact(Metadata!I744,"air metagenome"))</f>
        <v>0</v>
      </c>
      <c r="AC744">
        <f>AND(IF(Metadata!J744="",FALSE,TRUE),exact(Metadata!J744,"655179"))</f>
        <v>0</v>
      </c>
    </row>
    <row r="745" spans="1:29">
      <c r="A745" s="5">
        <f>IF(B745=" "," ",HYPERLINK(CONCATENATE("#metadata!",ADDRESS(INDEX($P$2:$P$1001,MATCH(ROWS($N$2:N745),$N$2:$N$1001,0),0),1)),INDEX($S$2:$S$1001,MATCH(ROWS($N$2:N745),$N$2:$N$1001,0),0)))</f>
        <v>0</v>
      </c>
      <c r="B745" s="4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4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4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4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4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4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4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4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4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OR(AND(IF(Metadata!C745="",FALSE,TRUE),OR(exact(Metadata!C745,"not applicable"),exact(Metadata!C745,"not collected"),exact(Metadata!C745,"not provided"),exact(Metadata!C745,"restricted access"))),IF(Metadata!C745="",FALSE,ISNUMBER(VALUE(Metadata!C745))))</f>
        <v>0</v>
      </c>
      <c r="W745">
        <f>AND(IF(Metadata!D745="",FALSE,TRUE),exact(Metadata!D745,"m"))</f>
        <v>0</v>
      </c>
      <c r="X745">
        <f>AND(IF(Metadata!E745="",FALSE,TRUE),OR(exact(Metadata!E745,"aerosol (non-saline)"),exact(Metadata!E745,"aerosol (saline)")))</f>
        <v>0</v>
      </c>
      <c r="Y745">
        <f>AND(IF(Metadata!F745="",FALSE,TRUE),exact(Metadata!F745,"air"))</f>
        <v>0</v>
      </c>
      <c r="Z745">
        <f>AND(IF(Metadata!G745="",FALSE,TRUE),exact(Metadata!G745,"air"))</f>
        <v>0</v>
      </c>
      <c r="AA745">
        <f>AND(IF(Metadata!H745="",FALSE,TRUE),exact(Metadata!H745,"air"))</f>
        <v>0</v>
      </c>
      <c r="AB745">
        <f>AND(IF(Metadata!I745="",FALSE,TRUE),exact(Metadata!I745,"air metagenome"))</f>
        <v>0</v>
      </c>
      <c r="AC745">
        <f>AND(IF(Metadata!J745="",FALSE,TRUE),exact(Metadata!J745,"655179"))</f>
        <v>0</v>
      </c>
    </row>
    <row r="746" spans="1:29">
      <c r="A746" s="5">
        <f>IF(B746=" "," ",HYPERLINK(CONCATENATE("#metadata!",ADDRESS(INDEX($P$2:$P$1001,MATCH(ROWS($N$2:N746),$N$2:$N$1001,0),0),1)),INDEX($S$2:$S$1001,MATCH(ROWS($N$2:N746),$N$2:$N$1001,0),0)))</f>
        <v>0</v>
      </c>
      <c r="B746" s="4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4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4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4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4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4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4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4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4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OR(AND(IF(Metadata!C746="",FALSE,TRUE),OR(exact(Metadata!C746,"not applicable"),exact(Metadata!C746,"not collected"),exact(Metadata!C746,"not provided"),exact(Metadata!C746,"restricted access"))),IF(Metadata!C746="",FALSE,ISNUMBER(VALUE(Metadata!C746))))</f>
        <v>0</v>
      </c>
      <c r="W746">
        <f>AND(IF(Metadata!D746="",FALSE,TRUE),exact(Metadata!D746,"m"))</f>
        <v>0</v>
      </c>
      <c r="X746">
        <f>AND(IF(Metadata!E746="",FALSE,TRUE),OR(exact(Metadata!E746,"aerosol (non-saline)"),exact(Metadata!E746,"aerosol (saline)")))</f>
        <v>0</v>
      </c>
      <c r="Y746">
        <f>AND(IF(Metadata!F746="",FALSE,TRUE),exact(Metadata!F746,"air"))</f>
        <v>0</v>
      </c>
      <c r="Z746">
        <f>AND(IF(Metadata!G746="",FALSE,TRUE),exact(Metadata!G746,"air"))</f>
        <v>0</v>
      </c>
      <c r="AA746">
        <f>AND(IF(Metadata!H746="",FALSE,TRUE),exact(Metadata!H746,"air"))</f>
        <v>0</v>
      </c>
      <c r="AB746">
        <f>AND(IF(Metadata!I746="",FALSE,TRUE),exact(Metadata!I746,"air metagenome"))</f>
        <v>0</v>
      </c>
      <c r="AC746">
        <f>AND(IF(Metadata!J746="",FALSE,TRUE),exact(Metadata!J746,"655179"))</f>
        <v>0</v>
      </c>
    </row>
    <row r="747" spans="1:29">
      <c r="A747" s="5">
        <f>IF(B747=" "," ",HYPERLINK(CONCATENATE("#metadata!",ADDRESS(INDEX($P$2:$P$1001,MATCH(ROWS($N$2:N747),$N$2:$N$1001,0),0),1)),INDEX($S$2:$S$1001,MATCH(ROWS($N$2:N747),$N$2:$N$1001,0),0)))</f>
        <v>0</v>
      </c>
      <c r="B747" s="4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4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4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4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4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4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4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4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4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OR(AND(IF(Metadata!C747="",FALSE,TRUE),OR(exact(Metadata!C747,"not applicable"),exact(Metadata!C747,"not collected"),exact(Metadata!C747,"not provided"),exact(Metadata!C747,"restricted access"))),IF(Metadata!C747="",FALSE,ISNUMBER(VALUE(Metadata!C747))))</f>
        <v>0</v>
      </c>
      <c r="W747">
        <f>AND(IF(Metadata!D747="",FALSE,TRUE),exact(Metadata!D747,"m"))</f>
        <v>0</v>
      </c>
      <c r="X747">
        <f>AND(IF(Metadata!E747="",FALSE,TRUE),OR(exact(Metadata!E747,"aerosol (non-saline)"),exact(Metadata!E747,"aerosol (saline)")))</f>
        <v>0</v>
      </c>
      <c r="Y747">
        <f>AND(IF(Metadata!F747="",FALSE,TRUE),exact(Metadata!F747,"air"))</f>
        <v>0</v>
      </c>
      <c r="Z747">
        <f>AND(IF(Metadata!G747="",FALSE,TRUE),exact(Metadata!G747,"air"))</f>
        <v>0</v>
      </c>
      <c r="AA747">
        <f>AND(IF(Metadata!H747="",FALSE,TRUE),exact(Metadata!H747,"air"))</f>
        <v>0</v>
      </c>
      <c r="AB747">
        <f>AND(IF(Metadata!I747="",FALSE,TRUE),exact(Metadata!I747,"air metagenome"))</f>
        <v>0</v>
      </c>
      <c r="AC747">
        <f>AND(IF(Metadata!J747="",FALSE,TRUE),exact(Metadata!J747,"655179"))</f>
        <v>0</v>
      </c>
    </row>
    <row r="748" spans="1:29">
      <c r="A748" s="5">
        <f>IF(B748=" "," ",HYPERLINK(CONCATENATE("#metadata!",ADDRESS(INDEX($P$2:$P$1001,MATCH(ROWS($N$2:N748),$N$2:$N$1001,0),0),1)),INDEX($S$2:$S$1001,MATCH(ROWS($N$2:N748),$N$2:$N$1001,0),0)))</f>
        <v>0</v>
      </c>
      <c r="B748" s="4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4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4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4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4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4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4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4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4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OR(AND(IF(Metadata!C748="",FALSE,TRUE),OR(exact(Metadata!C748,"not applicable"),exact(Metadata!C748,"not collected"),exact(Metadata!C748,"not provided"),exact(Metadata!C748,"restricted access"))),IF(Metadata!C748="",FALSE,ISNUMBER(VALUE(Metadata!C748))))</f>
        <v>0</v>
      </c>
      <c r="W748">
        <f>AND(IF(Metadata!D748="",FALSE,TRUE),exact(Metadata!D748,"m"))</f>
        <v>0</v>
      </c>
      <c r="X748">
        <f>AND(IF(Metadata!E748="",FALSE,TRUE),OR(exact(Metadata!E748,"aerosol (non-saline)"),exact(Metadata!E748,"aerosol (saline)")))</f>
        <v>0</v>
      </c>
      <c r="Y748">
        <f>AND(IF(Metadata!F748="",FALSE,TRUE),exact(Metadata!F748,"air"))</f>
        <v>0</v>
      </c>
      <c r="Z748">
        <f>AND(IF(Metadata!G748="",FALSE,TRUE),exact(Metadata!G748,"air"))</f>
        <v>0</v>
      </c>
      <c r="AA748">
        <f>AND(IF(Metadata!H748="",FALSE,TRUE),exact(Metadata!H748,"air"))</f>
        <v>0</v>
      </c>
      <c r="AB748">
        <f>AND(IF(Metadata!I748="",FALSE,TRUE),exact(Metadata!I748,"air metagenome"))</f>
        <v>0</v>
      </c>
      <c r="AC748">
        <f>AND(IF(Metadata!J748="",FALSE,TRUE),exact(Metadata!J748,"655179"))</f>
        <v>0</v>
      </c>
    </row>
    <row r="749" spans="1:29">
      <c r="A749" s="5">
        <f>IF(B749=" "," ",HYPERLINK(CONCATENATE("#metadata!",ADDRESS(INDEX($P$2:$P$1001,MATCH(ROWS($N$2:N749),$N$2:$N$1001,0),0),1)),INDEX($S$2:$S$1001,MATCH(ROWS($N$2:N749),$N$2:$N$1001,0),0)))</f>
        <v>0</v>
      </c>
      <c r="B749" s="4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4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4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4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4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4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4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4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4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OR(AND(IF(Metadata!C749="",FALSE,TRUE),OR(exact(Metadata!C749,"not applicable"),exact(Metadata!C749,"not collected"),exact(Metadata!C749,"not provided"),exact(Metadata!C749,"restricted access"))),IF(Metadata!C749="",FALSE,ISNUMBER(VALUE(Metadata!C749))))</f>
        <v>0</v>
      </c>
      <c r="W749">
        <f>AND(IF(Metadata!D749="",FALSE,TRUE),exact(Metadata!D749,"m"))</f>
        <v>0</v>
      </c>
      <c r="X749">
        <f>AND(IF(Metadata!E749="",FALSE,TRUE),OR(exact(Metadata!E749,"aerosol (non-saline)"),exact(Metadata!E749,"aerosol (saline)")))</f>
        <v>0</v>
      </c>
      <c r="Y749">
        <f>AND(IF(Metadata!F749="",FALSE,TRUE),exact(Metadata!F749,"air"))</f>
        <v>0</v>
      </c>
      <c r="Z749">
        <f>AND(IF(Metadata!G749="",FALSE,TRUE),exact(Metadata!G749,"air"))</f>
        <v>0</v>
      </c>
      <c r="AA749">
        <f>AND(IF(Metadata!H749="",FALSE,TRUE),exact(Metadata!H749,"air"))</f>
        <v>0</v>
      </c>
      <c r="AB749">
        <f>AND(IF(Metadata!I749="",FALSE,TRUE),exact(Metadata!I749,"air metagenome"))</f>
        <v>0</v>
      </c>
      <c r="AC749">
        <f>AND(IF(Metadata!J749="",FALSE,TRUE),exact(Metadata!J749,"655179"))</f>
        <v>0</v>
      </c>
    </row>
    <row r="750" spans="1:29">
      <c r="A750" s="5">
        <f>IF(B750=" "," ",HYPERLINK(CONCATENATE("#metadata!",ADDRESS(INDEX($P$2:$P$1001,MATCH(ROWS($N$2:N750),$N$2:$N$1001,0),0),1)),INDEX($S$2:$S$1001,MATCH(ROWS($N$2:N750),$N$2:$N$1001,0),0)))</f>
        <v>0</v>
      </c>
      <c r="B750" s="4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4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4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4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4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4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4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4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4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OR(AND(IF(Metadata!C750="",FALSE,TRUE),OR(exact(Metadata!C750,"not applicable"),exact(Metadata!C750,"not collected"),exact(Metadata!C750,"not provided"),exact(Metadata!C750,"restricted access"))),IF(Metadata!C750="",FALSE,ISNUMBER(VALUE(Metadata!C750))))</f>
        <v>0</v>
      </c>
      <c r="W750">
        <f>AND(IF(Metadata!D750="",FALSE,TRUE),exact(Metadata!D750,"m"))</f>
        <v>0</v>
      </c>
      <c r="X750">
        <f>AND(IF(Metadata!E750="",FALSE,TRUE),OR(exact(Metadata!E750,"aerosol (non-saline)"),exact(Metadata!E750,"aerosol (saline)")))</f>
        <v>0</v>
      </c>
      <c r="Y750">
        <f>AND(IF(Metadata!F750="",FALSE,TRUE),exact(Metadata!F750,"air"))</f>
        <v>0</v>
      </c>
      <c r="Z750">
        <f>AND(IF(Metadata!G750="",FALSE,TRUE),exact(Metadata!G750,"air"))</f>
        <v>0</v>
      </c>
      <c r="AA750">
        <f>AND(IF(Metadata!H750="",FALSE,TRUE),exact(Metadata!H750,"air"))</f>
        <v>0</v>
      </c>
      <c r="AB750">
        <f>AND(IF(Metadata!I750="",FALSE,TRUE),exact(Metadata!I750,"air metagenome"))</f>
        <v>0</v>
      </c>
      <c r="AC750">
        <f>AND(IF(Metadata!J750="",FALSE,TRUE),exact(Metadata!J750,"655179"))</f>
        <v>0</v>
      </c>
    </row>
    <row r="751" spans="1:29">
      <c r="A751" s="5">
        <f>IF(B751=" "," ",HYPERLINK(CONCATENATE("#metadata!",ADDRESS(INDEX($P$2:$P$1001,MATCH(ROWS($N$2:N751),$N$2:$N$1001,0),0),1)),INDEX($S$2:$S$1001,MATCH(ROWS($N$2:N751),$N$2:$N$1001,0),0)))</f>
        <v>0</v>
      </c>
      <c r="B751" s="4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4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4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4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4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4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4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4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4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OR(AND(IF(Metadata!C751="",FALSE,TRUE),OR(exact(Metadata!C751,"not applicable"),exact(Metadata!C751,"not collected"),exact(Metadata!C751,"not provided"),exact(Metadata!C751,"restricted access"))),IF(Metadata!C751="",FALSE,ISNUMBER(VALUE(Metadata!C751))))</f>
        <v>0</v>
      </c>
      <c r="W751">
        <f>AND(IF(Metadata!D751="",FALSE,TRUE),exact(Metadata!D751,"m"))</f>
        <v>0</v>
      </c>
      <c r="X751">
        <f>AND(IF(Metadata!E751="",FALSE,TRUE),OR(exact(Metadata!E751,"aerosol (non-saline)"),exact(Metadata!E751,"aerosol (saline)")))</f>
        <v>0</v>
      </c>
      <c r="Y751">
        <f>AND(IF(Metadata!F751="",FALSE,TRUE),exact(Metadata!F751,"air"))</f>
        <v>0</v>
      </c>
      <c r="Z751">
        <f>AND(IF(Metadata!G751="",FALSE,TRUE),exact(Metadata!G751,"air"))</f>
        <v>0</v>
      </c>
      <c r="AA751">
        <f>AND(IF(Metadata!H751="",FALSE,TRUE),exact(Metadata!H751,"air"))</f>
        <v>0</v>
      </c>
      <c r="AB751">
        <f>AND(IF(Metadata!I751="",FALSE,TRUE),exact(Metadata!I751,"air metagenome"))</f>
        <v>0</v>
      </c>
      <c r="AC751">
        <f>AND(IF(Metadata!J751="",FALSE,TRUE),exact(Metadata!J751,"655179"))</f>
        <v>0</v>
      </c>
    </row>
    <row r="752" spans="1:29">
      <c r="A752" s="5">
        <f>IF(B752=" "," ",HYPERLINK(CONCATENATE("#metadata!",ADDRESS(INDEX($P$2:$P$1001,MATCH(ROWS($N$2:N752),$N$2:$N$1001,0),0),1)),INDEX($S$2:$S$1001,MATCH(ROWS($N$2:N752),$N$2:$N$1001,0),0)))</f>
        <v>0</v>
      </c>
      <c r="B752" s="4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4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4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4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4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4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4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4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4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OR(AND(IF(Metadata!C752="",FALSE,TRUE),OR(exact(Metadata!C752,"not applicable"),exact(Metadata!C752,"not collected"),exact(Metadata!C752,"not provided"),exact(Metadata!C752,"restricted access"))),IF(Metadata!C752="",FALSE,ISNUMBER(VALUE(Metadata!C752))))</f>
        <v>0</v>
      </c>
      <c r="W752">
        <f>AND(IF(Metadata!D752="",FALSE,TRUE),exact(Metadata!D752,"m"))</f>
        <v>0</v>
      </c>
      <c r="X752">
        <f>AND(IF(Metadata!E752="",FALSE,TRUE),OR(exact(Metadata!E752,"aerosol (non-saline)"),exact(Metadata!E752,"aerosol (saline)")))</f>
        <v>0</v>
      </c>
      <c r="Y752">
        <f>AND(IF(Metadata!F752="",FALSE,TRUE),exact(Metadata!F752,"air"))</f>
        <v>0</v>
      </c>
      <c r="Z752">
        <f>AND(IF(Metadata!G752="",FALSE,TRUE),exact(Metadata!G752,"air"))</f>
        <v>0</v>
      </c>
      <c r="AA752">
        <f>AND(IF(Metadata!H752="",FALSE,TRUE),exact(Metadata!H752,"air"))</f>
        <v>0</v>
      </c>
      <c r="AB752">
        <f>AND(IF(Metadata!I752="",FALSE,TRUE),exact(Metadata!I752,"air metagenome"))</f>
        <v>0</v>
      </c>
      <c r="AC752">
        <f>AND(IF(Metadata!J752="",FALSE,TRUE),exact(Metadata!J752,"655179"))</f>
        <v>0</v>
      </c>
    </row>
    <row r="753" spans="1:29">
      <c r="A753" s="5">
        <f>IF(B753=" "," ",HYPERLINK(CONCATENATE("#metadata!",ADDRESS(INDEX($P$2:$P$1001,MATCH(ROWS($N$2:N753),$N$2:$N$1001,0),0),1)),INDEX($S$2:$S$1001,MATCH(ROWS($N$2:N753),$N$2:$N$1001,0),0)))</f>
        <v>0</v>
      </c>
      <c r="B753" s="4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4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4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4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4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4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4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4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4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OR(AND(IF(Metadata!C753="",FALSE,TRUE),OR(exact(Metadata!C753,"not applicable"),exact(Metadata!C753,"not collected"),exact(Metadata!C753,"not provided"),exact(Metadata!C753,"restricted access"))),IF(Metadata!C753="",FALSE,ISNUMBER(VALUE(Metadata!C753))))</f>
        <v>0</v>
      </c>
      <c r="W753">
        <f>AND(IF(Metadata!D753="",FALSE,TRUE),exact(Metadata!D753,"m"))</f>
        <v>0</v>
      </c>
      <c r="X753">
        <f>AND(IF(Metadata!E753="",FALSE,TRUE),OR(exact(Metadata!E753,"aerosol (non-saline)"),exact(Metadata!E753,"aerosol (saline)")))</f>
        <v>0</v>
      </c>
      <c r="Y753">
        <f>AND(IF(Metadata!F753="",FALSE,TRUE),exact(Metadata!F753,"air"))</f>
        <v>0</v>
      </c>
      <c r="Z753">
        <f>AND(IF(Metadata!G753="",FALSE,TRUE),exact(Metadata!G753,"air"))</f>
        <v>0</v>
      </c>
      <c r="AA753">
        <f>AND(IF(Metadata!H753="",FALSE,TRUE),exact(Metadata!H753,"air"))</f>
        <v>0</v>
      </c>
      <c r="AB753">
        <f>AND(IF(Metadata!I753="",FALSE,TRUE),exact(Metadata!I753,"air metagenome"))</f>
        <v>0</v>
      </c>
      <c r="AC753">
        <f>AND(IF(Metadata!J753="",FALSE,TRUE),exact(Metadata!J753,"655179"))</f>
        <v>0</v>
      </c>
    </row>
    <row r="754" spans="1:29">
      <c r="A754" s="5">
        <f>IF(B754=" "," ",HYPERLINK(CONCATENATE("#metadata!",ADDRESS(INDEX($P$2:$P$1001,MATCH(ROWS($N$2:N754),$N$2:$N$1001,0),0),1)),INDEX($S$2:$S$1001,MATCH(ROWS($N$2:N754),$N$2:$N$1001,0),0)))</f>
        <v>0</v>
      </c>
      <c r="B754" s="4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4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4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4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4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4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4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4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4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OR(AND(IF(Metadata!C754="",FALSE,TRUE),OR(exact(Metadata!C754,"not applicable"),exact(Metadata!C754,"not collected"),exact(Metadata!C754,"not provided"),exact(Metadata!C754,"restricted access"))),IF(Metadata!C754="",FALSE,ISNUMBER(VALUE(Metadata!C754))))</f>
        <v>0</v>
      </c>
      <c r="W754">
        <f>AND(IF(Metadata!D754="",FALSE,TRUE),exact(Metadata!D754,"m"))</f>
        <v>0</v>
      </c>
      <c r="X754">
        <f>AND(IF(Metadata!E754="",FALSE,TRUE),OR(exact(Metadata!E754,"aerosol (non-saline)"),exact(Metadata!E754,"aerosol (saline)")))</f>
        <v>0</v>
      </c>
      <c r="Y754">
        <f>AND(IF(Metadata!F754="",FALSE,TRUE),exact(Metadata!F754,"air"))</f>
        <v>0</v>
      </c>
      <c r="Z754">
        <f>AND(IF(Metadata!G754="",FALSE,TRUE),exact(Metadata!G754,"air"))</f>
        <v>0</v>
      </c>
      <c r="AA754">
        <f>AND(IF(Metadata!H754="",FALSE,TRUE),exact(Metadata!H754,"air"))</f>
        <v>0</v>
      </c>
      <c r="AB754">
        <f>AND(IF(Metadata!I754="",FALSE,TRUE),exact(Metadata!I754,"air metagenome"))</f>
        <v>0</v>
      </c>
      <c r="AC754">
        <f>AND(IF(Metadata!J754="",FALSE,TRUE),exact(Metadata!J754,"655179"))</f>
        <v>0</v>
      </c>
    </row>
    <row r="755" spans="1:29">
      <c r="A755" s="5">
        <f>IF(B755=" "," ",HYPERLINK(CONCATENATE("#metadata!",ADDRESS(INDEX($P$2:$P$1001,MATCH(ROWS($N$2:N755),$N$2:$N$1001,0),0),1)),INDEX($S$2:$S$1001,MATCH(ROWS($N$2:N755),$N$2:$N$1001,0),0)))</f>
        <v>0</v>
      </c>
      <c r="B755" s="4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4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4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4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4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4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4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4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4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OR(AND(IF(Metadata!C755="",FALSE,TRUE),OR(exact(Metadata!C755,"not applicable"),exact(Metadata!C755,"not collected"),exact(Metadata!C755,"not provided"),exact(Metadata!C755,"restricted access"))),IF(Metadata!C755="",FALSE,ISNUMBER(VALUE(Metadata!C755))))</f>
        <v>0</v>
      </c>
      <c r="W755">
        <f>AND(IF(Metadata!D755="",FALSE,TRUE),exact(Metadata!D755,"m"))</f>
        <v>0</v>
      </c>
      <c r="X755">
        <f>AND(IF(Metadata!E755="",FALSE,TRUE),OR(exact(Metadata!E755,"aerosol (non-saline)"),exact(Metadata!E755,"aerosol (saline)")))</f>
        <v>0</v>
      </c>
      <c r="Y755">
        <f>AND(IF(Metadata!F755="",FALSE,TRUE),exact(Metadata!F755,"air"))</f>
        <v>0</v>
      </c>
      <c r="Z755">
        <f>AND(IF(Metadata!G755="",FALSE,TRUE),exact(Metadata!G755,"air"))</f>
        <v>0</v>
      </c>
      <c r="AA755">
        <f>AND(IF(Metadata!H755="",FALSE,TRUE),exact(Metadata!H755,"air"))</f>
        <v>0</v>
      </c>
      <c r="AB755">
        <f>AND(IF(Metadata!I755="",FALSE,TRUE),exact(Metadata!I755,"air metagenome"))</f>
        <v>0</v>
      </c>
      <c r="AC755">
        <f>AND(IF(Metadata!J755="",FALSE,TRUE),exact(Metadata!J755,"655179"))</f>
        <v>0</v>
      </c>
    </row>
    <row r="756" spans="1:29">
      <c r="A756" s="5">
        <f>IF(B756=" "," ",HYPERLINK(CONCATENATE("#metadata!",ADDRESS(INDEX($P$2:$P$1001,MATCH(ROWS($N$2:N756),$N$2:$N$1001,0),0),1)),INDEX($S$2:$S$1001,MATCH(ROWS($N$2:N756),$N$2:$N$1001,0),0)))</f>
        <v>0</v>
      </c>
      <c r="B756" s="4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4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4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4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4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4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4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4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4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OR(AND(IF(Metadata!C756="",FALSE,TRUE),OR(exact(Metadata!C756,"not applicable"),exact(Metadata!C756,"not collected"),exact(Metadata!C756,"not provided"),exact(Metadata!C756,"restricted access"))),IF(Metadata!C756="",FALSE,ISNUMBER(VALUE(Metadata!C756))))</f>
        <v>0</v>
      </c>
      <c r="W756">
        <f>AND(IF(Metadata!D756="",FALSE,TRUE),exact(Metadata!D756,"m"))</f>
        <v>0</v>
      </c>
      <c r="X756">
        <f>AND(IF(Metadata!E756="",FALSE,TRUE),OR(exact(Metadata!E756,"aerosol (non-saline)"),exact(Metadata!E756,"aerosol (saline)")))</f>
        <v>0</v>
      </c>
      <c r="Y756">
        <f>AND(IF(Metadata!F756="",FALSE,TRUE),exact(Metadata!F756,"air"))</f>
        <v>0</v>
      </c>
      <c r="Z756">
        <f>AND(IF(Metadata!G756="",FALSE,TRUE),exact(Metadata!G756,"air"))</f>
        <v>0</v>
      </c>
      <c r="AA756">
        <f>AND(IF(Metadata!H756="",FALSE,TRUE),exact(Metadata!H756,"air"))</f>
        <v>0</v>
      </c>
      <c r="AB756">
        <f>AND(IF(Metadata!I756="",FALSE,TRUE),exact(Metadata!I756,"air metagenome"))</f>
        <v>0</v>
      </c>
      <c r="AC756">
        <f>AND(IF(Metadata!J756="",FALSE,TRUE),exact(Metadata!J756,"655179"))</f>
        <v>0</v>
      </c>
    </row>
    <row r="757" spans="1:29">
      <c r="A757" s="5">
        <f>IF(B757=" "," ",HYPERLINK(CONCATENATE("#metadata!",ADDRESS(INDEX($P$2:$P$1001,MATCH(ROWS($N$2:N757),$N$2:$N$1001,0),0),1)),INDEX($S$2:$S$1001,MATCH(ROWS($N$2:N757),$N$2:$N$1001,0),0)))</f>
        <v>0</v>
      </c>
      <c r="B757" s="4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4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4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4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4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4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4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4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4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OR(AND(IF(Metadata!C757="",FALSE,TRUE),OR(exact(Metadata!C757,"not applicable"),exact(Metadata!C757,"not collected"),exact(Metadata!C757,"not provided"),exact(Metadata!C757,"restricted access"))),IF(Metadata!C757="",FALSE,ISNUMBER(VALUE(Metadata!C757))))</f>
        <v>0</v>
      </c>
      <c r="W757">
        <f>AND(IF(Metadata!D757="",FALSE,TRUE),exact(Metadata!D757,"m"))</f>
        <v>0</v>
      </c>
      <c r="X757">
        <f>AND(IF(Metadata!E757="",FALSE,TRUE),OR(exact(Metadata!E757,"aerosol (non-saline)"),exact(Metadata!E757,"aerosol (saline)")))</f>
        <v>0</v>
      </c>
      <c r="Y757">
        <f>AND(IF(Metadata!F757="",FALSE,TRUE),exact(Metadata!F757,"air"))</f>
        <v>0</v>
      </c>
      <c r="Z757">
        <f>AND(IF(Metadata!G757="",FALSE,TRUE),exact(Metadata!G757,"air"))</f>
        <v>0</v>
      </c>
      <c r="AA757">
        <f>AND(IF(Metadata!H757="",FALSE,TRUE),exact(Metadata!H757,"air"))</f>
        <v>0</v>
      </c>
      <c r="AB757">
        <f>AND(IF(Metadata!I757="",FALSE,TRUE),exact(Metadata!I757,"air metagenome"))</f>
        <v>0</v>
      </c>
      <c r="AC757">
        <f>AND(IF(Metadata!J757="",FALSE,TRUE),exact(Metadata!J757,"655179"))</f>
        <v>0</v>
      </c>
    </row>
    <row r="758" spans="1:29">
      <c r="A758" s="5">
        <f>IF(B758=" "," ",HYPERLINK(CONCATENATE("#metadata!",ADDRESS(INDEX($P$2:$P$1001,MATCH(ROWS($N$2:N758),$N$2:$N$1001,0),0),1)),INDEX($S$2:$S$1001,MATCH(ROWS($N$2:N758),$N$2:$N$1001,0),0)))</f>
        <v>0</v>
      </c>
      <c r="B758" s="4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4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4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4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4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4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4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4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4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OR(AND(IF(Metadata!C758="",FALSE,TRUE),OR(exact(Metadata!C758,"not applicable"),exact(Metadata!C758,"not collected"),exact(Metadata!C758,"not provided"),exact(Metadata!C758,"restricted access"))),IF(Metadata!C758="",FALSE,ISNUMBER(VALUE(Metadata!C758))))</f>
        <v>0</v>
      </c>
      <c r="W758">
        <f>AND(IF(Metadata!D758="",FALSE,TRUE),exact(Metadata!D758,"m"))</f>
        <v>0</v>
      </c>
      <c r="X758">
        <f>AND(IF(Metadata!E758="",FALSE,TRUE),OR(exact(Metadata!E758,"aerosol (non-saline)"),exact(Metadata!E758,"aerosol (saline)")))</f>
        <v>0</v>
      </c>
      <c r="Y758">
        <f>AND(IF(Metadata!F758="",FALSE,TRUE),exact(Metadata!F758,"air"))</f>
        <v>0</v>
      </c>
      <c r="Z758">
        <f>AND(IF(Metadata!G758="",FALSE,TRUE),exact(Metadata!G758,"air"))</f>
        <v>0</v>
      </c>
      <c r="AA758">
        <f>AND(IF(Metadata!H758="",FALSE,TRUE),exact(Metadata!H758,"air"))</f>
        <v>0</v>
      </c>
      <c r="AB758">
        <f>AND(IF(Metadata!I758="",FALSE,TRUE),exact(Metadata!I758,"air metagenome"))</f>
        <v>0</v>
      </c>
      <c r="AC758">
        <f>AND(IF(Metadata!J758="",FALSE,TRUE),exact(Metadata!J758,"655179"))</f>
        <v>0</v>
      </c>
    </row>
    <row r="759" spans="1:29">
      <c r="A759" s="5">
        <f>IF(B759=" "," ",HYPERLINK(CONCATENATE("#metadata!",ADDRESS(INDEX($P$2:$P$1001,MATCH(ROWS($N$2:N759),$N$2:$N$1001,0),0),1)),INDEX($S$2:$S$1001,MATCH(ROWS($N$2:N759),$N$2:$N$1001,0),0)))</f>
        <v>0</v>
      </c>
      <c r="B759" s="4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4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4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4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4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4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4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4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4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OR(AND(IF(Metadata!C759="",FALSE,TRUE),OR(exact(Metadata!C759,"not applicable"),exact(Metadata!C759,"not collected"),exact(Metadata!C759,"not provided"),exact(Metadata!C759,"restricted access"))),IF(Metadata!C759="",FALSE,ISNUMBER(VALUE(Metadata!C759))))</f>
        <v>0</v>
      </c>
      <c r="W759">
        <f>AND(IF(Metadata!D759="",FALSE,TRUE),exact(Metadata!D759,"m"))</f>
        <v>0</v>
      </c>
      <c r="X759">
        <f>AND(IF(Metadata!E759="",FALSE,TRUE),OR(exact(Metadata!E759,"aerosol (non-saline)"),exact(Metadata!E759,"aerosol (saline)")))</f>
        <v>0</v>
      </c>
      <c r="Y759">
        <f>AND(IF(Metadata!F759="",FALSE,TRUE),exact(Metadata!F759,"air"))</f>
        <v>0</v>
      </c>
      <c r="Z759">
        <f>AND(IF(Metadata!G759="",FALSE,TRUE),exact(Metadata!G759,"air"))</f>
        <v>0</v>
      </c>
      <c r="AA759">
        <f>AND(IF(Metadata!H759="",FALSE,TRUE),exact(Metadata!H759,"air"))</f>
        <v>0</v>
      </c>
      <c r="AB759">
        <f>AND(IF(Metadata!I759="",FALSE,TRUE),exact(Metadata!I759,"air metagenome"))</f>
        <v>0</v>
      </c>
      <c r="AC759">
        <f>AND(IF(Metadata!J759="",FALSE,TRUE),exact(Metadata!J759,"655179"))</f>
        <v>0</v>
      </c>
    </row>
    <row r="760" spans="1:29">
      <c r="A760" s="5">
        <f>IF(B760=" "," ",HYPERLINK(CONCATENATE("#metadata!",ADDRESS(INDEX($P$2:$P$1001,MATCH(ROWS($N$2:N760),$N$2:$N$1001,0),0),1)),INDEX($S$2:$S$1001,MATCH(ROWS($N$2:N760),$N$2:$N$1001,0),0)))</f>
        <v>0</v>
      </c>
      <c r="B760" s="4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4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4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4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4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4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4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4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4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OR(AND(IF(Metadata!C760="",FALSE,TRUE),OR(exact(Metadata!C760,"not applicable"),exact(Metadata!C760,"not collected"),exact(Metadata!C760,"not provided"),exact(Metadata!C760,"restricted access"))),IF(Metadata!C760="",FALSE,ISNUMBER(VALUE(Metadata!C760))))</f>
        <v>0</v>
      </c>
      <c r="W760">
        <f>AND(IF(Metadata!D760="",FALSE,TRUE),exact(Metadata!D760,"m"))</f>
        <v>0</v>
      </c>
      <c r="X760">
        <f>AND(IF(Metadata!E760="",FALSE,TRUE),OR(exact(Metadata!E760,"aerosol (non-saline)"),exact(Metadata!E760,"aerosol (saline)")))</f>
        <v>0</v>
      </c>
      <c r="Y760">
        <f>AND(IF(Metadata!F760="",FALSE,TRUE),exact(Metadata!F760,"air"))</f>
        <v>0</v>
      </c>
      <c r="Z760">
        <f>AND(IF(Metadata!G760="",FALSE,TRUE),exact(Metadata!G760,"air"))</f>
        <v>0</v>
      </c>
      <c r="AA760">
        <f>AND(IF(Metadata!H760="",FALSE,TRUE),exact(Metadata!H760,"air"))</f>
        <v>0</v>
      </c>
      <c r="AB760">
        <f>AND(IF(Metadata!I760="",FALSE,TRUE),exact(Metadata!I760,"air metagenome"))</f>
        <v>0</v>
      </c>
      <c r="AC760">
        <f>AND(IF(Metadata!J760="",FALSE,TRUE),exact(Metadata!J760,"655179"))</f>
        <v>0</v>
      </c>
    </row>
    <row r="761" spans="1:29">
      <c r="A761" s="5">
        <f>IF(B761=" "," ",HYPERLINK(CONCATENATE("#metadata!",ADDRESS(INDEX($P$2:$P$1001,MATCH(ROWS($N$2:N761),$N$2:$N$1001,0),0),1)),INDEX($S$2:$S$1001,MATCH(ROWS($N$2:N761),$N$2:$N$1001,0),0)))</f>
        <v>0</v>
      </c>
      <c r="B761" s="4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4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4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4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4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4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4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4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4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OR(AND(IF(Metadata!C761="",FALSE,TRUE),OR(exact(Metadata!C761,"not applicable"),exact(Metadata!C761,"not collected"),exact(Metadata!C761,"not provided"),exact(Metadata!C761,"restricted access"))),IF(Metadata!C761="",FALSE,ISNUMBER(VALUE(Metadata!C761))))</f>
        <v>0</v>
      </c>
      <c r="W761">
        <f>AND(IF(Metadata!D761="",FALSE,TRUE),exact(Metadata!D761,"m"))</f>
        <v>0</v>
      </c>
      <c r="X761">
        <f>AND(IF(Metadata!E761="",FALSE,TRUE),OR(exact(Metadata!E761,"aerosol (non-saline)"),exact(Metadata!E761,"aerosol (saline)")))</f>
        <v>0</v>
      </c>
      <c r="Y761">
        <f>AND(IF(Metadata!F761="",FALSE,TRUE),exact(Metadata!F761,"air"))</f>
        <v>0</v>
      </c>
      <c r="Z761">
        <f>AND(IF(Metadata!G761="",FALSE,TRUE),exact(Metadata!G761,"air"))</f>
        <v>0</v>
      </c>
      <c r="AA761">
        <f>AND(IF(Metadata!H761="",FALSE,TRUE),exact(Metadata!H761,"air"))</f>
        <v>0</v>
      </c>
      <c r="AB761">
        <f>AND(IF(Metadata!I761="",FALSE,TRUE),exact(Metadata!I761,"air metagenome"))</f>
        <v>0</v>
      </c>
      <c r="AC761">
        <f>AND(IF(Metadata!J761="",FALSE,TRUE),exact(Metadata!J761,"655179"))</f>
        <v>0</v>
      </c>
    </row>
    <row r="762" spans="1:29">
      <c r="A762" s="5">
        <f>IF(B762=" "," ",HYPERLINK(CONCATENATE("#metadata!",ADDRESS(INDEX($P$2:$P$1001,MATCH(ROWS($N$2:N762),$N$2:$N$1001,0),0),1)),INDEX($S$2:$S$1001,MATCH(ROWS($N$2:N762),$N$2:$N$1001,0),0)))</f>
        <v>0</v>
      </c>
      <c r="B762" s="4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4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4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4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4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4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4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4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4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OR(AND(IF(Metadata!C762="",FALSE,TRUE),OR(exact(Metadata!C762,"not applicable"),exact(Metadata!C762,"not collected"),exact(Metadata!C762,"not provided"),exact(Metadata!C762,"restricted access"))),IF(Metadata!C762="",FALSE,ISNUMBER(VALUE(Metadata!C762))))</f>
        <v>0</v>
      </c>
      <c r="W762">
        <f>AND(IF(Metadata!D762="",FALSE,TRUE),exact(Metadata!D762,"m"))</f>
        <v>0</v>
      </c>
      <c r="X762">
        <f>AND(IF(Metadata!E762="",FALSE,TRUE),OR(exact(Metadata!E762,"aerosol (non-saline)"),exact(Metadata!E762,"aerosol (saline)")))</f>
        <v>0</v>
      </c>
      <c r="Y762">
        <f>AND(IF(Metadata!F762="",FALSE,TRUE),exact(Metadata!F762,"air"))</f>
        <v>0</v>
      </c>
      <c r="Z762">
        <f>AND(IF(Metadata!G762="",FALSE,TRUE),exact(Metadata!G762,"air"))</f>
        <v>0</v>
      </c>
      <c r="AA762">
        <f>AND(IF(Metadata!H762="",FALSE,TRUE),exact(Metadata!H762,"air"))</f>
        <v>0</v>
      </c>
      <c r="AB762">
        <f>AND(IF(Metadata!I762="",FALSE,TRUE),exact(Metadata!I762,"air metagenome"))</f>
        <v>0</v>
      </c>
      <c r="AC762">
        <f>AND(IF(Metadata!J762="",FALSE,TRUE),exact(Metadata!J762,"655179"))</f>
        <v>0</v>
      </c>
    </row>
    <row r="763" spans="1:29">
      <c r="A763" s="5">
        <f>IF(B763=" "," ",HYPERLINK(CONCATENATE("#metadata!",ADDRESS(INDEX($P$2:$P$1001,MATCH(ROWS($N$2:N763),$N$2:$N$1001,0),0),1)),INDEX($S$2:$S$1001,MATCH(ROWS($N$2:N763),$N$2:$N$1001,0),0)))</f>
        <v>0</v>
      </c>
      <c r="B763" s="4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4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4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4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4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4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4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4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4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OR(AND(IF(Metadata!C763="",FALSE,TRUE),OR(exact(Metadata!C763,"not applicable"),exact(Metadata!C763,"not collected"),exact(Metadata!C763,"not provided"),exact(Metadata!C763,"restricted access"))),IF(Metadata!C763="",FALSE,ISNUMBER(VALUE(Metadata!C763))))</f>
        <v>0</v>
      </c>
      <c r="W763">
        <f>AND(IF(Metadata!D763="",FALSE,TRUE),exact(Metadata!D763,"m"))</f>
        <v>0</v>
      </c>
      <c r="X763">
        <f>AND(IF(Metadata!E763="",FALSE,TRUE),OR(exact(Metadata!E763,"aerosol (non-saline)"),exact(Metadata!E763,"aerosol (saline)")))</f>
        <v>0</v>
      </c>
      <c r="Y763">
        <f>AND(IF(Metadata!F763="",FALSE,TRUE),exact(Metadata!F763,"air"))</f>
        <v>0</v>
      </c>
      <c r="Z763">
        <f>AND(IF(Metadata!G763="",FALSE,TRUE),exact(Metadata!G763,"air"))</f>
        <v>0</v>
      </c>
      <c r="AA763">
        <f>AND(IF(Metadata!H763="",FALSE,TRUE),exact(Metadata!H763,"air"))</f>
        <v>0</v>
      </c>
      <c r="AB763">
        <f>AND(IF(Metadata!I763="",FALSE,TRUE),exact(Metadata!I763,"air metagenome"))</f>
        <v>0</v>
      </c>
      <c r="AC763">
        <f>AND(IF(Metadata!J763="",FALSE,TRUE),exact(Metadata!J763,"655179"))</f>
        <v>0</v>
      </c>
    </row>
    <row r="764" spans="1:29">
      <c r="A764" s="5">
        <f>IF(B764=" "," ",HYPERLINK(CONCATENATE("#metadata!",ADDRESS(INDEX($P$2:$P$1001,MATCH(ROWS($N$2:N764),$N$2:$N$1001,0),0),1)),INDEX($S$2:$S$1001,MATCH(ROWS($N$2:N764),$N$2:$N$1001,0),0)))</f>
        <v>0</v>
      </c>
      <c r="B764" s="4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4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4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4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4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4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4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4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4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OR(AND(IF(Metadata!C764="",FALSE,TRUE),OR(exact(Metadata!C764,"not applicable"),exact(Metadata!C764,"not collected"),exact(Metadata!C764,"not provided"),exact(Metadata!C764,"restricted access"))),IF(Metadata!C764="",FALSE,ISNUMBER(VALUE(Metadata!C764))))</f>
        <v>0</v>
      </c>
      <c r="W764">
        <f>AND(IF(Metadata!D764="",FALSE,TRUE),exact(Metadata!D764,"m"))</f>
        <v>0</v>
      </c>
      <c r="X764">
        <f>AND(IF(Metadata!E764="",FALSE,TRUE),OR(exact(Metadata!E764,"aerosol (non-saline)"),exact(Metadata!E764,"aerosol (saline)")))</f>
        <v>0</v>
      </c>
      <c r="Y764">
        <f>AND(IF(Metadata!F764="",FALSE,TRUE),exact(Metadata!F764,"air"))</f>
        <v>0</v>
      </c>
      <c r="Z764">
        <f>AND(IF(Metadata!G764="",FALSE,TRUE),exact(Metadata!G764,"air"))</f>
        <v>0</v>
      </c>
      <c r="AA764">
        <f>AND(IF(Metadata!H764="",FALSE,TRUE),exact(Metadata!H764,"air"))</f>
        <v>0</v>
      </c>
      <c r="AB764">
        <f>AND(IF(Metadata!I764="",FALSE,TRUE),exact(Metadata!I764,"air metagenome"))</f>
        <v>0</v>
      </c>
      <c r="AC764">
        <f>AND(IF(Metadata!J764="",FALSE,TRUE),exact(Metadata!J764,"655179"))</f>
        <v>0</v>
      </c>
    </row>
    <row r="765" spans="1:29">
      <c r="A765" s="5">
        <f>IF(B765=" "," ",HYPERLINK(CONCATENATE("#metadata!",ADDRESS(INDEX($P$2:$P$1001,MATCH(ROWS($N$2:N765),$N$2:$N$1001,0),0),1)),INDEX($S$2:$S$1001,MATCH(ROWS($N$2:N765),$N$2:$N$1001,0),0)))</f>
        <v>0</v>
      </c>
      <c r="B765" s="4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4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4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4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4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4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4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4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4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OR(AND(IF(Metadata!C765="",FALSE,TRUE),OR(exact(Metadata!C765,"not applicable"),exact(Metadata!C765,"not collected"),exact(Metadata!C765,"not provided"),exact(Metadata!C765,"restricted access"))),IF(Metadata!C765="",FALSE,ISNUMBER(VALUE(Metadata!C765))))</f>
        <v>0</v>
      </c>
      <c r="W765">
        <f>AND(IF(Metadata!D765="",FALSE,TRUE),exact(Metadata!D765,"m"))</f>
        <v>0</v>
      </c>
      <c r="X765">
        <f>AND(IF(Metadata!E765="",FALSE,TRUE),OR(exact(Metadata!E765,"aerosol (non-saline)"),exact(Metadata!E765,"aerosol (saline)")))</f>
        <v>0</v>
      </c>
      <c r="Y765">
        <f>AND(IF(Metadata!F765="",FALSE,TRUE),exact(Metadata!F765,"air"))</f>
        <v>0</v>
      </c>
      <c r="Z765">
        <f>AND(IF(Metadata!G765="",FALSE,TRUE),exact(Metadata!G765,"air"))</f>
        <v>0</v>
      </c>
      <c r="AA765">
        <f>AND(IF(Metadata!H765="",FALSE,TRUE),exact(Metadata!H765,"air"))</f>
        <v>0</v>
      </c>
      <c r="AB765">
        <f>AND(IF(Metadata!I765="",FALSE,TRUE),exact(Metadata!I765,"air metagenome"))</f>
        <v>0</v>
      </c>
      <c r="AC765">
        <f>AND(IF(Metadata!J765="",FALSE,TRUE),exact(Metadata!J765,"655179"))</f>
        <v>0</v>
      </c>
    </row>
    <row r="766" spans="1:29">
      <c r="A766" s="5">
        <f>IF(B766=" "," ",HYPERLINK(CONCATENATE("#metadata!",ADDRESS(INDEX($P$2:$P$1001,MATCH(ROWS($N$2:N766),$N$2:$N$1001,0),0),1)),INDEX($S$2:$S$1001,MATCH(ROWS($N$2:N766),$N$2:$N$1001,0),0)))</f>
        <v>0</v>
      </c>
      <c r="B766" s="4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4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4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4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4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4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4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4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4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OR(AND(IF(Metadata!C766="",FALSE,TRUE),OR(exact(Metadata!C766,"not applicable"),exact(Metadata!C766,"not collected"),exact(Metadata!C766,"not provided"),exact(Metadata!C766,"restricted access"))),IF(Metadata!C766="",FALSE,ISNUMBER(VALUE(Metadata!C766))))</f>
        <v>0</v>
      </c>
      <c r="W766">
        <f>AND(IF(Metadata!D766="",FALSE,TRUE),exact(Metadata!D766,"m"))</f>
        <v>0</v>
      </c>
      <c r="X766">
        <f>AND(IF(Metadata!E766="",FALSE,TRUE),OR(exact(Metadata!E766,"aerosol (non-saline)"),exact(Metadata!E766,"aerosol (saline)")))</f>
        <v>0</v>
      </c>
      <c r="Y766">
        <f>AND(IF(Metadata!F766="",FALSE,TRUE),exact(Metadata!F766,"air"))</f>
        <v>0</v>
      </c>
      <c r="Z766">
        <f>AND(IF(Metadata!G766="",FALSE,TRUE),exact(Metadata!G766,"air"))</f>
        <v>0</v>
      </c>
      <c r="AA766">
        <f>AND(IF(Metadata!H766="",FALSE,TRUE),exact(Metadata!H766,"air"))</f>
        <v>0</v>
      </c>
      <c r="AB766">
        <f>AND(IF(Metadata!I766="",FALSE,TRUE),exact(Metadata!I766,"air metagenome"))</f>
        <v>0</v>
      </c>
      <c r="AC766">
        <f>AND(IF(Metadata!J766="",FALSE,TRUE),exact(Metadata!J766,"655179"))</f>
        <v>0</v>
      </c>
    </row>
    <row r="767" spans="1:29">
      <c r="A767" s="5">
        <f>IF(B767=" "," ",HYPERLINK(CONCATENATE("#metadata!",ADDRESS(INDEX($P$2:$P$1001,MATCH(ROWS($N$2:N767),$N$2:$N$1001,0),0),1)),INDEX($S$2:$S$1001,MATCH(ROWS($N$2:N767),$N$2:$N$1001,0),0)))</f>
        <v>0</v>
      </c>
      <c r="B767" s="4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4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4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4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4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4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4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4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4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OR(AND(IF(Metadata!C767="",FALSE,TRUE),OR(exact(Metadata!C767,"not applicable"),exact(Metadata!C767,"not collected"),exact(Metadata!C767,"not provided"),exact(Metadata!C767,"restricted access"))),IF(Metadata!C767="",FALSE,ISNUMBER(VALUE(Metadata!C767))))</f>
        <v>0</v>
      </c>
      <c r="W767">
        <f>AND(IF(Metadata!D767="",FALSE,TRUE),exact(Metadata!D767,"m"))</f>
        <v>0</v>
      </c>
      <c r="X767">
        <f>AND(IF(Metadata!E767="",FALSE,TRUE),OR(exact(Metadata!E767,"aerosol (non-saline)"),exact(Metadata!E767,"aerosol (saline)")))</f>
        <v>0</v>
      </c>
      <c r="Y767">
        <f>AND(IF(Metadata!F767="",FALSE,TRUE),exact(Metadata!F767,"air"))</f>
        <v>0</v>
      </c>
      <c r="Z767">
        <f>AND(IF(Metadata!G767="",FALSE,TRUE),exact(Metadata!G767,"air"))</f>
        <v>0</v>
      </c>
      <c r="AA767">
        <f>AND(IF(Metadata!H767="",FALSE,TRUE),exact(Metadata!H767,"air"))</f>
        <v>0</v>
      </c>
      <c r="AB767">
        <f>AND(IF(Metadata!I767="",FALSE,TRUE),exact(Metadata!I767,"air metagenome"))</f>
        <v>0</v>
      </c>
      <c r="AC767">
        <f>AND(IF(Metadata!J767="",FALSE,TRUE),exact(Metadata!J767,"655179"))</f>
        <v>0</v>
      </c>
    </row>
    <row r="768" spans="1:29">
      <c r="A768" s="5">
        <f>IF(B768=" "," ",HYPERLINK(CONCATENATE("#metadata!",ADDRESS(INDEX($P$2:$P$1001,MATCH(ROWS($N$2:N768),$N$2:$N$1001,0),0),1)),INDEX($S$2:$S$1001,MATCH(ROWS($N$2:N768),$N$2:$N$1001,0),0)))</f>
        <v>0</v>
      </c>
      <c r="B768" s="4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4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4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4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4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4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4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4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4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OR(AND(IF(Metadata!C768="",FALSE,TRUE),OR(exact(Metadata!C768,"not applicable"),exact(Metadata!C768,"not collected"),exact(Metadata!C768,"not provided"),exact(Metadata!C768,"restricted access"))),IF(Metadata!C768="",FALSE,ISNUMBER(VALUE(Metadata!C768))))</f>
        <v>0</v>
      </c>
      <c r="W768">
        <f>AND(IF(Metadata!D768="",FALSE,TRUE),exact(Metadata!D768,"m"))</f>
        <v>0</v>
      </c>
      <c r="X768">
        <f>AND(IF(Metadata!E768="",FALSE,TRUE),OR(exact(Metadata!E768,"aerosol (non-saline)"),exact(Metadata!E768,"aerosol (saline)")))</f>
        <v>0</v>
      </c>
      <c r="Y768">
        <f>AND(IF(Metadata!F768="",FALSE,TRUE),exact(Metadata!F768,"air"))</f>
        <v>0</v>
      </c>
      <c r="Z768">
        <f>AND(IF(Metadata!G768="",FALSE,TRUE),exact(Metadata!G768,"air"))</f>
        <v>0</v>
      </c>
      <c r="AA768">
        <f>AND(IF(Metadata!H768="",FALSE,TRUE),exact(Metadata!H768,"air"))</f>
        <v>0</v>
      </c>
      <c r="AB768">
        <f>AND(IF(Metadata!I768="",FALSE,TRUE),exact(Metadata!I768,"air metagenome"))</f>
        <v>0</v>
      </c>
      <c r="AC768">
        <f>AND(IF(Metadata!J768="",FALSE,TRUE),exact(Metadata!J768,"655179"))</f>
        <v>0</v>
      </c>
    </row>
    <row r="769" spans="1:29">
      <c r="A769" s="5">
        <f>IF(B769=" "," ",HYPERLINK(CONCATENATE("#metadata!",ADDRESS(INDEX($P$2:$P$1001,MATCH(ROWS($N$2:N769),$N$2:$N$1001,0),0),1)),INDEX($S$2:$S$1001,MATCH(ROWS($N$2:N769),$N$2:$N$1001,0),0)))</f>
        <v>0</v>
      </c>
      <c r="B769" s="4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4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4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4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4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4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4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4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4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OR(AND(IF(Metadata!C769="",FALSE,TRUE),OR(exact(Metadata!C769,"not applicable"),exact(Metadata!C769,"not collected"),exact(Metadata!C769,"not provided"),exact(Metadata!C769,"restricted access"))),IF(Metadata!C769="",FALSE,ISNUMBER(VALUE(Metadata!C769))))</f>
        <v>0</v>
      </c>
      <c r="W769">
        <f>AND(IF(Metadata!D769="",FALSE,TRUE),exact(Metadata!D769,"m"))</f>
        <v>0</v>
      </c>
      <c r="X769">
        <f>AND(IF(Metadata!E769="",FALSE,TRUE),OR(exact(Metadata!E769,"aerosol (non-saline)"),exact(Metadata!E769,"aerosol (saline)")))</f>
        <v>0</v>
      </c>
      <c r="Y769">
        <f>AND(IF(Metadata!F769="",FALSE,TRUE),exact(Metadata!F769,"air"))</f>
        <v>0</v>
      </c>
      <c r="Z769">
        <f>AND(IF(Metadata!G769="",FALSE,TRUE),exact(Metadata!G769,"air"))</f>
        <v>0</v>
      </c>
      <c r="AA769">
        <f>AND(IF(Metadata!H769="",FALSE,TRUE),exact(Metadata!H769,"air"))</f>
        <v>0</v>
      </c>
      <c r="AB769">
        <f>AND(IF(Metadata!I769="",FALSE,TRUE),exact(Metadata!I769,"air metagenome"))</f>
        <v>0</v>
      </c>
      <c r="AC769">
        <f>AND(IF(Metadata!J769="",FALSE,TRUE),exact(Metadata!J769,"655179"))</f>
        <v>0</v>
      </c>
    </row>
    <row r="770" spans="1:29">
      <c r="A770" s="5">
        <f>IF(B770=" "," ",HYPERLINK(CONCATENATE("#metadata!",ADDRESS(INDEX($P$2:$P$1001,MATCH(ROWS($N$2:N770),$N$2:$N$1001,0),0),1)),INDEX($S$2:$S$1001,MATCH(ROWS($N$2:N770),$N$2:$N$1001,0),0)))</f>
        <v>0</v>
      </c>
      <c r="B770" s="4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4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4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4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4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4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4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4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4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OR(AND(IF(Metadata!C770="",FALSE,TRUE),OR(exact(Metadata!C770,"not applicable"),exact(Metadata!C770,"not collected"),exact(Metadata!C770,"not provided"),exact(Metadata!C770,"restricted access"))),IF(Metadata!C770="",FALSE,ISNUMBER(VALUE(Metadata!C770))))</f>
        <v>0</v>
      </c>
      <c r="W770">
        <f>AND(IF(Metadata!D770="",FALSE,TRUE),exact(Metadata!D770,"m"))</f>
        <v>0</v>
      </c>
      <c r="X770">
        <f>AND(IF(Metadata!E770="",FALSE,TRUE),OR(exact(Metadata!E770,"aerosol (non-saline)"),exact(Metadata!E770,"aerosol (saline)")))</f>
        <v>0</v>
      </c>
      <c r="Y770">
        <f>AND(IF(Metadata!F770="",FALSE,TRUE),exact(Metadata!F770,"air"))</f>
        <v>0</v>
      </c>
      <c r="Z770">
        <f>AND(IF(Metadata!G770="",FALSE,TRUE),exact(Metadata!G770,"air"))</f>
        <v>0</v>
      </c>
      <c r="AA770">
        <f>AND(IF(Metadata!H770="",FALSE,TRUE),exact(Metadata!H770,"air"))</f>
        <v>0</v>
      </c>
      <c r="AB770">
        <f>AND(IF(Metadata!I770="",FALSE,TRUE),exact(Metadata!I770,"air metagenome"))</f>
        <v>0</v>
      </c>
      <c r="AC770">
        <f>AND(IF(Metadata!J770="",FALSE,TRUE),exact(Metadata!J770,"655179"))</f>
        <v>0</v>
      </c>
    </row>
    <row r="771" spans="1:29">
      <c r="A771" s="5">
        <f>IF(B771=" "," ",HYPERLINK(CONCATENATE("#metadata!",ADDRESS(INDEX($P$2:$P$1001,MATCH(ROWS($N$2:N771),$N$2:$N$1001,0),0),1)),INDEX($S$2:$S$1001,MATCH(ROWS($N$2:N771),$N$2:$N$1001,0),0)))</f>
        <v>0</v>
      </c>
      <c r="B771" s="4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4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4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4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4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4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4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4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4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OR(AND(IF(Metadata!C771="",FALSE,TRUE),OR(exact(Metadata!C771,"not applicable"),exact(Metadata!C771,"not collected"),exact(Metadata!C771,"not provided"),exact(Metadata!C771,"restricted access"))),IF(Metadata!C771="",FALSE,ISNUMBER(VALUE(Metadata!C771))))</f>
        <v>0</v>
      </c>
      <c r="W771">
        <f>AND(IF(Metadata!D771="",FALSE,TRUE),exact(Metadata!D771,"m"))</f>
        <v>0</v>
      </c>
      <c r="X771">
        <f>AND(IF(Metadata!E771="",FALSE,TRUE),OR(exact(Metadata!E771,"aerosol (non-saline)"),exact(Metadata!E771,"aerosol (saline)")))</f>
        <v>0</v>
      </c>
      <c r="Y771">
        <f>AND(IF(Metadata!F771="",FALSE,TRUE),exact(Metadata!F771,"air"))</f>
        <v>0</v>
      </c>
      <c r="Z771">
        <f>AND(IF(Metadata!G771="",FALSE,TRUE),exact(Metadata!G771,"air"))</f>
        <v>0</v>
      </c>
      <c r="AA771">
        <f>AND(IF(Metadata!H771="",FALSE,TRUE),exact(Metadata!H771,"air"))</f>
        <v>0</v>
      </c>
      <c r="AB771">
        <f>AND(IF(Metadata!I771="",FALSE,TRUE),exact(Metadata!I771,"air metagenome"))</f>
        <v>0</v>
      </c>
      <c r="AC771">
        <f>AND(IF(Metadata!J771="",FALSE,TRUE),exact(Metadata!J771,"655179"))</f>
        <v>0</v>
      </c>
    </row>
    <row r="772" spans="1:29">
      <c r="A772" s="5">
        <f>IF(B772=" "," ",HYPERLINK(CONCATENATE("#metadata!",ADDRESS(INDEX($P$2:$P$1001,MATCH(ROWS($N$2:N772),$N$2:$N$1001,0),0),1)),INDEX($S$2:$S$1001,MATCH(ROWS($N$2:N772),$N$2:$N$1001,0),0)))</f>
        <v>0</v>
      </c>
      <c r="B772" s="4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4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4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4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4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4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4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4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4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OR(AND(IF(Metadata!C772="",FALSE,TRUE),OR(exact(Metadata!C772,"not applicable"),exact(Metadata!C772,"not collected"),exact(Metadata!C772,"not provided"),exact(Metadata!C772,"restricted access"))),IF(Metadata!C772="",FALSE,ISNUMBER(VALUE(Metadata!C772))))</f>
        <v>0</v>
      </c>
      <c r="W772">
        <f>AND(IF(Metadata!D772="",FALSE,TRUE),exact(Metadata!D772,"m"))</f>
        <v>0</v>
      </c>
      <c r="X772">
        <f>AND(IF(Metadata!E772="",FALSE,TRUE),OR(exact(Metadata!E772,"aerosol (non-saline)"),exact(Metadata!E772,"aerosol (saline)")))</f>
        <v>0</v>
      </c>
      <c r="Y772">
        <f>AND(IF(Metadata!F772="",FALSE,TRUE),exact(Metadata!F772,"air"))</f>
        <v>0</v>
      </c>
      <c r="Z772">
        <f>AND(IF(Metadata!G772="",FALSE,TRUE),exact(Metadata!G772,"air"))</f>
        <v>0</v>
      </c>
      <c r="AA772">
        <f>AND(IF(Metadata!H772="",FALSE,TRUE),exact(Metadata!H772,"air"))</f>
        <v>0</v>
      </c>
      <c r="AB772">
        <f>AND(IF(Metadata!I772="",FALSE,TRUE),exact(Metadata!I772,"air metagenome"))</f>
        <v>0</v>
      </c>
      <c r="AC772">
        <f>AND(IF(Metadata!J772="",FALSE,TRUE),exact(Metadata!J772,"655179"))</f>
        <v>0</v>
      </c>
    </row>
    <row r="773" spans="1:29">
      <c r="A773" s="5">
        <f>IF(B773=" "," ",HYPERLINK(CONCATENATE("#metadata!",ADDRESS(INDEX($P$2:$P$1001,MATCH(ROWS($N$2:N773),$N$2:$N$1001,0),0),1)),INDEX($S$2:$S$1001,MATCH(ROWS($N$2:N773),$N$2:$N$1001,0),0)))</f>
        <v>0</v>
      </c>
      <c r="B773" s="4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4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4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4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4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4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4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4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4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OR(AND(IF(Metadata!C773="",FALSE,TRUE),OR(exact(Metadata!C773,"not applicable"),exact(Metadata!C773,"not collected"),exact(Metadata!C773,"not provided"),exact(Metadata!C773,"restricted access"))),IF(Metadata!C773="",FALSE,ISNUMBER(VALUE(Metadata!C773))))</f>
        <v>0</v>
      </c>
      <c r="W773">
        <f>AND(IF(Metadata!D773="",FALSE,TRUE),exact(Metadata!D773,"m"))</f>
        <v>0</v>
      </c>
      <c r="X773">
        <f>AND(IF(Metadata!E773="",FALSE,TRUE),OR(exact(Metadata!E773,"aerosol (non-saline)"),exact(Metadata!E773,"aerosol (saline)")))</f>
        <v>0</v>
      </c>
      <c r="Y773">
        <f>AND(IF(Metadata!F773="",FALSE,TRUE),exact(Metadata!F773,"air"))</f>
        <v>0</v>
      </c>
      <c r="Z773">
        <f>AND(IF(Metadata!G773="",FALSE,TRUE),exact(Metadata!G773,"air"))</f>
        <v>0</v>
      </c>
      <c r="AA773">
        <f>AND(IF(Metadata!H773="",FALSE,TRUE),exact(Metadata!H773,"air"))</f>
        <v>0</v>
      </c>
      <c r="AB773">
        <f>AND(IF(Metadata!I773="",FALSE,TRUE),exact(Metadata!I773,"air metagenome"))</f>
        <v>0</v>
      </c>
      <c r="AC773">
        <f>AND(IF(Metadata!J773="",FALSE,TRUE),exact(Metadata!J773,"655179"))</f>
        <v>0</v>
      </c>
    </row>
    <row r="774" spans="1:29">
      <c r="A774" s="5">
        <f>IF(B774=" "," ",HYPERLINK(CONCATENATE("#metadata!",ADDRESS(INDEX($P$2:$P$1001,MATCH(ROWS($N$2:N774),$N$2:$N$1001,0),0),1)),INDEX($S$2:$S$1001,MATCH(ROWS($N$2:N774),$N$2:$N$1001,0),0)))</f>
        <v>0</v>
      </c>
      <c r="B774" s="4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4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4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4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4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4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4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4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4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OR(AND(IF(Metadata!C774="",FALSE,TRUE),OR(exact(Metadata!C774,"not applicable"),exact(Metadata!C774,"not collected"),exact(Metadata!C774,"not provided"),exact(Metadata!C774,"restricted access"))),IF(Metadata!C774="",FALSE,ISNUMBER(VALUE(Metadata!C774))))</f>
        <v>0</v>
      </c>
      <c r="W774">
        <f>AND(IF(Metadata!D774="",FALSE,TRUE),exact(Metadata!D774,"m"))</f>
        <v>0</v>
      </c>
      <c r="X774">
        <f>AND(IF(Metadata!E774="",FALSE,TRUE),OR(exact(Metadata!E774,"aerosol (non-saline)"),exact(Metadata!E774,"aerosol (saline)")))</f>
        <v>0</v>
      </c>
      <c r="Y774">
        <f>AND(IF(Metadata!F774="",FALSE,TRUE),exact(Metadata!F774,"air"))</f>
        <v>0</v>
      </c>
      <c r="Z774">
        <f>AND(IF(Metadata!G774="",FALSE,TRUE),exact(Metadata!G774,"air"))</f>
        <v>0</v>
      </c>
      <c r="AA774">
        <f>AND(IF(Metadata!H774="",FALSE,TRUE),exact(Metadata!H774,"air"))</f>
        <v>0</v>
      </c>
      <c r="AB774">
        <f>AND(IF(Metadata!I774="",FALSE,TRUE),exact(Metadata!I774,"air metagenome"))</f>
        <v>0</v>
      </c>
      <c r="AC774">
        <f>AND(IF(Metadata!J774="",FALSE,TRUE),exact(Metadata!J774,"655179"))</f>
        <v>0</v>
      </c>
    </row>
    <row r="775" spans="1:29">
      <c r="A775" s="5">
        <f>IF(B775=" "," ",HYPERLINK(CONCATENATE("#metadata!",ADDRESS(INDEX($P$2:$P$1001,MATCH(ROWS($N$2:N775),$N$2:$N$1001,0),0),1)),INDEX($S$2:$S$1001,MATCH(ROWS($N$2:N775),$N$2:$N$1001,0),0)))</f>
        <v>0</v>
      </c>
      <c r="B775" s="4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4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4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4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4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4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4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4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4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OR(AND(IF(Metadata!C775="",FALSE,TRUE),OR(exact(Metadata!C775,"not applicable"),exact(Metadata!C775,"not collected"),exact(Metadata!C775,"not provided"),exact(Metadata!C775,"restricted access"))),IF(Metadata!C775="",FALSE,ISNUMBER(VALUE(Metadata!C775))))</f>
        <v>0</v>
      </c>
      <c r="W775">
        <f>AND(IF(Metadata!D775="",FALSE,TRUE),exact(Metadata!D775,"m"))</f>
        <v>0</v>
      </c>
      <c r="X775">
        <f>AND(IF(Metadata!E775="",FALSE,TRUE),OR(exact(Metadata!E775,"aerosol (non-saline)"),exact(Metadata!E775,"aerosol (saline)")))</f>
        <v>0</v>
      </c>
      <c r="Y775">
        <f>AND(IF(Metadata!F775="",FALSE,TRUE),exact(Metadata!F775,"air"))</f>
        <v>0</v>
      </c>
      <c r="Z775">
        <f>AND(IF(Metadata!G775="",FALSE,TRUE),exact(Metadata!G775,"air"))</f>
        <v>0</v>
      </c>
      <c r="AA775">
        <f>AND(IF(Metadata!H775="",FALSE,TRUE),exact(Metadata!H775,"air"))</f>
        <v>0</v>
      </c>
      <c r="AB775">
        <f>AND(IF(Metadata!I775="",FALSE,TRUE),exact(Metadata!I775,"air metagenome"))</f>
        <v>0</v>
      </c>
      <c r="AC775">
        <f>AND(IF(Metadata!J775="",FALSE,TRUE),exact(Metadata!J775,"655179"))</f>
        <v>0</v>
      </c>
    </row>
    <row r="776" spans="1:29">
      <c r="A776" s="5">
        <f>IF(B776=" "," ",HYPERLINK(CONCATENATE("#metadata!",ADDRESS(INDEX($P$2:$P$1001,MATCH(ROWS($N$2:N776),$N$2:$N$1001,0),0),1)),INDEX($S$2:$S$1001,MATCH(ROWS($N$2:N776),$N$2:$N$1001,0),0)))</f>
        <v>0</v>
      </c>
      <c r="B776" s="4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4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4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4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4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4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4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4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4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OR(AND(IF(Metadata!C776="",FALSE,TRUE),OR(exact(Metadata!C776,"not applicable"),exact(Metadata!C776,"not collected"),exact(Metadata!C776,"not provided"),exact(Metadata!C776,"restricted access"))),IF(Metadata!C776="",FALSE,ISNUMBER(VALUE(Metadata!C776))))</f>
        <v>0</v>
      </c>
      <c r="W776">
        <f>AND(IF(Metadata!D776="",FALSE,TRUE),exact(Metadata!D776,"m"))</f>
        <v>0</v>
      </c>
      <c r="X776">
        <f>AND(IF(Metadata!E776="",FALSE,TRUE),OR(exact(Metadata!E776,"aerosol (non-saline)"),exact(Metadata!E776,"aerosol (saline)")))</f>
        <v>0</v>
      </c>
      <c r="Y776">
        <f>AND(IF(Metadata!F776="",FALSE,TRUE),exact(Metadata!F776,"air"))</f>
        <v>0</v>
      </c>
      <c r="Z776">
        <f>AND(IF(Metadata!G776="",FALSE,TRUE),exact(Metadata!G776,"air"))</f>
        <v>0</v>
      </c>
      <c r="AA776">
        <f>AND(IF(Metadata!H776="",FALSE,TRUE),exact(Metadata!H776,"air"))</f>
        <v>0</v>
      </c>
      <c r="AB776">
        <f>AND(IF(Metadata!I776="",FALSE,TRUE),exact(Metadata!I776,"air metagenome"))</f>
        <v>0</v>
      </c>
      <c r="AC776">
        <f>AND(IF(Metadata!J776="",FALSE,TRUE),exact(Metadata!J776,"655179"))</f>
        <v>0</v>
      </c>
    </row>
    <row r="777" spans="1:29">
      <c r="A777" s="5">
        <f>IF(B777=" "," ",HYPERLINK(CONCATENATE("#metadata!",ADDRESS(INDEX($P$2:$P$1001,MATCH(ROWS($N$2:N777),$N$2:$N$1001,0),0),1)),INDEX($S$2:$S$1001,MATCH(ROWS($N$2:N777),$N$2:$N$1001,0),0)))</f>
        <v>0</v>
      </c>
      <c r="B777" s="4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4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4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4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4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4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4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4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4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OR(AND(IF(Metadata!C777="",FALSE,TRUE),OR(exact(Metadata!C777,"not applicable"),exact(Metadata!C777,"not collected"),exact(Metadata!C777,"not provided"),exact(Metadata!C777,"restricted access"))),IF(Metadata!C777="",FALSE,ISNUMBER(VALUE(Metadata!C777))))</f>
        <v>0</v>
      </c>
      <c r="W777">
        <f>AND(IF(Metadata!D777="",FALSE,TRUE),exact(Metadata!D777,"m"))</f>
        <v>0</v>
      </c>
      <c r="X777">
        <f>AND(IF(Metadata!E777="",FALSE,TRUE),OR(exact(Metadata!E777,"aerosol (non-saline)"),exact(Metadata!E777,"aerosol (saline)")))</f>
        <v>0</v>
      </c>
      <c r="Y777">
        <f>AND(IF(Metadata!F777="",FALSE,TRUE),exact(Metadata!F777,"air"))</f>
        <v>0</v>
      </c>
      <c r="Z777">
        <f>AND(IF(Metadata!G777="",FALSE,TRUE),exact(Metadata!G777,"air"))</f>
        <v>0</v>
      </c>
      <c r="AA777">
        <f>AND(IF(Metadata!H777="",FALSE,TRUE),exact(Metadata!H777,"air"))</f>
        <v>0</v>
      </c>
      <c r="AB777">
        <f>AND(IF(Metadata!I777="",FALSE,TRUE),exact(Metadata!I777,"air metagenome"))</f>
        <v>0</v>
      </c>
      <c r="AC777">
        <f>AND(IF(Metadata!J777="",FALSE,TRUE),exact(Metadata!J777,"655179"))</f>
        <v>0</v>
      </c>
    </row>
    <row r="778" spans="1:29">
      <c r="A778" s="5">
        <f>IF(B778=" "," ",HYPERLINK(CONCATENATE("#metadata!",ADDRESS(INDEX($P$2:$P$1001,MATCH(ROWS($N$2:N778),$N$2:$N$1001,0),0),1)),INDEX($S$2:$S$1001,MATCH(ROWS($N$2:N778),$N$2:$N$1001,0),0)))</f>
        <v>0</v>
      </c>
      <c r="B778" s="4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4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4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4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4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4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4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4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4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OR(AND(IF(Metadata!C778="",FALSE,TRUE),OR(exact(Metadata!C778,"not applicable"),exact(Metadata!C778,"not collected"),exact(Metadata!C778,"not provided"),exact(Metadata!C778,"restricted access"))),IF(Metadata!C778="",FALSE,ISNUMBER(VALUE(Metadata!C778))))</f>
        <v>0</v>
      </c>
      <c r="W778">
        <f>AND(IF(Metadata!D778="",FALSE,TRUE),exact(Metadata!D778,"m"))</f>
        <v>0</v>
      </c>
      <c r="X778">
        <f>AND(IF(Metadata!E778="",FALSE,TRUE),OR(exact(Metadata!E778,"aerosol (non-saline)"),exact(Metadata!E778,"aerosol (saline)")))</f>
        <v>0</v>
      </c>
      <c r="Y778">
        <f>AND(IF(Metadata!F778="",FALSE,TRUE),exact(Metadata!F778,"air"))</f>
        <v>0</v>
      </c>
      <c r="Z778">
        <f>AND(IF(Metadata!G778="",FALSE,TRUE),exact(Metadata!G778,"air"))</f>
        <v>0</v>
      </c>
      <c r="AA778">
        <f>AND(IF(Metadata!H778="",FALSE,TRUE),exact(Metadata!H778,"air"))</f>
        <v>0</v>
      </c>
      <c r="AB778">
        <f>AND(IF(Metadata!I778="",FALSE,TRUE),exact(Metadata!I778,"air metagenome"))</f>
        <v>0</v>
      </c>
      <c r="AC778">
        <f>AND(IF(Metadata!J778="",FALSE,TRUE),exact(Metadata!J778,"655179"))</f>
        <v>0</v>
      </c>
    </row>
    <row r="779" spans="1:29">
      <c r="A779" s="5">
        <f>IF(B779=" "," ",HYPERLINK(CONCATENATE("#metadata!",ADDRESS(INDEX($P$2:$P$1001,MATCH(ROWS($N$2:N779),$N$2:$N$1001,0),0),1)),INDEX($S$2:$S$1001,MATCH(ROWS($N$2:N779),$N$2:$N$1001,0),0)))</f>
        <v>0</v>
      </c>
      <c r="B779" s="4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4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4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4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4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4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4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4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4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OR(AND(IF(Metadata!C779="",FALSE,TRUE),OR(exact(Metadata!C779,"not applicable"),exact(Metadata!C779,"not collected"),exact(Metadata!C779,"not provided"),exact(Metadata!C779,"restricted access"))),IF(Metadata!C779="",FALSE,ISNUMBER(VALUE(Metadata!C779))))</f>
        <v>0</v>
      </c>
      <c r="W779">
        <f>AND(IF(Metadata!D779="",FALSE,TRUE),exact(Metadata!D779,"m"))</f>
        <v>0</v>
      </c>
      <c r="X779">
        <f>AND(IF(Metadata!E779="",FALSE,TRUE),OR(exact(Metadata!E779,"aerosol (non-saline)"),exact(Metadata!E779,"aerosol (saline)")))</f>
        <v>0</v>
      </c>
      <c r="Y779">
        <f>AND(IF(Metadata!F779="",FALSE,TRUE),exact(Metadata!F779,"air"))</f>
        <v>0</v>
      </c>
      <c r="Z779">
        <f>AND(IF(Metadata!G779="",FALSE,TRUE),exact(Metadata!G779,"air"))</f>
        <v>0</v>
      </c>
      <c r="AA779">
        <f>AND(IF(Metadata!H779="",FALSE,TRUE),exact(Metadata!H779,"air"))</f>
        <v>0</v>
      </c>
      <c r="AB779">
        <f>AND(IF(Metadata!I779="",FALSE,TRUE),exact(Metadata!I779,"air metagenome"))</f>
        <v>0</v>
      </c>
      <c r="AC779">
        <f>AND(IF(Metadata!J779="",FALSE,TRUE),exact(Metadata!J779,"655179"))</f>
        <v>0</v>
      </c>
    </row>
    <row r="780" spans="1:29">
      <c r="A780" s="5">
        <f>IF(B780=" "," ",HYPERLINK(CONCATENATE("#metadata!",ADDRESS(INDEX($P$2:$P$1001,MATCH(ROWS($N$2:N780),$N$2:$N$1001,0),0),1)),INDEX($S$2:$S$1001,MATCH(ROWS($N$2:N780),$N$2:$N$1001,0),0)))</f>
        <v>0</v>
      </c>
      <c r="B780" s="4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4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4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4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4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4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4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4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4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OR(AND(IF(Metadata!C780="",FALSE,TRUE),OR(exact(Metadata!C780,"not applicable"),exact(Metadata!C780,"not collected"),exact(Metadata!C780,"not provided"),exact(Metadata!C780,"restricted access"))),IF(Metadata!C780="",FALSE,ISNUMBER(VALUE(Metadata!C780))))</f>
        <v>0</v>
      </c>
      <c r="W780">
        <f>AND(IF(Metadata!D780="",FALSE,TRUE),exact(Metadata!D780,"m"))</f>
        <v>0</v>
      </c>
      <c r="X780">
        <f>AND(IF(Metadata!E780="",FALSE,TRUE),OR(exact(Metadata!E780,"aerosol (non-saline)"),exact(Metadata!E780,"aerosol (saline)")))</f>
        <v>0</v>
      </c>
      <c r="Y780">
        <f>AND(IF(Metadata!F780="",FALSE,TRUE),exact(Metadata!F780,"air"))</f>
        <v>0</v>
      </c>
      <c r="Z780">
        <f>AND(IF(Metadata!G780="",FALSE,TRUE),exact(Metadata!G780,"air"))</f>
        <v>0</v>
      </c>
      <c r="AA780">
        <f>AND(IF(Metadata!H780="",FALSE,TRUE),exact(Metadata!H780,"air"))</f>
        <v>0</v>
      </c>
      <c r="AB780">
        <f>AND(IF(Metadata!I780="",FALSE,TRUE),exact(Metadata!I780,"air metagenome"))</f>
        <v>0</v>
      </c>
      <c r="AC780">
        <f>AND(IF(Metadata!J780="",FALSE,TRUE),exact(Metadata!J780,"655179"))</f>
        <v>0</v>
      </c>
    </row>
    <row r="781" spans="1:29">
      <c r="A781" s="5">
        <f>IF(B781=" "," ",HYPERLINK(CONCATENATE("#metadata!",ADDRESS(INDEX($P$2:$P$1001,MATCH(ROWS($N$2:N781),$N$2:$N$1001,0),0),1)),INDEX($S$2:$S$1001,MATCH(ROWS($N$2:N781),$N$2:$N$1001,0),0)))</f>
        <v>0</v>
      </c>
      <c r="B781" s="4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4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4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4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4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4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4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4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4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OR(AND(IF(Metadata!C781="",FALSE,TRUE),OR(exact(Metadata!C781,"not applicable"),exact(Metadata!C781,"not collected"),exact(Metadata!C781,"not provided"),exact(Metadata!C781,"restricted access"))),IF(Metadata!C781="",FALSE,ISNUMBER(VALUE(Metadata!C781))))</f>
        <v>0</v>
      </c>
      <c r="W781">
        <f>AND(IF(Metadata!D781="",FALSE,TRUE),exact(Metadata!D781,"m"))</f>
        <v>0</v>
      </c>
      <c r="X781">
        <f>AND(IF(Metadata!E781="",FALSE,TRUE),OR(exact(Metadata!E781,"aerosol (non-saline)"),exact(Metadata!E781,"aerosol (saline)")))</f>
        <v>0</v>
      </c>
      <c r="Y781">
        <f>AND(IF(Metadata!F781="",FALSE,TRUE),exact(Metadata!F781,"air"))</f>
        <v>0</v>
      </c>
      <c r="Z781">
        <f>AND(IF(Metadata!G781="",FALSE,TRUE),exact(Metadata!G781,"air"))</f>
        <v>0</v>
      </c>
      <c r="AA781">
        <f>AND(IF(Metadata!H781="",FALSE,TRUE),exact(Metadata!H781,"air"))</f>
        <v>0</v>
      </c>
      <c r="AB781">
        <f>AND(IF(Metadata!I781="",FALSE,TRUE),exact(Metadata!I781,"air metagenome"))</f>
        <v>0</v>
      </c>
      <c r="AC781">
        <f>AND(IF(Metadata!J781="",FALSE,TRUE),exact(Metadata!J781,"655179"))</f>
        <v>0</v>
      </c>
    </row>
    <row r="782" spans="1:29">
      <c r="A782" s="5">
        <f>IF(B782=" "," ",HYPERLINK(CONCATENATE("#metadata!",ADDRESS(INDEX($P$2:$P$1001,MATCH(ROWS($N$2:N782),$N$2:$N$1001,0),0),1)),INDEX($S$2:$S$1001,MATCH(ROWS($N$2:N782),$N$2:$N$1001,0),0)))</f>
        <v>0</v>
      </c>
      <c r="B782" s="4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4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4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4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4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4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4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4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4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OR(AND(IF(Metadata!C782="",FALSE,TRUE),OR(exact(Metadata!C782,"not applicable"),exact(Metadata!C782,"not collected"),exact(Metadata!C782,"not provided"),exact(Metadata!C782,"restricted access"))),IF(Metadata!C782="",FALSE,ISNUMBER(VALUE(Metadata!C782))))</f>
        <v>0</v>
      </c>
      <c r="W782">
        <f>AND(IF(Metadata!D782="",FALSE,TRUE),exact(Metadata!D782,"m"))</f>
        <v>0</v>
      </c>
      <c r="X782">
        <f>AND(IF(Metadata!E782="",FALSE,TRUE),OR(exact(Metadata!E782,"aerosol (non-saline)"),exact(Metadata!E782,"aerosol (saline)")))</f>
        <v>0</v>
      </c>
      <c r="Y782">
        <f>AND(IF(Metadata!F782="",FALSE,TRUE),exact(Metadata!F782,"air"))</f>
        <v>0</v>
      </c>
      <c r="Z782">
        <f>AND(IF(Metadata!G782="",FALSE,TRUE),exact(Metadata!G782,"air"))</f>
        <v>0</v>
      </c>
      <c r="AA782">
        <f>AND(IF(Metadata!H782="",FALSE,TRUE),exact(Metadata!H782,"air"))</f>
        <v>0</v>
      </c>
      <c r="AB782">
        <f>AND(IF(Metadata!I782="",FALSE,TRUE),exact(Metadata!I782,"air metagenome"))</f>
        <v>0</v>
      </c>
      <c r="AC782">
        <f>AND(IF(Metadata!J782="",FALSE,TRUE),exact(Metadata!J782,"655179"))</f>
        <v>0</v>
      </c>
    </row>
    <row r="783" spans="1:29">
      <c r="A783" s="5">
        <f>IF(B783=" "," ",HYPERLINK(CONCATENATE("#metadata!",ADDRESS(INDEX($P$2:$P$1001,MATCH(ROWS($N$2:N783),$N$2:$N$1001,0),0),1)),INDEX($S$2:$S$1001,MATCH(ROWS($N$2:N783),$N$2:$N$1001,0),0)))</f>
        <v>0</v>
      </c>
      <c r="B783" s="4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4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4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4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4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4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4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4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4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OR(AND(IF(Metadata!C783="",FALSE,TRUE),OR(exact(Metadata!C783,"not applicable"),exact(Metadata!C783,"not collected"),exact(Metadata!C783,"not provided"),exact(Metadata!C783,"restricted access"))),IF(Metadata!C783="",FALSE,ISNUMBER(VALUE(Metadata!C783))))</f>
        <v>0</v>
      </c>
      <c r="W783">
        <f>AND(IF(Metadata!D783="",FALSE,TRUE),exact(Metadata!D783,"m"))</f>
        <v>0</v>
      </c>
      <c r="X783">
        <f>AND(IF(Metadata!E783="",FALSE,TRUE),OR(exact(Metadata!E783,"aerosol (non-saline)"),exact(Metadata!E783,"aerosol (saline)")))</f>
        <v>0</v>
      </c>
      <c r="Y783">
        <f>AND(IF(Metadata!F783="",FALSE,TRUE),exact(Metadata!F783,"air"))</f>
        <v>0</v>
      </c>
      <c r="Z783">
        <f>AND(IF(Metadata!G783="",FALSE,TRUE),exact(Metadata!G783,"air"))</f>
        <v>0</v>
      </c>
      <c r="AA783">
        <f>AND(IF(Metadata!H783="",FALSE,TRUE),exact(Metadata!H783,"air"))</f>
        <v>0</v>
      </c>
      <c r="AB783">
        <f>AND(IF(Metadata!I783="",FALSE,TRUE),exact(Metadata!I783,"air metagenome"))</f>
        <v>0</v>
      </c>
      <c r="AC783">
        <f>AND(IF(Metadata!J783="",FALSE,TRUE),exact(Metadata!J783,"655179"))</f>
        <v>0</v>
      </c>
    </row>
    <row r="784" spans="1:29">
      <c r="A784" s="5">
        <f>IF(B784=" "," ",HYPERLINK(CONCATENATE("#metadata!",ADDRESS(INDEX($P$2:$P$1001,MATCH(ROWS($N$2:N784),$N$2:$N$1001,0),0),1)),INDEX($S$2:$S$1001,MATCH(ROWS($N$2:N784),$N$2:$N$1001,0),0)))</f>
        <v>0</v>
      </c>
      <c r="B784" s="4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4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4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4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4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4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4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4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4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OR(AND(IF(Metadata!C784="",FALSE,TRUE),OR(exact(Metadata!C784,"not applicable"),exact(Metadata!C784,"not collected"),exact(Metadata!C784,"not provided"),exact(Metadata!C784,"restricted access"))),IF(Metadata!C784="",FALSE,ISNUMBER(VALUE(Metadata!C784))))</f>
        <v>0</v>
      </c>
      <c r="W784">
        <f>AND(IF(Metadata!D784="",FALSE,TRUE),exact(Metadata!D784,"m"))</f>
        <v>0</v>
      </c>
      <c r="X784">
        <f>AND(IF(Metadata!E784="",FALSE,TRUE),OR(exact(Metadata!E784,"aerosol (non-saline)"),exact(Metadata!E784,"aerosol (saline)")))</f>
        <v>0</v>
      </c>
      <c r="Y784">
        <f>AND(IF(Metadata!F784="",FALSE,TRUE),exact(Metadata!F784,"air"))</f>
        <v>0</v>
      </c>
      <c r="Z784">
        <f>AND(IF(Metadata!G784="",FALSE,TRUE),exact(Metadata!G784,"air"))</f>
        <v>0</v>
      </c>
      <c r="AA784">
        <f>AND(IF(Metadata!H784="",FALSE,TRUE),exact(Metadata!H784,"air"))</f>
        <v>0</v>
      </c>
      <c r="AB784">
        <f>AND(IF(Metadata!I784="",FALSE,TRUE),exact(Metadata!I784,"air metagenome"))</f>
        <v>0</v>
      </c>
      <c r="AC784">
        <f>AND(IF(Metadata!J784="",FALSE,TRUE),exact(Metadata!J784,"655179"))</f>
        <v>0</v>
      </c>
    </row>
    <row r="785" spans="1:29">
      <c r="A785" s="5">
        <f>IF(B785=" "," ",HYPERLINK(CONCATENATE("#metadata!",ADDRESS(INDEX($P$2:$P$1001,MATCH(ROWS($N$2:N785),$N$2:$N$1001,0),0),1)),INDEX($S$2:$S$1001,MATCH(ROWS($N$2:N785),$N$2:$N$1001,0),0)))</f>
        <v>0</v>
      </c>
      <c r="B785" s="4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4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4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4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4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4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4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4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4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OR(AND(IF(Metadata!C785="",FALSE,TRUE),OR(exact(Metadata!C785,"not applicable"),exact(Metadata!C785,"not collected"),exact(Metadata!C785,"not provided"),exact(Metadata!C785,"restricted access"))),IF(Metadata!C785="",FALSE,ISNUMBER(VALUE(Metadata!C785))))</f>
        <v>0</v>
      </c>
      <c r="W785">
        <f>AND(IF(Metadata!D785="",FALSE,TRUE),exact(Metadata!D785,"m"))</f>
        <v>0</v>
      </c>
      <c r="X785">
        <f>AND(IF(Metadata!E785="",FALSE,TRUE),OR(exact(Metadata!E785,"aerosol (non-saline)"),exact(Metadata!E785,"aerosol (saline)")))</f>
        <v>0</v>
      </c>
      <c r="Y785">
        <f>AND(IF(Metadata!F785="",FALSE,TRUE),exact(Metadata!F785,"air"))</f>
        <v>0</v>
      </c>
      <c r="Z785">
        <f>AND(IF(Metadata!G785="",FALSE,TRUE),exact(Metadata!G785,"air"))</f>
        <v>0</v>
      </c>
      <c r="AA785">
        <f>AND(IF(Metadata!H785="",FALSE,TRUE),exact(Metadata!H785,"air"))</f>
        <v>0</v>
      </c>
      <c r="AB785">
        <f>AND(IF(Metadata!I785="",FALSE,TRUE),exact(Metadata!I785,"air metagenome"))</f>
        <v>0</v>
      </c>
      <c r="AC785">
        <f>AND(IF(Metadata!J785="",FALSE,TRUE),exact(Metadata!J785,"655179"))</f>
        <v>0</v>
      </c>
    </row>
    <row r="786" spans="1:29">
      <c r="A786" s="5">
        <f>IF(B786=" "," ",HYPERLINK(CONCATENATE("#metadata!",ADDRESS(INDEX($P$2:$P$1001,MATCH(ROWS($N$2:N786),$N$2:$N$1001,0),0),1)),INDEX($S$2:$S$1001,MATCH(ROWS($N$2:N786),$N$2:$N$1001,0),0)))</f>
        <v>0</v>
      </c>
      <c r="B786" s="4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4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4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4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4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4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4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4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4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OR(AND(IF(Metadata!C786="",FALSE,TRUE),OR(exact(Metadata!C786,"not applicable"),exact(Metadata!C786,"not collected"),exact(Metadata!C786,"not provided"),exact(Metadata!C786,"restricted access"))),IF(Metadata!C786="",FALSE,ISNUMBER(VALUE(Metadata!C786))))</f>
        <v>0</v>
      </c>
      <c r="W786">
        <f>AND(IF(Metadata!D786="",FALSE,TRUE),exact(Metadata!D786,"m"))</f>
        <v>0</v>
      </c>
      <c r="X786">
        <f>AND(IF(Metadata!E786="",FALSE,TRUE),OR(exact(Metadata!E786,"aerosol (non-saline)"),exact(Metadata!E786,"aerosol (saline)")))</f>
        <v>0</v>
      </c>
      <c r="Y786">
        <f>AND(IF(Metadata!F786="",FALSE,TRUE),exact(Metadata!F786,"air"))</f>
        <v>0</v>
      </c>
      <c r="Z786">
        <f>AND(IF(Metadata!G786="",FALSE,TRUE),exact(Metadata!G786,"air"))</f>
        <v>0</v>
      </c>
      <c r="AA786">
        <f>AND(IF(Metadata!H786="",FALSE,TRUE),exact(Metadata!H786,"air"))</f>
        <v>0</v>
      </c>
      <c r="AB786">
        <f>AND(IF(Metadata!I786="",FALSE,TRUE),exact(Metadata!I786,"air metagenome"))</f>
        <v>0</v>
      </c>
      <c r="AC786">
        <f>AND(IF(Metadata!J786="",FALSE,TRUE),exact(Metadata!J786,"655179"))</f>
        <v>0</v>
      </c>
    </row>
    <row r="787" spans="1:29">
      <c r="A787" s="5">
        <f>IF(B787=" "," ",HYPERLINK(CONCATENATE("#metadata!",ADDRESS(INDEX($P$2:$P$1001,MATCH(ROWS($N$2:N787),$N$2:$N$1001,0),0),1)),INDEX($S$2:$S$1001,MATCH(ROWS($N$2:N787),$N$2:$N$1001,0),0)))</f>
        <v>0</v>
      </c>
      <c r="B787" s="4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4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4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4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4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4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4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4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4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OR(AND(IF(Metadata!C787="",FALSE,TRUE),OR(exact(Metadata!C787,"not applicable"),exact(Metadata!C787,"not collected"),exact(Metadata!C787,"not provided"),exact(Metadata!C787,"restricted access"))),IF(Metadata!C787="",FALSE,ISNUMBER(VALUE(Metadata!C787))))</f>
        <v>0</v>
      </c>
      <c r="W787">
        <f>AND(IF(Metadata!D787="",FALSE,TRUE),exact(Metadata!D787,"m"))</f>
        <v>0</v>
      </c>
      <c r="X787">
        <f>AND(IF(Metadata!E787="",FALSE,TRUE),OR(exact(Metadata!E787,"aerosol (non-saline)"),exact(Metadata!E787,"aerosol (saline)")))</f>
        <v>0</v>
      </c>
      <c r="Y787">
        <f>AND(IF(Metadata!F787="",FALSE,TRUE),exact(Metadata!F787,"air"))</f>
        <v>0</v>
      </c>
      <c r="Z787">
        <f>AND(IF(Metadata!G787="",FALSE,TRUE),exact(Metadata!G787,"air"))</f>
        <v>0</v>
      </c>
      <c r="AA787">
        <f>AND(IF(Metadata!H787="",FALSE,TRUE),exact(Metadata!H787,"air"))</f>
        <v>0</v>
      </c>
      <c r="AB787">
        <f>AND(IF(Metadata!I787="",FALSE,TRUE),exact(Metadata!I787,"air metagenome"))</f>
        <v>0</v>
      </c>
      <c r="AC787">
        <f>AND(IF(Metadata!J787="",FALSE,TRUE),exact(Metadata!J787,"655179"))</f>
        <v>0</v>
      </c>
    </row>
    <row r="788" spans="1:29">
      <c r="A788" s="5">
        <f>IF(B788=" "," ",HYPERLINK(CONCATENATE("#metadata!",ADDRESS(INDEX($P$2:$P$1001,MATCH(ROWS($N$2:N788),$N$2:$N$1001,0),0),1)),INDEX($S$2:$S$1001,MATCH(ROWS($N$2:N788),$N$2:$N$1001,0),0)))</f>
        <v>0</v>
      </c>
      <c r="B788" s="4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4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4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4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4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4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4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4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4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OR(AND(IF(Metadata!C788="",FALSE,TRUE),OR(exact(Metadata!C788,"not applicable"),exact(Metadata!C788,"not collected"),exact(Metadata!C788,"not provided"),exact(Metadata!C788,"restricted access"))),IF(Metadata!C788="",FALSE,ISNUMBER(VALUE(Metadata!C788))))</f>
        <v>0</v>
      </c>
      <c r="W788">
        <f>AND(IF(Metadata!D788="",FALSE,TRUE),exact(Metadata!D788,"m"))</f>
        <v>0</v>
      </c>
      <c r="X788">
        <f>AND(IF(Metadata!E788="",FALSE,TRUE),OR(exact(Metadata!E788,"aerosol (non-saline)"),exact(Metadata!E788,"aerosol (saline)")))</f>
        <v>0</v>
      </c>
      <c r="Y788">
        <f>AND(IF(Metadata!F788="",FALSE,TRUE),exact(Metadata!F788,"air"))</f>
        <v>0</v>
      </c>
      <c r="Z788">
        <f>AND(IF(Metadata!G788="",FALSE,TRUE),exact(Metadata!G788,"air"))</f>
        <v>0</v>
      </c>
      <c r="AA788">
        <f>AND(IF(Metadata!H788="",FALSE,TRUE),exact(Metadata!H788,"air"))</f>
        <v>0</v>
      </c>
      <c r="AB788">
        <f>AND(IF(Metadata!I788="",FALSE,TRUE),exact(Metadata!I788,"air metagenome"))</f>
        <v>0</v>
      </c>
      <c r="AC788">
        <f>AND(IF(Metadata!J788="",FALSE,TRUE),exact(Metadata!J788,"655179"))</f>
        <v>0</v>
      </c>
    </row>
    <row r="789" spans="1:29">
      <c r="A789" s="5">
        <f>IF(B789=" "," ",HYPERLINK(CONCATENATE("#metadata!",ADDRESS(INDEX($P$2:$P$1001,MATCH(ROWS($N$2:N789),$N$2:$N$1001,0),0),1)),INDEX($S$2:$S$1001,MATCH(ROWS($N$2:N789),$N$2:$N$1001,0),0)))</f>
        <v>0</v>
      </c>
      <c r="B789" s="4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4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4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4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4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4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4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4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4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OR(AND(IF(Metadata!C789="",FALSE,TRUE),OR(exact(Metadata!C789,"not applicable"),exact(Metadata!C789,"not collected"),exact(Metadata!C789,"not provided"),exact(Metadata!C789,"restricted access"))),IF(Metadata!C789="",FALSE,ISNUMBER(VALUE(Metadata!C789))))</f>
        <v>0</v>
      </c>
      <c r="W789">
        <f>AND(IF(Metadata!D789="",FALSE,TRUE),exact(Metadata!D789,"m"))</f>
        <v>0</v>
      </c>
      <c r="X789">
        <f>AND(IF(Metadata!E789="",FALSE,TRUE),OR(exact(Metadata!E789,"aerosol (non-saline)"),exact(Metadata!E789,"aerosol (saline)")))</f>
        <v>0</v>
      </c>
      <c r="Y789">
        <f>AND(IF(Metadata!F789="",FALSE,TRUE),exact(Metadata!F789,"air"))</f>
        <v>0</v>
      </c>
      <c r="Z789">
        <f>AND(IF(Metadata!G789="",FALSE,TRUE),exact(Metadata!G789,"air"))</f>
        <v>0</v>
      </c>
      <c r="AA789">
        <f>AND(IF(Metadata!H789="",FALSE,TRUE),exact(Metadata!H789,"air"))</f>
        <v>0</v>
      </c>
      <c r="AB789">
        <f>AND(IF(Metadata!I789="",FALSE,TRUE),exact(Metadata!I789,"air metagenome"))</f>
        <v>0</v>
      </c>
      <c r="AC789">
        <f>AND(IF(Metadata!J789="",FALSE,TRUE),exact(Metadata!J789,"655179"))</f>
        <v>0</v>
      </c>
    </row>
    <row r="790" spans="1:29">
      <c r="A790" s="5">
        <f>IF(B790=" "," ",HYPERLINK(CONCATENATE("#metadata!",ADDRESS(INDEX($P$2:$P$1001,MATCH(ROWS($N$2:N790),$N$2:$N$1001,0),0),1)),INDEX($S$2:$S$1001,MATCH(ROWS($N$2:N790),$N$2:$N$1001,0),0)))</f>
        <v>0</v>
      </c>
      <c r="B790" s="4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4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4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4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4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4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4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4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4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OR(AND(IF(Metadata!C790="",FALSE,TRUE),OR(exact(Metadata!C790,"not applicable"),exact(Metadata!C790,"not collected"),exact(Metadata!C790,"not provided"),exact(Metadata!C790,"restricted access"))),IF(Metadata!C790="",FALSE,ISNUMBER(VALUE(Metadata!C790))))</f>
        <v>0</v>
      </c>
      <c r="W790">
        <f>AND(IF(Metadata!D790="",FALSE,TRUE),exact(Metadata!D790,"m"))</f>
        <v>0</v>
      </c>
      <c r="X790">
        <f>AND(IF(Metadata!E790="",FALSE,TRUE),OR(exact(Metadata!E790,"aerosol (non-saline)"),exact(Metadata!E790,"aerosol (saline)")))</f>
        <v>0</v>
      </c>
      <c r="Y790">
        <f>AND(IF(Metadata!F790="",FALSE,TRUE),exact(Metadata!F790,"air"))</f>
        <v>0</v>
      </c>
      <c r="Z790">
        <f>AND(IF(Metadata!G790="",FALSE,TRUE),exact(Metadata!G790,"air"))</f>
        <v>0</v>
      </c>
      <c r="AA790">
        <f>AND(IF(Metadata!H790="",FALSE,TRUE),exact(Metadata!H790,"air"))</f>
        <v>0</v>
      </c>
      <c r="AB790">
        <f>AND(IF(Metadata!I790="",FALSE,TRUE),exact(Metadata!I790,"air metagenome"))</f>
        <v>0</v>
      </c>
      <c r="AC790">
        <f>AND(IF(Metadata!J790="",FALSE,TRUE),exact(Metadata!J790,"655179"))</f>
        <v>0</v>
      </c>
    </row>
    <row r="791" spans="1:29">
      <c r="A791" s="5">
        <f>IF(B791=" "," ",HYPERLINK(CONCATENATE("#metadata!",ADDRESS(INDEX($P$2:$P$1001,MATCH(ROWS($N$2:N791),$N$2:$N$1001,0),0),1)),INDEX($S$2:$S$1001,MATCH(ROWS($N$2:N791),$N$2:$N$1001,0),0)))</f>
        <v>0</v>
      </c>
      <c r="B791" s="4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4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4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4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4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4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4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4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4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OR(AND(IF(Metadata!C791="",FALSE,TRUE),OR(exact(Metadata!C791,"not applicable"),exact(Metadata!C791,"not collected"),exact(Metadata!C791,"not provided"),exact(Metadata!C791,"restricted access"))),IF(Metadata!C791="",FALSE,ISNUMBER(VALUE(Metadata!C791))))</f>
        <v>0</v>
      </c>
      <c r="W791">
        <f>AND(IF(Metadata!D791="",FALSE,TRUE),exact(Metadata!D791,"m"))</f>
        <v>0</v>
      </c>
      <c r="X791">
        <f>AND(IF(Metadata!E791="",FALSE,TRUE),OR(exact(Metadata!E791,"aerosol (non-saline)"),exact(Metadata!E791,"aerosol (saline)")))</f>
        <v>0</v>
      </c>
      <c r="Y791">
        <f>AND(IF(Metadata!F791="",FALSE,TRUE),exact(Metadata!F791,"air"))</f>
        <v>0</v>
      </c>
      <c r="Z791">
        <f>AND(IF(Metadata!G791="",FALSE,TRUE),exact(Metadata!G791,"air"))</f>
        <v>0</v>
      </c>
      <c r="AA791">
        <f>AND(IF(Metadata!H791="",FALSE,TRUE),exact(Metadata!H791,"air"))</f>
        <v>0</v>
      </c>
      <c r="AB791">
        <f>AND(IF(Metadata!I791="",FALSE,TRUE),exact(Metadata!I791,"air metagenome"))</f>
        <v>0</v>
      </c>
      <c r="AC791">
        <f>AND(IF(Metadata!J791="",FALSE,TRUE),exact(Metadata!J791,"655179"))</f>
        <v>0</v>
      </c>
    </row>
    <row r="792" spans="1:29">
      <c r="A792" s="5">
        <f>IF(B792=" "," ",HYPERLINK(CONCATENATE("#metadata!",ADDRESS(INDEX($P$2:$P$1001,MATCH(ROWS($N$2:N792),$N$2:$N$1001,0),0),1)),INDEX($S$2:$S$1001,MATCH(ROWS($N$2:N792),$N$2:$N$1001,0),0)))</f>
        <v>0</v>
      </c>
      <c r="B792" s="4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4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4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4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4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4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4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4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4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OR(AND(IF(Metadata!C792="",FALSE,TRUE),OR(exact(Metadata!C792,"not applicable"),exact(Metadata!C792,"not collected"),exact(Metadata!C792,"not provided"),exact(Metadata!C792,"restricted access"))),IF(Metadata!C792="",FALSE,ISNUMBER(VALUE(Metadata!C792))))</f>
        <v>0</v>
      </c>
      <c r="W792">
        <f>AND(IF(Metadata!D792="",FALSE,TRUE),exact(Metadata!D792,"m"))</f>
        <v>0</v>
      </c>
      <c r="X792">
        <f>AND(IF(Metadata!E792="",FALSE,TRUE),OR(exact(Metadata!E792,"aerosol (non-saline)"),exact(Metadata!E792,"aerosol (saline)")))</f>
        <v>0</v>
      </c>
      <c r="Y792">
        <f>AND(IF(Metadata!F792="",FALSE,TRUE),exact(Metadata!F792,"air"))</f>
        <v>0</v>
      </c>
      <c r="Z792">
        <f>AND(IF(Metadata!G792="",FALSE,TRUE),exact(Metadata!G792,"air"))</f>
        <v>0</v>
      </c>
      <c r="AA792">
        <f>AND(IF(Metadata!H792="",FALSE,TRUE),exact(Metadata!H792,"air"))</f>
        <v>0</v>
      </c>
      <c r="AB792">
        <f>AND(IF(Metadata!I792="",FALSE,TRUE),exact(Metadata!I792,"air metagenome"))</f>
        <v>0</v>
      </c>
      <c r="AC792">
        <f>AND(IF(Metadata!J792="",FALSE,TRUE),exact(Metadata!J792,"655179"))</f>
        <v>0</v>
      </c>
    </row>
    <row r="793" spans="1:29">
      <c r="A793" s="5">
        <f>IF(B793=" "," ",HYPERLINK(CONCATENATE("#metadata!",ADDRESS(INDEX($P$2:$P$1001,MATCH(ROWS($N$2:N793),$N$2:$N$1001,0),0),1)),INDEX($S$2:$S$1001,MATCH(ROWS($N$2:N793),$N$2:$N$1001,0),0)))</f>
        <v>0</v>
      </c>
      <c r="B793" s="4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4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4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4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4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4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4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4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4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OR(AND(IF(Metadata!C793="",FALSE,TRUE),OR(exact(Metadata!C793,"not applicable"),exact(Metadata!C793,"not collected"),exact(Metadata!C793,"not provided"),exact(Metadata!C793,"restricted access"))),IF(Metadata!C793="",FALSE,ISNUMBER(VALUE(Metadata!C793))))</f>
        <v>0</v>
      </c>
      <c r="W793">
        <f>AND(IF(Metadata!D793="",FALSE,TRUE),exact(Metadata!D793,"m"))</f>
        <v>0</v>
      </c>
      <c r="X793">
        <f>AND(IF(Metadata!E793="",FALSE,TRUE),OR(exact(Metadata!E793,"aerosol (non-saline)"),exact(Metadata!E793,"aerosol (saline)")))</f>
        <v>0</v>
      </c>
      <c r="Y793">
        <f>AND(IF(Metadata!F793="",FALSE,TRUE),exact(Metadata!F793,"air"))</f>
        <v>0</v>
      </c>
      <c r="Z793">
        <f>AND(IF(Metadata!G793="",FALSE,TRUE),exact(Metadata!G793,"air"))</f>
        <v>0</v>
      </c>
      <c r="AA793">
        <f>AND(IF(Metadata!H793="",FALSE,TRUE),exact(Metadata!H793,"air"))</f>
        <v>0</v>
      </c>
      <c r="AB793">
        <f>AND(IF(Metadata!I793="",FALSE,TRUE),exact(Metadata!I793,"air metagenome"))</f>
        <v>0</v>
      </c>
      <c r="AC793">
        <f>AND(IF(Metadata!J793="",FALSE,TRUE),exact(Metadata!J793,"655179"))</f>
        <v>0</v>
      </c>
    </row>
    <row r="794" spans="1:29">
      <c r="A794" s="5">
        <f>IF(B794=" "," ",HYPERLINK(CONCATENATE("#metadata!",ADDRESS(INDEX($P$2:$P$1001,MATCH(ROWS($N$2:N794),$N$2:$N$1001,0),0),1)),INDEX($S$2:$S$1001,MATCH(ROWS($N$2:N794),$N$2:$N$1001,0),0)))</f>
        <v>0</v>
      </c>
      <c r="B794" s="4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4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4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4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4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4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4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4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4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OR(AND(IF(Metadata!C794="",FALSE,TRUE),OR(exact(Metadata!C794,"not applicable"),exact(Metadata!C794,"not collected"),exact(Metadata!C794,"not provided"),exact(Metadata!C794,"restricted access"))),IF(Metadata!C794="",FALSE,ISNUMBER(VALUE(Metadata!C794))))</f>
        <v>0</v>
      </c>
      <c r="W794">
        <f>AND(IF(Metadata!D794="",FALSE,TRUE),exact(Metadata!D794,"m"))</f>
        <v>0</v>
      </c>
      <c r="X794">
        <f>AND(IF(Metadata!E794="",FALSE,TRUE),OR(exact(Metadata!E794,"aerosol (non-saline)"),exact(Metadata!E794,"aerosol (saline)")))</f>
        <v>0</v>
      </c>
      <c r="Y794">
        <f>AND(IF(Metadata!F794="",FALSE,TRUE),exact(Metadata!F794,"air"))</f>
        <v>0</v>
      </c>
      <c r="Z794">
        <f>AND(IF(Metadata!G794="",FALSE,TRUE),exact(Metadata!G794,"air"))</f>
        <v>0</v>
      </c>
      <c r="AA794">
        <f>AND(IF(Metadata!H794="",FALSE,TRUE),exact(Metadata!H794,"air"))</f>
        <v>0</v>
      </c>
      <c r="AB794">
        <f>AND(IF(Metadata!I794="",FALSE,TRUE),exact(Metadata!I794,"air metagenome"))</f>
        <v>0</v>
      </c>
      <c r="AC794">
        <f>AND(IF(Metadata!J794="",FALSE,TRUE),exact(Metadata!J794,"655179"))</f>
        <v>0</v>
      </c>
    </row>
    <row r="795" spans="1:29">
      <c r="A795" s="5">
        <f>IF(B795=" "," ",HYPERLINK(CONCATENATE("#metadata!",ADDRESS(INDEX($P$2:$P$1001,MATCH(ROWS($N$2:N795),$N$2:$N$1001,0),0),1)),INDEX($S$2:$S$1001,MATCH(ROWS($N$2:N795),$N$2:$N$1001,0),0)))</f>
        <v>0</v>
      </c>
      <c r="B795" s="4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4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4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4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4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4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4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4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4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OR(AND(IF(Metadata!C795="",FALSE,TRUE),OR(exact(Metadata!C795,"not applicable"),exact(Metadata!C795,"not collected"),exact(Metadata!C795,"not provided"),exact(Metadata!C795,"restricted access"))),IF(Metadata!C795="",FALSE,ISNUMBER(VALUE(Metadata!C795))))</f>
        <v>0</v>
      </c>
      <c r="W795">
        <f>AND(IF(Metadata!D795="",FALSE,TRUE),exact(Metadata!D795,"m"))</f>
        <v>0</v>
      </c>
      <c r="X795">
        <f>AND(IF(Metadata!E795="",FALSE,TRUE),OR(exact(Metadata!E795,"aerosol (non-saline)"),exact(Metadata!E795,"aerosol (saline)")))</f>
        <v>0</v>
      </c>
      <c r="Y795">
        <f>AND(IF(Metadata!F795="",FALSE,TRUE),exact(Metadata!F795,"air"))</f>
        <v>0</v>
      </c>
      <c r="Z795">
        <f>AND(IF(Metadata!G795="",FALSE,TRUE),exact(Metadata!G795,"air"))</f>
        <v>0</v>
      </c>
      <c r="AA795">
        <f>AND(IF(Metadata!H795="",FALSE,TRUE),exact(Metadata!H795,"air"))</f>
        <v>0</v>
      </c>
      <c r="AB795">
        <f>AND(IF(Metadata!I795="",FALSE,TRUE),exact(Metadata!I795,"air metagenome"))</f>
        <v>0</v>
      </c>
      <c r="AC795">
        <f>AND(IF(Metadata!J795="",FALSE,TRUE),exact(Metadata!J795,"655179"))</f>
        <v>0</v>
      </c>
    </row>
    <row r="796" spans="1:29">
      <c r="A796" s="5">
        <f>IF(B796=" "," ",HYPERLINK(CONCATENATE("#metadata!",ADDRESS(INDEX($P$2:$P$1001,MATCH(ROWS($N$2:N796),$N$2:$N$1001,0),0),1)),INDEX($S$2:$S$1001,MATCH(ROWS($N$2:N796),$N$2:$N$1001,0),0)))</f>
        <v>0</v>
      </c>
      <c r="B796" s="4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4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4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4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4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4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4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4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4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OR(AND(IF(Metadata!C796="",FALSE,TRUE),OR(exact(Metadata!C796,"not applicable"),exact(Metadata!C796,"not collected"),exact(Metadata!C796,"not provided"),exact(Metadata!C796,"restricted access"))),IF(Metadata!C796="",FALSE,ISNUMBER(VALUE(Metadata!C796))))</f>
        <v>0</v>
      </c>
      <c r="W796">
        <f>AND(IF(Metadata!D796="",FALSE,TRUE),exact(Metadata!D796,"m"))</f>
        <v>0</v>
      </c>
      <c r="X796">
        <f>AND(IF(Metadata!E796="",FALSE,TRUE),OR(exact(Metadata!E796,"aerosol (non-saline)"),exact(Metadata!E796,"aerosol (saline)")))</f>
        <v>0</v>
      </c>
      <c r="Y796">
        <f>AND(IF(Metadata!F796="",FALSE,TRUE),exact(Metadata!F796,"air"))</f>
        <v>0</v>
      </c>
      <c r="Z796">
        <f>AND(IF(Metadata!G796="",FALSE,TRUE),exact(Metadata!G796,"air"))</f>
        <v>0</v>
      </c>
      <c r="AA796">
        <f>AND(IF(Metadata!H796="",FALSE,TRUE),exact(Metadata!H796,"air"))</f>
        <v>0</v>
      </c>
      <c r="AB796">
        <f>AND(IF(Metadata!I796="",FALSE,TRUE),exact(Metadata!I796,"air metagenome"))</f>
        <v>0</v>
      </c>
      <c r="AC796">
        <f>AND(IF(Metadata!J796="",FALSE,TRUE),exact(Metadata!J796,"655179"))</f>
        <v>0</v>
      </c>
    </row>
    <row r="797" spans="1:29">
      <c r="A797" s="5">
        <f>IF(B797=" "," ",HYPERLINK(CONCATENATE("#metadata!",ADDRESS(INDEX($P$2:$P$1001,MATCH(ROWS($N$2:N797),$N$2:$N$1001,0),0),1)),INDEX($S$2:$S$1001,MATCH(ROWS($N$2:N797),$N$2:$N$1001,0),0)))</f>
        <v>0</v>
      </c>
      <c r="B797" s="4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4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4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4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4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4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4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4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4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OR(AND(IF(Metadata!C797="",FALSE,TRUE),OR(exact(Metadata!C797,"not applicable"),exact(Metadata!C797,"not collected"),exact(Metadata!C797,"not provided"),exact(Metadata!C797,"restricted access"))),IF(Metadata!C797="",FALSE,ISNUMBER(VALUE(Metadata!C797))))</f>
        <v>0</v>
      </c>
      <c r="W797">
        <f>AND(IF(Metadata!D797="",FALSE,TRUE),exact(Metadata!D797,"m"))</f>
        <v>0</v>
      </c>
      <c r="X797">
        <f>AND(IF(Metadata!E797="",FALSE,TRUE),OR(exact(Metadata!E797,"aerosol (non-saline)"),exact(Metadata!E797,"aerosol (saline)")))</f>
        <v>0</v>
      </c>
      <c r="Y797">
        <f>AND(IF(Metadata!F797="",FALSE,TRUE),exact(Metadata!F797,"air"))</f>
        <v>0</v>
      </c>
      <c r="Z797">
        <f>AND(IF(Metadata!G797="",FALSE,TRUE),exact(Metadata!G797,"air"))</f>
        <v>0</v>
      </c>
      <c r="AA797">
        <f>AND(IF(Metadata!H797="",FALSE,TRUE),exact(Metadata!H797,"air"))</f>
        <v>0</v>
      </c>
      <c r="AB797">
        <f>AND(IF(Metadata!I797="",FALSE,TRUE),exact(Metadata!I797,"air metagenome"))</f>
        <v>0</v>
      </c>
      <c r="AC797">
        <f>AND(IF(Metadata!J797="",FALSE,TRUE),exact(Metadata!J797,"655179"))</f>
        <v>0</v>
      </c>
    </row>
    <row r="798" spans="1:29">
      <c r="A798" s="5">
        <f>IF(B798=" "," ",HYPERLINK(CONCATENATE("#metadata!",ADDRESS(INDEX($P$2:$P$1001,MATCH(ROWS($N$2:N798),$N$2:$N$1001,0),0),1)),INDEX($S$2:$S$1001,MATCH(ROWS($N$2:N798),$N$2:$N$1001,0),0)))</f>
        <v>0</v>
      </c>
      <c r="B798" s="4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4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4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4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4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4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4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4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4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OR(AND(IF(Metadata!C798="",FALSE,TRUE),OR(exact(Metadata!C798,"not applicable"),exact(Metadata!C798,"not collected"),exact(Metadata!C798,"not provided"),exact(Metadata!C798,"restricted access"))),IF(Metadata!C798="",FALSE,ISNUMBER(VALUE(Metadata!C798))))</f>
        <v>0</v>
      </c>
      <c r="W798">
        <f>AND(IF(Metadata!D798="",FALSE,TRUE),exact(Metadata!D798,"m"))</f>
        <v>0</v>
      </c>
      <c r="X798">
        <f>AND(IF(Metadata!E798="",FALSE,TRUE),OR(exact(Metadata!E798,"aerosol (non-saline)"),exact(Metadata!E798,"aerosol (saline)")))</f>
        <v>0</v>
      </c>
      <c r="Y798">
        <f>AND(IF(Metadata!F798="",FALSE,TRUE),exact(Metadata!F798,"air"))</f>
        <v>0</v>
      </c>
      <c r="Z798">
        <f>AND(IF(Metadata!G798="",FALSE,TRUE),exact(Metadata!G798,"air"))</f>
        <v>0</v>
      </c>
      <c r="AA798">
        <f>AND(IF(Metadata!H798="",FALSE,TRUE),exact(Metadata!H798,"air"))</f>
        <v>0</v>
      </c>
      <c r="AB798">
        <f>AND(IF(Metadata!I798="",FALSE,TRUE),exact(Metadata!I798,"air metagenome"))</f>
        <v>0</v>
      </c>
      <c r="AC798">
        <f>AND(IF(Metadata!J798="",FALSE,TRUE),exact(Metadata!J798,"655179"))</f>
        <v>0</v>
      </c>
    </row>
    <row r="799" spans="1:29">
      <c r="A799" s="5">
        <f>IF(B799=" "," ",HYPERLINK(CONCATENATE("#metadata!",ADDRESS(INDEX($P$2:$P$1001,MATCH(ROWS($N$2:N799),$N$2:$N$1001,0),0),1)),INDEX($S$2:$S$1001,MATCH(ROWS($N$2:N799),$N$2:$N$1001,0),0)))</f>
        <v>0</v>
      </c>
      <c r="B799" s="4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4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4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4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4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4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4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4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4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OR(AND(IF(Metadata!C799="",FALSE,TRUE),OR(exact(Metadata!C799,"not applicable"),exact(Metadata!C799,"not collected"),exact(Metadata!C799,"not provided"),exact(Metadata!C799,"restricted access"))),IF(Metadata!C799="",FALSE,ISNUMBER(VALUE(Metadata!C799))))</f>
        <v>0</v>
      </c>
      <c r="W799">
        <f>AND(IF(Metadata!D799="",FALSE,TRUE),exact(Metadata!D799,"m"))</f>
        <v>0</v>
      </c>
      <c r="X799">
        <f>AND(IF(Metadata!E799="",FALSE,TRUE),OR(exact(Metadata!E799,"aerosol (non-saline)"),exact(Metadata!E799,"aerosol (saline)")))</f>
        <v>0</v>
      </c>
      <c r="Y799">
        <f>AND(IF(Metadata!F799="",FALSE,TRUE),exact(Metadata!F799,"air"))</f>
        <v>0</v>
      </c>
      <c r="Z799">
        <f>AND(IF(Metadata!G799="",FALSE,TRUE),exact(Metadata!G799,"air"))</f>
        <v>0</v>
      </c>
      <c r="AA799">
        <f>AND(IF(Metadata!H799="",FALSE,TRUE),exact(Metadata!H799,"air"))</f>
        <v>0</v>
      </c>
      <c r="AB799">
        <f>AND(IF(Metadata!I799="",FALSE,TRUE),exact(Metadata!I799,"air metagenome"))</f>
        <v>0</v>
      </c>
      <c r="AC799">
        <f>AND(IF(Metadata!J799="",FALSE,TRUE),exact(Metadata!J799,"655179"))</f>
        <v>0</v>
      </c>
    </row>
    <row r="800" spans="1:29">
      <c r="A800" s="5">
        <f>IF(B800=" "," ",HYPERLINK(CONCATENATE("#metadata!",ADDRESS(INDEX($P$2:$P$1001,MATCH(ROWS($N$2:N800),$N$2:$N$1001,0),0),1)),INDEX($S$2:$S$1001,MATCH(ROWS($N$2:N800),$N$2:$N$1001,0),0)))</f>
        <v>0</v>
      </c>
      <c r="B800" s="4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4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4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4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4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4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4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4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4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OR(AND(IF(Metadata!C800="",FALSE,TRUE),OR(exact(Metadata!C800,"not applicable"),exact(Metadata!C800,"not collected"),exact(Metadata!C800,"not provided"),exact(Metadata!C800,"restricted access"))),IF(Metadata!C800="",FALSE,ISNUMBER(VALUE(Metadata!C800))))</f>
        <v>0</v>
      </c>
      <c r="W800">
        <f>AND(IF(Metadata!D800="",FALSE,TRUE),exact(Metadata!D800,"m"))</f>
        <v>0</v>
      </c>
      <c r="X800">
        <f>AND(IF(Metadata!E800="",FALSE,TRUE),OR(exact(Metadata!E800,"aerosol (non-saline)"),exact(Metadata!E800,"aerosol (saline)")))</f>
        <v>0</v>
      </c>
      <c r="Y800">
        <f>AND(IF(Metadata!F800="",FALSE,TRUE),exact(Metadata!F800,"air"))</f>
        <v>0</v>
      </c>
      <c r="Z800">
        <f>AND(IF(Metadata!G800="",FALSE,TRUE),exact(Metadata!G800,"air"))</f>
        <v>0</v>
      </c>
      <c r="AA800">
        <f>AND(IF(Metadata!H800="",FALSE,TRUE),exact(Metadata!H800,"air"))</f>
        <v>0</v>
      </c>
      <c r="AB800">
        <f>AND(IF(Metadata!I800="",FALSE,TRUE),exact(Metadata!I800,"air metagenome"))</f>
        <v>0</v>
      </c>
      <c r="AC800">
        <f>AND(IF(Metadata!J800="",FALSE,TRUE),exact(Metadata!J800,"655179"))</f>
        <v>0</v>
      </c>
    </row>
    <row r="801" spans="1:29">
      <c r="A801" s="5">
        <f>IF(B801=" "," ",HYPERLINK(CONCATENATE("#metadata!",ADDRESS(INDEX($P$2:$P$1001,MATCH(ROWS($N$2:N801),$N$2:$N$1001,0),0),1)),INDEX($S$2:$S$1001,MATCH(ROWS($N$2:N801),$N$2:$N$1001,0),0)))</f>
        <v>0</v>
      </c>
      <c r="B801" s="4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4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4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4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4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4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4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4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4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OR(AND(IF(Metadata!C801="",FALSE,TRUE),OR(exact(Metadata!C801,"not applicable"),exact(Metadata!C801,"not collected"),exact(Metadata!C801,"not provided"),exact(Metadata!C801,"restricted access"))),IF(Metadata!C801="",FALSE,ISNUMBER(VALUE(Metadata!C801))))</f>
        <v>0</v>
      </c>
      <c r="W801">
        <f>AND(IF(Metadata!D801="",FALSE,TRUE),exact(Metadata!D801,"m"))</f>
        <v>0</v>
      </c>
      <c r="X801">
        <f>AND(IF(Metadata!E801="",FALSE,TRUE),OR(exact(Metadata!E801,"aerosol (non-saline)"),exact(Metadata!E801,"aerosol (saline)")))</f>
        <v>0</v>
      </c>
      <c r="Y801">
        <f>AND(IF(Metadata!F801="",FALSE,TRUE),exact(Metadata!F801,"air"))</f>
        <v>0</v>
      </c>
      <c r="Z801">
        <f>AND(IF(Metadata!G801="",FALSE,TRUE),exact(Metadata!G801,"air"))</f>
        <v>0</v>
      </c>
      <c r="AA801">
        <f>AND(IF(Metadata!H801="",FALSE,TRUE),exact(Metadata!H801,"air"))</f>
        <v>0</v>
      </c>
      <c r="AB801">
        <f>AND(IF(Metadata!I801="",FALSE,TRUE),exact(Metadata!I801,"air metagenome"))</f>
        <v>0</v>
      </c>
      <c r="AC801">
        <f>AND(IF(Metadata!J801="",FALSE,TRUE),exact(Metadata!J801,"655179"))</f>
        <v>0</v>
      </c>
    </row>
    <row r="802" spans="1:29">
      <c r="A802" s="5">
        <f>IF(B802=" "," ",HYPERLINK(CONCATENATE("#metadata!",ADDRESS(INDEX($P$2:$P$1001,MATCH(ROWS($N$2:N802),$N$2:$N$1001,0),0),1)),INDEX($S$2:$S$1001,MATCH(ROWS($N$2:N802),$N$2:$N$1001,0),0)))</f>
        <v>0</v>
      </c>
      <c r="B802" s="4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4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4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4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4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4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4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4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4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OR(AND(IF(Metadata!C802="",FALSE,TRUE),OR(exact(Metadata!C802,"not applicable"),exact(Metadata!C802,"not collected"),exact(Metadata!C802,"not provided"),exact(Metadata!C802,"restricted access"))),IF(Metadata!C802="",FALSE,ISNUMBER(VALUE(Metadata!C802))))</f>
        <v>0</v>
      </c>
      <c r="W802">
        <f>AND(IF(Metadata!D802="",FALSE,TRUE),exact(Metadata!D802,"m"))</f>
        <v>0</v>
      </c>
      <c r="X802">
        <f>AND(IF(Metadata!E802="",FALSE,TRUE),OR(exact(Metadata!E802,"aerosol (non-saline)"),exact(Metadata!E802,"aerosol (saline)")))</f>
        <v>0</v>
      </c>
      <c r="Y802">
        <f>AND(IF(Metadata!F802="",FALSE,TRUE),exact(Metadata!F802,"air"))</f>
        <v>0</v>
      </c>
      <c r="Z802">
        <f>AND(IF(Metadata!G802="",FALSE,TRUE),exact(Metadata!G802,"air"))</f>
        <v>0</v>
      </c>
      <c r="AA802">
        <f>AND(IF(Metadata!H802="",FALSE,TRUE),exact(Metadata!H802,"air"))</f>
        <v>0</v>
      </c>
      <c r="AB802">
        <f>AND(IF(Metadata!I802="",FALSE,TRUE),exact(Metadata!I802,"air metagenome"))</f>
        <v>0</v>
      </c>
      <c r="AC802">
        <f>AND(IF(Metadata!J802="",FALSE,TRUE),exact(Metadata!J802,"655179"))</f>
        <v>0</v>
      </c>
    </row>
    <row r="803" spans="1:29">
      <c r="A803" s="5">
        <f>IF(B803=" "," ",HYPERLINK(CONCATENATE("#metadata!",ADDRESS(INDEX($P$2:$P$1001,MATCH(ROWS($N$2:N803),$N$2:$N$1001,0),0),1)),INDEX($S$2:$S$1001,MATCH(ROWS($N$2:N803),$N$2:$N$1001,0),0)))</f>
        <v>0</v>
      </c>
      <c r="B803" s="4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4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4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4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4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4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4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4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4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OR(AND(IF(Metadata!C803="",FALSE,TRUE),OR(exact(Metadata!C803,"not applicable"),exact(Metadata!C803,"not collected"),exact(Metadata!C803,"not provided"),exact(Metadata!C803,"restricted access"))),IF(Metadata!C803="",FALSE,ISNUMBER(VALUE(Metadata!C803))))</f>
        <v>0</v>
      </c>
      <c r="W803">
        <f>AND(IF(Metadata!D803="",FALSE,TRUE),exact(Metadata!D803,"m"))</f>
        <v>0</v>
      </c>
      <c r="X803">
        <f>AND(IF(Metadata!E803="",FALSE,TRUE),OR(exact(Metadata!E803,"aerosol (non-saline)"),exact(Metadata!E803,"aerosol (saline)")))</f>
        <v>0</v>
      </c>
      <c r="Y803">
        <f>AND(IF(Metadata!F803="",FALSE,TRUE),exact(Metadata!F803,"air"))</f>
        <v>0</v>
      </c>
      <c r="Z803">
        <f>AND(IF(Metadata!G803="",FALSE,TRUE),exact(Metadata!G803,"air"))</f>
        <v>0</v>
      </c>
      <c r="AA803">
        <f>AND(IF(Metadata!H803="",FALSE,TRUE),exact(Metadata!H803,"air"))</f>
        <v>0</v>
      </c>
      <c r="AB803">
        <f>AND(IF(Metadata!I803="",FALSE,TRUE),exact(Metadata!I803,"air metagenome"))</f>
        <v>0</v>
      </c>
      <c r="AC803">
        <f>AND(IF(Metadata!J803="",FALSE,TRUE),exact(Metadata!J803,"655179"))</f>
        <v>0</v>
      </c>
    </row>
    <row r="804" spans="1:29">
      <c r="A804" s="5">
        <f>IF(B804=" "," ",HYPERLINK(CONCATENATE("#metadata!",ADDRESS(INDEX($P$2:$P$1001,MATCH(ROWS($N$2:N804),$N$2:$N$1001,0),0),1)),INDEX($S$2:$S$1001,MATCH(ROWS($N$2:N804),$N$2:$N$1001,0),0)))</f>
        <v>0</v>
      </c>
      <c r="B804" s="4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4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4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4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4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4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4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4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4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OR(AND(IF(Metadata!C804="",FALSE,TRUE),OR(exact(Metadata!C804,"not applicable"),exact(Metadata!C804,"not collected"),exact(Metadata!C804,"not provided"),exact(Metadata!C804,"restricted access"))),IF(Metadata!C804="",FALSE,ISNUMBER(VALUE(Metadata!C804))))</f>
        <v>0</v>
      </c>
      <c r="W804">
        <f>AND(IF(Metadata!D804="",FALSE,TRUE),exact(Metadata!D804,"m"))</f>
        <v>0</v>
      </c>
      <c r="X804">
        <f>AND(IF(Metadata!E804="",FALSE,TRUE),OR(exact(Metadata!E804,"aerosol (non-saline)"),exact(Metadata!E804,"aerosol (saline)")))</f>
        <v>0</v>
      </c>
      <c r="Y804">
        <f>AND(IF(Metadata!F804="",FALSE,TRUE),exact(Metadata!F804,"air"))</f>
        <v>0</v>
      </c>
      <c r="Z804">
        <f>AND(IF(Metadata!G804="",FALSE,TRUE),exact(Metadata!G804,"air"))</f>
        <v>0</v>
      </c>
      <c r="AA804">
        <f>AND(IF(Metadata!H804="",FALSE,TRUE),exact(Metadata!H804,"air"))</f>
        <v>0</v>
      </c>
      <c r="AB804">
        <f>AND(IF(Metadata!I804="",FALSE,TRUE),exact(Metadata!I804,"air metagenome"))</f>
        <v>0</v>
      </c>
      <c r="AC804">
        <f>AND(IF(Metadata!J804="",FALSE,TRUE),exact(Metadata!J804,"655179"))</f>
        <v>0</v>
      </c>
    </row>
    <row r="805" spans="1:29">
      <c r="A805" s="5">
        <f>IF(B805=" "," ",HYPERLINK(CONCATENATE("#metadata!",ADDRESS(INDEX($P$2:$P$1001,MATCH(ROWS($N$2:N805),$N$2:$N$1001,0),0),1)),INDEX($S$2:$S$1001,MATCH(ROWS($N$2:N805),$N$2:$N$1001,0),0)))</f>
        <v>0</v>
      </c>
      <c r="B805" s="4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4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4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4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4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4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4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4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4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OR(AND(IF(Metadata!C805="",FALSE,TRUE),OR(exact(Metadata!C805,"not applicable"),exact(Metadata!C805,"not collected"),exact(Metadata!C805,"not provided"),exact(Metadata!C805,"restricted access"))),IF(Metadata!C805="",FALSE,ISNUMBER(VALUE(Metadata!C805))))</f>
        <v>0</v>
      </c>
      <c r="W805">
        <f>AND(IF(Metadata!D805="",FALSE,TRUE),exact(Metadata!D805,"m"))</f>
        <v>0</v>
      </c>
      <c r="X805">
        <f>AND(IF(Metadata!E805="",FALSE,TRUE),OR(exact(Metadata!E805,"aerosol (non-saline)"),exact(Metadata!E805,"aerosol (saline)")))</f>
        <v>0</v>
      </c>
      <c r="Y805">
        <f>AND(IF(Metadata!F805="",FALSE,TRUE),exact(Metadata!F805,"air"))</f>
        <v>0</v>
      </c>
      <c r="Z805">
        <f>AND(IF(Metadata!G805="",FALSE,TRUE),exact(Metadata!G805,"air"))</f>
        <v>0</v>
      </c>
      <c r="AA805">
        <f>AND(IF(Metadata!H805="",FALSE,TRUE),exact(Metadata!H805,"air"))</f>
        <v>0</v>
      </c>
      <c r="AB805">
        <f>AND(IF(Metadata!I805="",FALSE,TRUE),exact(Metadata!I805,"air metagenome"))</f>
        <v>0</v>
      </c>
      <c r="AC805">
        <f>AND(IF(Metadata!J805="",FALSE,TRUE),exact(Metadata!J805,"655179"))</f>
        <v>0</v>
      </c>
    </row>
    <row r="806" spans="1:29">
      <c r="A806" s="5">
        <f>IF(B806=" "," ",HYPERLINK(CONCATENATE("#metadata!",ADDRESS(INDEX($P$2:$P$1001,MATCH(ROWS($N$2:N806),$N$2:$N$1001,0),0),1)),INDEX($S$2:$S$1001,MATCH(ROWS($N$2:N806),$N$2:$N$1001,0),0)))</f>
        <v>0</v>
      </c>
      <c r="B806" s="4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4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4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4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4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4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4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4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4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OR(AND(IF(Metadata!C806="",FALSE,TRUE),OR(exact(Metadata!C806,"not applicable"),exact(Metadata!C806,"not collected"),exact(Metadata!C806,"not provided"),exact(Metadata!C806,"restricted access"))),IF(Metadata!C806="",FALSE,ISNUMBER(VALUE(Metadata!C806))))</f>
        <v>0</v>
      </c>
      <c r="W806">
        <f>AND(IF(Metadata!D806="",FALSE,TRUE),exact(Metadata!D806,"m"))</f>
        <v>0</v>
      </c>
      <c r="X806">
        <f>AND(IF(Metadata!E806="",FALSE,TRUE),OR(exact(Metadata!E806,"aerosol (non-saline)"),exact(Metadata!E806,"aerosol (saline)")))</f>
        <v>0</v>
      </c>
      <c r="Y806">
        <f>AND(IF(Metadata!F806="",FALSE,TRUE),exact(Metadata!F806,"air"))</f>
        <v>0</v>
      </c>
      <c r="Z806">
        <f>AND(IF(Metadata!G806="",FALSE,TRUE),exact(Metadata!G806,"air"))</f>
        <v>0</v>
      </c>
      <c r="AA806">
        <f>AND(IF(Metadata!H806="",FALSE,TRUE),exact(Metadata!H806,"air"))</f>
        <v>0</v>
      </c>
      <c r="AB806">
        <f>AND(IF(Metadata!I806="",FALSE,TRUE),exact(Metadata!I806,"air metagenome"))</f>
        <v>0</v>
      </c>
      <c r="AC806">
        <f>AND(IF(Metadata!J806="",FALSE,TRUE),exact(Metadata!J806,"655179"))</f>
        <v>0</v>
      </c>
    </row>
    <row r="807" spans="1:29">
      <c r="A807" s="5">
        <f>IF(B807=" "," ",HYPERLINK(CONCATENATE("#metadata!",ADDRESS(INDEX($P$2:$P$1001,MATCH(ROWS($N$2:N807),$N$2:$N$1001,0),0),1)),INDEX($S$2:$S$1001,MATCH(ROWS($N$2:N807),$N$2:$N$1001,0),0)))</f>
        <v>0</v>
      </c>
      <c r="B807" s="4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4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4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4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4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4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4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4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4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OR(AND(IF(Metadata!C807="",FALSE,TRUE),OR(exact(Metadata!C807,"not applicable"),exact(Metadata!C807,"not collected"),exact(Metadata!C807,"not provided"),exact(Metadata!C807,"restricted access"))),IF(Metadata!C807="",FALSE,ISNUMBER(VALUE(Metadata!C807))))</f>
        <v>0</v>
      </c>
      <c r="W807">
        <f>AND(IF(Metadata!D807="",FALSE,TRUE),exact(Metadata!D807,"m"))</f>
        <v>0</v>
      </c>
      <c r="X807">
        <f>AND(IF(Metadata!E807="",FALSE,TRUE),OR(exact(Metadata!E807,"aerosol (non-saline)"),exact(Metadata!E807,"aerosol (saline)")))</f>
        <v>0</v>
      </c>
      <c r="Y807">
        <f>AND(IF(Metadata!F807="",FALSE,TRUE),exact(Metadata!F807,"air"))</f>
        <v>0</v>
      </c>
      <c r="Z807">
        <f>AND(IF(Metadata!G807="",FALSE,TRUE),exact(Metadata!G807,"air"))</f>
        <v>0</v>
      </c>
      <c r="AA807">
        <f>AND(IF(Metadata!H807="",FALSE,TRUE),exact(Metadata!H807,"air"))</f>
        <v>0</v>
      </c>
      <c r="AB807">
        <f>AND(IF(Metadata!I807="",FALSE,TRUE),exact(Metadata!I807,"air metagenome"))</f>
        <v>0</v>
      </c>
      <c r="AC807">
        <f>AND(IF(Metadata!J807="",FALSE,TRUE),exact(Metadata!J807,"655179"))</f>
        <v>0</v>
      </c>
    </row>
    <row r="808" spans="1:29">
      <c r="A808" s="5">
        <f>IF(B808=" "," ",HYPERLINK(CONCATENATE("#metadata!",ADDRESS(INDEX($P$2:$P$1001,MATCH(ROWS($N$2:N808),$N$2:$N$1001,0),0),1)),INDEX($S$2:$S$1001,MATCH(ROWS($N$2:N808),$N$2:$N$1001,0),0)))</f>
        <v>0</v>
      </c>
      <c r="B808" s="4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4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4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4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4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4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4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4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4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OR(AND(IF(Metadata!C808="",FALSE,TRUE),OR(exact(Metadata!C808,"not applicable"),exact(Metadata!C808,"not collected"),exact(Metadata!C808,"not provided"),exact(Metadata!C808,"restricted access"))),IF(Metadata!C808="",FALSE,ISNUMBER(VALUE(Metadata!C808))))</f>
        <v>0</v>
      </c>
      <c r="W808">
        <f>AND(IF(Metadata!D808="",FALSE,TRUE),exact(Metadata!D808,"m"))</f>
        <v>0</v>
      </c>
      <c r="X808">
        <f>AND(IF(Metadata!E808="",FALSE,TRUE),OR(exact(Metadata!E808,"aerosol (non-saline)"),exact(Metadata!E808,"aerosol (saline)")))</f>
        <v>0</v>
      </c>
      <c r="Y808">
        <f>AND(IF(Metadata!F808="",FALSE,TRUE),exact(Metadata!F808,"air"))</f>
        <v>0</v>
      </c>
      <c r="Z808">
        <f>AND(IF(Metadata!G808="",FALSE,TRUE),exact(Metadata!G808,"air"))</f>
        <v>0</v>
      </c>
      <c r="AA808">
        <f>AND(IF(Metadata!H808="",FALSE,TRUE),exact(Metadata!H808,"air"))</f>
        <v>0</v>
      </c>
      <c r="AB808">
        <f>AND(IF(Metadata!I808="",FALSE,TRUE),exact(Metadata!I808,"air metagenome"))</f>
        <v>0</v>
      </c>
      <c r="AC808">
        <f>AND(IF(Metadata!J808="",FALSE,TRUE),exact(Metadata!J808,"655179"))</f>
        <v>0</v>
      </c>
    </row>
    <row r="809" spans="1:29">
      <c r="A809" s="5">
        <f>IF(B809=" "," ",HYPERLINK(CONCATENATE("#metadata!",ADDRESS(INDEX($P$2:$P$1001,MATCH(ROWS($N$2:N809),$N$2:$N$1001,0),0),1)),INDEX($S$2:$S$1001,MATCH(ROWS($N$2:N809),$N$2:$N$1001,0),0)))</f>
        <v>0</v>
      </c>
      <c r="B809" s="4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4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4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4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4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4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4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4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4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OR(AND(IF(Metadata!C809="",FALSE,TRUE),OR(exact(Metadata!C809,"not applicable"),exact(Metadata!C809,"not collected"),exact(Metadata!C809,"not provided"),exact(Metadata!C809,"restricted access"))),IF(Metadata!C809="",FALSE,ISNUMBER(VALUE(Metadata!C809))))</f>
        <v>0</v>
      </c>
      <c r="W809">
        <f>AND(IF(Metadata!D809="",FALSE,TRUE),exact(Metadata!D809,"m"))</f>
        <v>0</v>
      </c>
      <c r="X809">
        <f>AND(IF(Metadata!E809="",FALSE,TRUE),OR(exact(Metadata!E809,"aerosol (non-saline)"),exact(Metadata!E809,"aerosol (saline)")))</f>
        <v>0</v>
      </c>
      <c r="Y809">
        <f>AND(IF(Metadata!F809="",FALSE,TRUE),exact(Metadata!F809,"air"))</f>
        <v>0</v>
      </c>
      <c r="Z809">
        <f>AND(IF(Metadata!G809="",FALSE,TRUE),exact(Metadata!G809,"air"))</f>
        <v>0</v>
      </c>
      <c r="AA809">
        <f>AND(IF(Metadata!H809="",FALSE,TRUE),exact(Metadata!H809,"air"))</f>
        <v>0</v>
      </c>
      <c r="AB809">
        <f>AND(IF(Metadata!I809="",FALSE,TRUE),exact(Metadata!I809,"air metagenome"))</f>
        <v>0</v>
      </c>
      <c r="AC809">
        <f>AND(IF(Metadata!J809="",FALSE,TRUE),exact(Metadata!J809,"655179"))</f>
        <v>0</v>
      </c>
    </row>
    <row r="810" spans="1:29">
      <c r="A810" s="5">
        <f>IF(B810=" "," ",HYPERLINK(CONCATENATE("#metadata!",ADDRESS(INDEX($P$2:$P$1001,MATCH(ROWS($N$2:N810),$N$2:$N$1001,0),0),1)),INDEX($S$2:$S$1001,MATCH(ROWS($N$2:N810),$N$2:$N$1001,0),0)))</f>
        <v>0</v>
      </c>
      <c r="B810" s="4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4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4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4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4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4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4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4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4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OR(AND(IF(Metadata!C810="",FALSE,TRUE),OR(exact(Metadata!C810,"not applicable"),exact(Metadata!C810,"not collected"),exact(Metadata!C810,"not provided"),exact(Metadata!C810,"restricted access"))),IF(Metadata!C810="",FALSE,ISNUMBER(VALUE(Metadata!C810))))</f>
        <v>0</v>
      </c>
      <c r="W810">
        <f>AND(IF(Metadata!D810="",FALSE,TRUE),exact(Metadata!D810,"m"))</f>
        <v>0</v>
      </c>
      <c r="X810">
        <f>AND(IF(Metadata!E810="",FALSE,TRUE),OR(exact(Metadata!E810,"aerosol (non-saline)"),exact(Metadata!E810,"aerosol (saline)")))</f>
        <v>0</v>
      </c>
      <c r="Y810">
        <f>AND(IF(Metadata!F810="",FALSE,TRUE),exact(Metadata!F810,"air"))</f>
        <v>0</v>
      </c>
      <c r="Z810">
        <f>AND(IF(Metadata!G810="",FALSE,TRUE),exact(Metadata!G810,"air"))</f>
        <v>0</v>
      </c>
      <c r="AA810">
        <f>AND(IF(Metadata!H810="",FALSE,TRUE),exact(Metadata!H810,"air"))</f>
        <v>0</v>
      </c>
      <c r="AB810">
        <f>AND(IF(Metadata!I810="",FALSE,TRUE),exact(Metadata!I810,"air metagenome"))</f>
        <v>0</v>
      </c>
      <c r="AC810">
        <f>AND(IF(Metadata!J810="",FALSE,TRUE),exact(Metadata!J810,"655179"))</f>
        <v>0</v>
      </c>
    </row>
    <row r="811" spans="1:29">
      <c r="A811" s="5">
        <f>IF(B811=" "," ",HYPERLINK(CONCATENATE("#metadata!",ADDRESS(INDEX($P$2:$P$1001,MATCH(ROWS($N$2:N811),$N$2:$N$1001,0),0),1)),INDEX($S$2:$S$1001,MATCH(ROWS($N$2:N811),$N$2:$N$1001,0),0)))</f>
        <v>0</v>
      </c>
      <c r="B811" s="4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4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4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4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4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4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4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4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4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OR(AND(IF(Metadata!C811="",FALSE,TRUE),OR(exact(Metadata!C811,"not applicable"),exact(Metadata!C811,"not collected"),exact(Metadata!C811,"not provided"),exact(Metadata!C811,"restricted access"))),IF(Metadata!C811="",FALSE,ISNUMBER(VALUE(Metadata!C811))))</f>
        <v>0</v>
      </c>
      <c r="W811">
        <f>AND(IF(Metadata!D811="",FALSE,TRUE),exact(Metadata!D811,"m"))</f>
        <v>0</v>
      </c>
      <c r="X811">
        <f>AND(IF(Metadata!E811="",FALSE,TRUE),OR(exact(Metadata!E811,"aerosol (non-saline)"),exact(Metadata!E811,"aerosol (saline)")))</f>
        <v>0</v>
      </c>
      <c r="Y811">
        <f>AND(IF(Metadata!F811="",FALSE,TRUE),exact(Metadata!F811,"air"))</f>
        <v>0</v>
      </c>
      <c r="Z811">
        <f>AND(IF(Metadata!G811="",FALSE,TRUE),exact(Metadata!G811,"air"))</f>
        <v>0</v>
      </c>
      <c r="AA811">
        <f>AND(IF(Metadata!H811="",FALSE,TRUE),exact(Metadata!H811,"air"))</f>
        <v>0</v>
      </c>
      <c r="AB811">
        <f>AND(IF(Metadata!I811="",FALSE,TRUE),exact(Metadata!I811,"air metagenome"))</f>
        <v>0</v>
      </c>
      <c r="AC811">
        <f>AND(IF(Metadata!J811="",FALSE,TRUE),exact(Metadata!J811,"655179"))</f>
        <v>0</v>
      </c>
    </row>
    <row r="812" spans="1:29">
      <c r="A812" s="5">
        <f>IF(B812=" "," ",HYPERLINK(CONCATENATE("#metadata!",ADDRESS(INDEX($P$2:$P$1001,MATCH(ROWS($N$2:N812),$N$2:$N$1001,0),0),1)),INDEX($S$2:$S$1001,MATCH(ROWS($N$2:N812),$N$2:$N$1001,0),0)))</f>
        <v>0</v>
      </c>
      <c r="B812" s="4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4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4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4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4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4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4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4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4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OR(AND(IF(Metadata!C812="",FALSE,TRUE),OR(exact(Metadata!C812,"not applicable"),exact(Metadata!C812,"not collected"),exact(Metadata!C812,"not provided"),exact(Metadata!C812,"restricted access"))),IF(Metadata!C812="",FALSE,ISNUMBER(VALUE(Metadata!C812))))</f>
        <v>0</v>
      </c>
      <c r="W812">
        <f>AND(IF(Metadata!D812="",FALSE,TRUE),exact(Metadata!D812,"m"))</f>
        <v>0</v>
      </c>
      <c r="X812">
        <f>AND(IF(Metadata!E812="",FALSE,TRUE),OR(exact(Metadata!E812,"aerosol (non-saline)"),exact(Metadata!E812,"aerosol (saline)")))</f>
        <v>0</v>
      </c>
      <c r="Y812">
        <f>AND(IF(Metadata!F812="",FALSE,TRUE),exact(Metadata!F812,"air"))</f>
        <v>0</v>
      </c>
      <c r="Z812">
        <f>AND(IF(Metadata!G812="",FALSE,TRUE),exact(Metadata!G812,"air"))</f>
        <v>0</v>
      </c>
      <c r="AA812">
        <f>AND(IF(Metadata!H812="",FALSE,TRUE),exact(Metadata!H812,"air"))</f>
        <v>0</v>
      </c>
      <c r="AB812">
        <f>AND(IF(Metadata!I812="",FALSE,TRUE),exact(Metadata!I812,"air metagenome"))</f>
        <v>0</v>
      </c>
      <c r="AC812">
        <f>AND(IF(Metadata!J812="",FALSE,TRUE),exact(Metadata!J812,"655179"))</f>
        <v>0</v>
      </c>
    </row>
    <row r="813" spans="1:29">
      <c r="A813" s="5">
        <f>IF(B813=" "," ",HYPERLINK(CONCATENATE("#metadata!",ADDRESS(INDEX($P$2:$P$1001,MATCH(ROWS($N$2:N813),$N$2:$N$1001,0),0),1)),INDEX($S$2:$S$1001,MATCH(ROWS($N$2:N813),$N$2:$N$1001,0),0)))</f>
        <v>0</v>
      </c>
      <c r="B813" s="4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4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4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4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4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4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4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4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4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OR(AND(IF(Metadata!C813="",FALSE,TRUE),OR(exact(Metadata!C813,"not applicable"),exact(Metadata!C813,"not collected"),exact(Metadata!C813,"not provided"),exact(Metadata!C813,"restricted access"))),IF(Metadata!C813="",FALSE,ISNUMBER(VALUE(Metadata!C813))))</f>
        <v>0</v>
      </c>
      <c r="W813">
        <f>AND(IF(Metadata!D813="",FALSE,TRUE),exact(Metadata!D813,"m"))</f>
        <v>0</v>
      </c>
      <c r="X813">
        <f>AND(IF(Metadata!E813="",FALSE,TRUE),OR(exact(Metadata!E813,"aerosol (non-saline)"),exact(Metadata!E813,"aerosol (saline)")))</f>
        <v>0</v>
      </c>
      <c r="Y813">
        <f>AND(IF(Metadata!F813="",FALSE,TRUE),exact(Metadata!F813,"air"))</f>
        <v>0</v>
      </c>
      <c r="Z813">
        <f>AND(IF(Metadata!G813="",FALSE,TRUE),exact(Metadata!G813,"air"))</f>
        <v>0</v>
      </c>
      <c r="AA813">
        <f>AND(IF(Metadata!H813="",FALSE,TRUE),exact(Metadata!H813,"air"))</f>
        <v>0</v>
      </c>
      <c r="AB813">
        <f>AND(IF(Metadata!I813="",FALSE,TRUE),exact(Metadata!I813,"air metagenome"))</f>
        <v>0</v>
      </c>
      <c r="AC813">
        <f>AND(IF(Metadata!J813="",FALSE,TRUE),exact(Metadata!J813,"655179"))</f>
        <v>0</v>
      </c>
    </row>
    <row r="814" spans="1:29">
      <c r="A814" s="5">
        <f>IF(B814=" "," ",HYPERLINK(CONCATENATE("#metadata!",ADDRESS(INDEX($P$2:$P$1001,MATCH(ROWS($N$2:N814),$N$2:$N$1001,0),0),1)),INDEX($S$2:$S$1001,MATCH(ROWS($N$2:N814),$N$2:$N$1001,0),0)))</f>
        <v>0</v>
      </c>
      <c r="B814" s="4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4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4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4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4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4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4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4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4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OR(AND(IF(Metadata!C814="",FALSE,TRUE),OR(exact(Metadata!C814,"not applicable"),exact(Metadata!C814,"not collected"),exact(Metadata!C814,"not provided"),exact(Metadata!C814,"restricted access"))),IF(Metadata!C814="",FALSE,ISNUMBER(VALUE(Metadata!C814))))</f>
        <v>0</v>
      </c>
      <c r="W814">
        <f>AND(IF(Metadata!D814="",FALSE,TRUE),exact(Metadata!D814,"m"))</f>
        <v>0</v>
      </c>
      <c r="X814">
        <f>AND(IF(Metadata!E814="",FALSE,TRUE),OR(exact(Metadata!E814,"aerosol (non-saline)"),exact(Metadata!E814,"aerosol (saline)")))</f>
        <v>0</v>
      </c>
      <c r="Y814">
        <f>AND(IF(Metadata!F814="",FALSE,TRUE),exact(Metadata!F814,"air"))</f>
        <v>0</v>
      </c>
      <c r="Z814">
        <f>AND(IF(Metadata!G814="",FALSE,TRUE),exact(Metadata!G814,"air"))</f>
        <v>0</v>
      </c>
      <c r="AA814">
        <f>AND(IF(Metadata!H814="",FALSE,TRUE),exact(Metadata!H814,"air"))</f>
        <v>0</v>
      </c>
      <c r="AB814">
        <f>AND(IF(Metadata!I814="",FALSE,TRUE),exact(Metadata!I814,"air metagenome"))</f>
        <v>0</v>
      </c>
      <c r="AC814">
        <f>AND(IF(Metadata!J814="",FALSE,TRUE),exact(Metadata!J814,"655179"))</f>
        <v>0</v>
      </c>
    </row>
    <row r="815" spans="1:29">
      <c r="A815" s="5">
        <f>IF(B815=" "," ",HYPERLINK(CONCATENATE("#metadata!",ADDRESS(INDEX($P$2:$P$1001,MATCH(ROWS($N$2:N815),$N$2:$N$1001,0),0),1)),INDEX($S$2:$S$1001,MATCH(ROWS($N$2:N815),$N$2:$N$1001,0),0)))</f>
        <v>0</v>
      </c>
      <c r="B815" s="4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4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4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4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4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4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4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4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4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OR(AND(IF(Metadata!C815="",FALSE,TRUE),OR(exact(Metadata!C815,"not applicable"),exact(Metadata!C815,"not collected"),exact(Metadata!C815,"not provided"),exact(Metadata!C815,"restricted access"))),IF(Metadata!C815="",FALSE,ISNUMBER(VALUE(Metadata!C815))))</f>
        <v>0</v>
      </c>
      <c r="W815">
        <f>AND(IF(Metadata!D815="",FALSE,TRUE),exact(Metadata!D815,"m"))</f>
        <v>0</v>
      </c>
      <c r="X815">
        <f>AND(IF(Metadata!E815="",FALSE,TRUE),OR(exact(Metadata!E815,"aerosol (non-saline)"),exact(Metadata!E815,"aerosol (saline)")))</f>
        <v>0</v>
      </c>
      <c r="Y815">
        <f>AND(IF(Metadata!F815="",FALSE,TRUE),exact(Metadata!F815,"air"))</f>
        <v>0</v>
      </c>
      <c r="Z815">
        <f>AND(IF(Metadata!G815="",FALSE,TRUE),exact(Metadata!G815,"air"))</f>
        <v>0</v>
      </c>
      <c r="AA815">
        <f>AND(IF(Metadata!H815="",FALSE,TRUE),exact(Metadata!H815,"air"))</f>
        <v>0</v>
      </c>
      <c r="AB815">
        <f>AND(IF(Metadata!I815="",FALSE,TRUE),exact(Metadata!I815,"air metagenome"))</f>
        <v>0</v>
      </c>
      <c r="AC815">
        <f>AND(IF(Metadata!J815="",FALSE,TRUE),exact(Metadata!J815,"655179"))</f>
        <v>0</v>
      </c>
    </row>
    <row r="816" spans="1:29">
      <c r="A816" s="5">
        <f>IF(B816=" "," ",HYPERLINK(CONCATENATE("#metadata!",ADDRESS(INDEX($P$2:$P$1001,MATCH(ROWS($N$2:N816),$N$2:$N$1001,0),0),1)),INDEX($S$2:$S$1001,MATCH(ROWS($N$2:N816),$N$2:$N$1001,0),0)))</f>
        <v>0</v>
      </c>
      <c r="B816" s="4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4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4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4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4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4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4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4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4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OR(AND(IF(Metadata!C816="",FALSE,TRUE),OR(exact(Metadata!C816,"not applicable"),exact(Metadata!C816,"not collected"),exact(Metadata!C816,"not provided"),exact(Metadata!C816,"restricted access"))),IF(Metadata!C816="",FALSE,ISNUMBER(VALUE(Metadata!C816))))</f>
        <v>0</v>
      </c>
      <c r="W816">
        <f>AND(IF(Metadata!D816="",FALSE,TRUE),exact(Metadata!D816,"m"))</f>
        <v>0</v>
      </c>
      <c r="X816">
        <f>AND(IF(Metadata!E816="",FALSE,TRUE),OR(exact(Metadata!E816,"aerosol (non-saline)"),exact(Metadata!E816,"aerosol (saline)")))</f>
        <v>0</v>
      </c>
      <c r="Y816">
        <f>AND(IF(Metadata!F816="",FALSE,TRUE),exact(Metadata!F816,"air"))</f>
        <v>0</v>
      </c>
      <c r="Z816">
        <f>AND(IF(Metadata!G816="",FALSE,TRUE),exact(Metadata!G816,"air"))</f>
        <v>0</v>
      </c>
      <c r="AA816">
        <f>AND(IF(Metadata!H816="",FALSE,TRUE),exact(Metadata!H816,"air"))</f>
        <v>0</v>
      </c>
      <c r="AB816">
        <f>AND(IF(Metadata!I816="",FALSE,TRUE),exact(Metadata!I816,"air metagenome"))</f>
        <v>0</v>
      </c>
      <c r="AC816">
        <f>AND(IF(Metadata!J816="",FALSE,TRUE),exact(Metadata!J816,"655179"))</f>
        <v>0</v>
      </c>
    </row>
    <row r="817" spans="1:29">
      <c r="A817" s="5">
        <f>IF(B817=" "," ",HYPERLINK(CONCATENATE("#metadata!",ADDRESS(INDEX($P$2:$P$1001,MATCH(ROWS($N$2:N817),$N$2:$N$1001,0),0),1)),INDEX($S$2:$S$1001,MATCH(ROWS($N$2:N817),$N$2:$N$1001,0),0)))</f>
        <v>0</v>
      </c>
      <c r="B817" s="4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4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4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4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4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4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4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4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4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OR(AND(IF(Metadata!C817="",FALSE,TRUE),OR(exact(Metadata!C817,"not applicable"),exact(Metadata!C817,"not collected"),exact(Metadata!C817,"not provided"),exact(Metadata!C817,"restricted access"))),IF(Metadata!C817="",FALSE,ISNUMBER(VALUE(Metadata!C817))))</f>
        <v>0</v>
      </c>
      <c r="W817">
        <f>AND(IF(Metadata!D817="",FALSE,TRUE),exact(Metadata!D817,"m"))</f>
        <v>0</v>
      </c>
      <c r="X817">
        <f>AND(IF(Metadata!E817="",FALSE,TRUE),OR(exact(Metadata!E817,"aerosol (non-saline)"),exact(Metadata!E817,"aerosol (saline)")))</f>
        <v>0</v>
      </c>
      <c r="Y817">
        <f>AND(IF(Metadata!F817="",FALSE,TRUE),exact(Metadata!F817,"air"))</f>
        <v>0</v>
      </c>
      <c r="Z817">
        <f>AND(IF(Metadata!G817="",FALSE,TRUE),exact(Metadata!G817,"air"))</f>
        <v>0</v>
      </c>
      <c r="AA817">
        <f>AND(IF(Metadata!H817="",FALSE,TRUE),exact(Metadata!H817,"air"))</f>
        <v>0</v>
      </c>
      <c r="AB817">
        <f>AND(IF(Metadata!I817="",FALSE,TRUE),exact(Metadata!I817,"air metagenome"))</f>
        <v>0</v>
      </c>
      <c r="AC817">
        <f>AND(IF(Metadata!J817="",FALSE,TRUE),exact(Metadata!J817,"655179"))</f>
        <v>0</v>
      </c>
    </row>
    <row r="818" spans="1:29">
      <c r="A818" s="5">
        <f>IF(B818=" "," ",HYPERLINK(CONCATENATE("#metadata!",ADDRESS(INDEX($P$2:$P$1001,MATCH(ROWS($N$2:N818),$N$2:$N$1001,0),0),1)),INDEX($S$2:$S$1001,MATCH(ROWS($N$2:N818),$N$2:$N$1001,0),0)))</f>
        <v>0</v>
      </c>
      <c r="B818" s="4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4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4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4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4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4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4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4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4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OR(AND(IF(Metadata!C818="",FALSE,TRUE),OR(exact(Metadata!C818,"not applicable"),exact(Metadata!C818,"not collected"),exact(Metadata!C818,"not provided"),exact(Metadata!C818,"restricted access"))),IF(Metadata!C818="",FALSE,ISNUMBER(VALUE(Metadata!C818))))</f>
        <v>0</v>
      </c>
      <c r="W818">
        <f>AND(IF(Metadata!D818="",FALSE,TRUE),exact(Metadata!D818,"m"))</f>
        <v>0</v>
      </c>
      <c r="X818">
        <f>AND(IF(Metadata!E818="",FALSE,TRUE),OR(exact(Metadata!E818,"aerosol (non-saline)"),exact(Metadata!E818,"aerosol (saline)")))</f>
        <v>0</v>
      </c>
      <c r="Y818">
        <f>AND(IF(Metadata!F818="",FALSE,TRUE),exact(Metadata!F818,"air"))</f>
        <v>0</v>
      </c>
      <c r="Z818">
        <f>AND(IF(Metadata!G818="",FALSE,TRUE),exact(Metadata!G818,"air"))</f>
        <v>0</v>
      </c>
      <c r="AA818">
        <f>AND(IF(Metadata!H818="",FALSE,TRUE),exact(Metadata!H818,"air"))</f>
        <v>0</v>
      </c>
      <c r="AB818">
        <f>AND(IF(Metadata!I818="",FALSE,TRUE),exact(Metadata!I818,"air metagenome"))</f>
        <v>0</v>
      </c>
      <c r="AC818">
        <f>AND(IF(Metadata!J818="",FALSE,TRUE),exact(Metadata!J818,"655179"))</f>
        <v>0</v>
      </c>
    </row>
    <row r="819" spans="1:29">
      <c r="A819" s="5">
        <f>IF(B819=" "," ",HYPERLINK(CONCATENATE("#metadata!",ADDRESS(INDEX($P$2:$P$1001,MATCH(ROWS($N$2:N819),$N$2:$N$1001,0),0),1)),INDEX($S$2:$S$1001,MATCH(ROWS($N$2:N819),$N$2:$N$1001,0),0)))</f>
        <v>0</v>
      </c>
      <c r="B819" s="4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4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4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4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4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4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4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4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4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OR(AND(IF(Metadata!C819="",FALSE,TRUE),OR(exact(Metadata!C819,"not applicable"),exact(Metadata!C819,"not collected"),exact(Metadata!C819,"not provided"),exact(Metadata!C819,"restricted access"))),IF(Metadata!C819="",FALSE,ISNUMBER(VALUE(Metadata!C819))))</f>
        <v>0</v>
      </c>
      <c r="W819">
        <f>AND(IF(Metadata!D819="",FALSE,TRUE),exact(Metadata!D819,"m"))</f>
        <v>0</v>
      </c>
      <c r="X819">
        <f>AND(IF(Metadata!E819="",FALSE,TRUE),OR(exact(Metadata!E819,"aerosol (non-saline)"),exact(Metadata!E819,"aerosol (saline)")))</f>
        <v>0</v>
      </c>
      <c r="Y819">
        <f>AND(IF(Metadata!F819="",FALSE,TRUE),exact(Metadata!F819,"air"))</f>
        <v>0</v>
      </c>
      <c r="Z819">
        <f>AND(IF(Metadata!G819="",FALSE,TRUE),exact(Metadata!G819,"air"))</f>
        <v>0</v>
      </c>
      <c r="AA819">
        <f>AND(IF(Metadata!H819="",FALSE,TRUE),exact(Metadata!H819,"air"))</f>
        <v>0</v>
      </c>
      <c r="AB819">
        <f>AND(IF(Metadata!I819="",FALSE,TRUE),exact(Metadata!I819,"air metagenome"))</f>
        <v>0</v>
      </c>
      <c r="AC819">
        <f>AND(IF(Metadata!J819="",FALSE,TRUE),exact(Metadata!J819,"655179"))</f>
        <v>0</v>
      </c>
    </row>
    <row r="820" spans="1:29">
      <c r="A820" s="5">
        <f>IF(B820=" "," ",HYPERLINK(CONCATENATE("#metadata!",ADDRESS(INDEX($P$2:$P$1001,MATCH(ROWS($N$2:N820),$N$2:$N$1001,0),0),1)),INDEX($S$2:$S$1001,MATCH(ROWS($N$2:N820),$N$2:$N$1001,0),0)))</f>
        <v>0</v>
      </c>
      <c r="B820" s="4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4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4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4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4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4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4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4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4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OR(AND(IF(Metadata!C820="",FALSE,TRUE),OR(exact(Metadata!C820,"not applicable"),exact(Metadata!C820,"not collected"),exact(Metadata!C820,"not provided"),exact(Metadata!C820,"restricted access"))),IF(Metadata!C820="",FALSE,ISNUMBER(VALUE(Metadata!C820))))</f>
        <v>0</v>
      </c>
      <c r="W820">
        <f>AND(IF(Metadata!D820="",FALSE,TRUE),exact(Metadata!D820,"m"))</f>
        <v>0</v>
      </c>
      <c r="X820">
        <f>AND(IF(Metadata!E820="",FALSE,TRUE),OR(exact(Metadata!E820,"aerosol (non-saline)"),exact(Metadata!E820,"aerosol (saline)")))</f>
        <v>0</v>
      </c>
      <c r="Y820">
        <f>AND(IF(Metadata!F820="",FALSE,TRUE),exact(Metadata!F820,"air"))</f>
        <v>0</v>
      </c>
      <c r="Z820">
        <f>AND(IF(Metadata!G820="",FALSE,TRUE),exact(Metadata!G820,"air"))</f>
        <v>0</v>
      </c>
      <c r="AA820">
        <f>AND(IF(Metadata!H820="",FALSE,TRUE),exact(Metadata!H820,"air"))</f>
        <v>0</v>
      </c>
      <c r="AB820">
        <f>AND(IF(Metadata!I820="",FALSE,TRUE),exact(Metadata!I820,"air metagenome"))</f>
        <v>0</v>
      </c>
      <c r="AC820">
        <f>AND(IF(Metadata!J820="",FALSE,TRUE),exact(Metadata!J820,"655179"))</f>
        <v>0</v>
      </c>
    </row>
    <row r="821" spans="1:29">
      <c r="A821" s="5">
        <f>IF(B821=" "," ",HYPERLINK(CONCATENATE("#metadata!",ADDRESS(INDEX($P$2:$P$1001,MATCH(ROWS($N$2:N821),$N$2:$N$1001,0),0),1)),INDEX($S$2:$S$1001,MATCH(ROWS($N$2:N821),$N$2:$N$1001,0),0)))</f>
        <v>0</v>
      </c>
      <c r="B821" s="4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4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4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4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4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4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4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4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4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OR(AND(IF(Metadata!C821="",FALSE,TRUE),OR(exact(Metadata!C821,"not applicable"),exact(Metadata!C821,"not collected"),exact(Metadata!C821,"not provided"),exact(Metadata!C821,"restricted access"))),IF(Metadata!C821="",FALSE,ISNUMBER(VALUE(Metadata!C821))))</f>
        <v>0</v>
      </c>
      <c r="W821">
        <f>AND(IF(Metadata!D821="",FALSE,TRUE),exact(Metadata!D821,"m"))</f>
        <v>0</v>
      </c>
      <c r="X821">
        <f>AND(IF(Metadata!E821="",FALSE,TRUE),OR(exact(Metadata!E821,"aerosol (non-saline)"),exact(Metadata!E821,"aerosol (saline)")))</f>
        <v>0</v>
      </c>
      <c r="Y821">
        <f>AND(IF(Metadata!F821="",FALSE,TRUE),exact(Metadata!F821,"air"))</f>
        <v>0</v>
      </c>
      <c r="Z821">
        <f>AND(IF(Metadata!G821="",FALSE,TRUE),exact(Metadata!G821,"air"))</f>
        <v>0</v>
      </c>
      <c r="AA821">
        <f>AND(IF(Metadata!H821="",FALSE,TRUE),exact(Metadata!H821,"air"))</f>
        <v>0</v>
      </c>
      <c r="AB821">
        <f>AND(IF(Metadata!I821="",FALSE,TRUE),exact(Metadata!I821,"air metagenome"))</f>
        <v>0</v>
      </c>
      <c r="AC821">
        <f>AND(IF(Metadata!J821="",FALSE,TRUE),exact(Metadata!J821,"655179"))</f>
        <v>0</v>
      </c>
    </row>
    <row r="822" spans="1:29">
      <c r="A822" s="5">
        <f>IF(B822=" "," ",HYPERLINK(CONCATENATE("#metadata!",ADDRESS(INDEX($P$2:$P$1001,MATCH(ROWS($N$2:N822),$N$2:$N$1001,0),0),1)),INDEX($S$2:$S$1001,MATCH(ROWS($N$2:N822),$N$2:$N$1001,0),0)))</f>
        <v>0</v>
      </c>
      <c r="B822" s="4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4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4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4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4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4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4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4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4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OR(AND(IF(Metadata!C822="",FALSE,TRUE),OR(exact(Metadata!C822,"not applicable"),exact(Metadata!C822,"not collected"),exact(Metadata!C822,"not provided"),exact(Metadata!C822,"restricted access"))),IF(Metadata!C822="",FALSE,ISNUMBER(VALUE(Metadata!C822))))</f>
        <v>0</v>
      </c>
      <c r="W822">
        <f>AND(IF(Metadata!D822="",FALSE,TRUE),exact(Metadata!D822,"m"))</f>
        <v>0</v>
      </c>
      <c r="X822">
        <f>AND(IF(Metadata!E822="",FALSE,TRUE),OR(exact(Metadata!E822,"aerosol (non-saline)"),exact(Metadata!E822,"aerosol (saline)")))</f>
        <v>0</v>
      </c>
      <c r="Y822">
        <f>AND(IF(Metadata!F822="",FALSE,TRUE),exact(Metadata!F822,"air"))</f>
        <v>0</v>
      </c>
      <c r="Z822">
        <f>AND(IF(Metadata!G822="",FALSE,TRUE),exact(Metadata!G822,"air"))</f>
        <v>0</v>
      </c>
      <c r="AA822">
        <f>AND(IF(Metadata!H822="",FALSE,TRUE),exact(Metadata!H822,"air"))</f>
        <v>0</v>
      </c>
      <c r="AB822">
        <f>AND(IF(Metadata!I822="",FALSE,TRUE),exact(Metadata!I822,"air metagenome"))</f>
        <v>0</v>
      </c>
      <c r="AC822">
        <f>AND(IF(Metadata!J822="",FALSE,TRUE),exact(Metadata!J822,"655179"))</f>
        <v>0</v>
      </c>
    </row>
    <row r="823" spans="1:29">
      <c r="A823" s="5">
        <f>IF(B823=" "," ",HYPERLINK(CONCATENATE("#metadata!",ADDRESS(INDEX($P$2:$P$1001,MATCH(ROWS($N$2:N823),$N$2:$N$1001,0),0),1)),INDEX($S$2:$S$1001,MATCH(ROWS($N$2:N823),$N$2:$N$1001,0),0)))</f>
        <v>0</v>
      </c>
      <c r="B823" s="4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4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4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4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4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4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4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4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4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OR(AND(IF(Metadata!C823="",FALSE,TRUE),OR(exact(Metadata!C823,"not applicable"),exact(Metadata!C823,"not collected"),exact(Metadata!C823,"not provided"),exact(Metadata!C823,"restricted access"))),IF(Metadata!C823="",FALSE,ISNUMBER(VALUE(Metadata!C823))))</f>
        <v>0</v>
      </c>
      <c r="W823">
        <f>AND(IF(Metadata!D823="",FALSE,TRUE),exact(Metadata!D823,"m"))</f>
        <v>0</v>
      </c>
      <c r="X823">
        <f>AND(IF(Metadata!E823="",FALSE,TRUE),OR(exact(Metadata!E823,"aerosol (non-saline)"),exact(Metadata!E823,"aerosol (saline)")))</f>
        <v>0</v>
      </c>
      <c r="Y823">
        <f>AND(IF(Metadata!F823="",FALSE,TRUE),exact(Metadata!F823,"air"))</f>
        <v>0</v>
      </c>
      <c r="Z823">
        <f>AND(IF(Metadata!G823="",FALSE,TRUE),exact(Metadata!G823,"air"))</f>
        <v>0</v>
      </c>
      <c r="AA823">
        <f>AND(IF(Metadata!H823="",FALSE,TRUE),exact(Metadata!H823,"air"))</f>
        <v>0</v>
      </c>
      <c r="AB823">
        <f>AND(IF(Metadata!I823="",FALSE,TRUE),exact(Metadata!I823,"air metagenome"))</f>
        <v>0</v>
      </c>
      <c r="AC823">
        <f>AND(IF(Metadata!J823="",FALSE,TRUE),exact(Metadata!J823,"655179"))</f>
        <v>0</v>
      </c>
    </row>
    <row r="824" spans="1:29">
      <c r="A824" s="5">
        <f>IF(B824=" "," ",HYPERLINK(CONCATENATE("#metadata!",ADDRESS(INDEX($P$2:$P$1001,MATCH(ROWS($N$2:N824),$N$2:$N$1001,0),0),1)),INDEX($S$2:$S$1001,MATCH(ROWS($N$2:N824),$N$2:$N$1001,0),0)))</f>
        <v>0</v>
      </c>
      <c r="B824" s="4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4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4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4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4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4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4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4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4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OR(AND(IF(Metadata!C824="",FALSE,TRUE),OR(exact(Metadata!C824,"not applicable"),exact(Metadata!C824,"not collected"),exact(Metadata!C824,"not provided"),exact(Metadata!C824,"restricted access"))),IF(Metadata!C824="",FALSE,ISNUMBER(VALUE(Metadata!C824))))</f>
        <v>0</v>
      </c>
      <c r="W824">
        <f>AND(IF(Metadata!D824="",FALSE,TRUE),exact(Metadata!D824,"m"))</f>
        <v>0</v>
      </c>
      <c r="X824">
        <f>AND(IF(Metadata!E824="",FALSE,TRUE),OR(exact(Metadata!E824,"aerosol (non-saline)"),exact(Metadata!E824,"aerosol (saline)")))</f>
        <v>0</v>
      </c>
      <c r="Y824">
        <f>AND(IF(Metadata!F824="",FALSE,TRUE),exact(Metadata!F824,"air"))</f>
        <v>0</v>
      </c>
      <c r="Z824">
        <f>AND(IF(Metadata!G824="",FALSE,TRUE),exact(Metadata!G824,"air"))</f>
        <v>0</v>
      </c>
      <c r="AA824">
        <f>AND(IF(Metadata!H824="",FALSE,TRUE),exact(Metadata!H824,"air"))</f>
        <v>0</v>
      </c>
      <c r="AB824">
        <f>AND(IF(Metadata!I824="",FALSE,TRUE),exact(Metadata!I824,"air metagenome"))</f>
        <v>0</v>
      </c>
      <c r="AC824">
        <f>AND(IF(Metadata!J824="",FALSE,TRUE),exact(Metadata!J824,"655179"))</f>
        <v>0</v>
      </c>
    </row>
    <row r="825" spans="1:29">
      <c r="A825" s="5">
        <f>IF(B825=" "," ",HYPERLINK(CONCATENATE("#metadata!",ADDRESS(INDEX($P$2:$P$1001,MATCH(ROWS($N$2:N825),$N$2:$N$1001,0),0),1)),INDEX($S$2:$S$1001,MATCH(ROWS($N$2:N825),$N$2:$N$1001,0),0)))</f>
        <v>0</v>
      </c>
      <c r="B825" s="4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4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4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4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4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4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4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4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4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OR(AND(IF(Metadata!C825="",FALSE,TRUE),OR(exact(Metadata!C825,"not applicable"),exact(Metadata!C825,"not collected"),exact(Metadata!C825,"not provided"),exact(Metadata!C825,"restricted access"))),IF(Metadata!C825="",FALSE,ISNUMBER(VALUE(Metadata!C825))))</f>
        <v>0</v>
      </c>
      <c r="W825">
        <f>AND(IF(Metadata!D825="",FALSE,TRUE),exact(Metadata!D825,"m"))</f>
        <v>0</v>
      </c>
      <c r="X825">
        <f>AND(IF(Metadata!E825="",FALSE,TRUE),OR(exact(Metadata!E825,"aerosol (non-saline)"),exact(Metadata!E825,"aerosol (saline)")))</f>
        <v>0</v>
      </c>
      <c r="Y825">
        <f>AND(IF(Metadata!F825="",FALSE,TRUE),exact(Metadata!F825,"air"))</f>
        <v>0</v>
      </c>
      <c r="Z825">
        <f>AND(IF(Metadata!G825="",FALSE,TRUE),exact(Metadata!G825,"air"))</f>
        <v>0</v>
      </c>
      <c r="AA825">
        <f>AND(IF(Metadata!H825="",FALSE,TRUE),exact(Metadata!H825,"air"))</f>
        <v>0</v>
      </c>
      <c r="AB825">
        <f>AND(IF(Metadata!I825="",FALSE,TRUE),exact(Metadata!I825,"air metagenome"))</f>
        <v>0</v>
      </c>
      <c r="AC825">
        <f>AND(IF(Metadata!J825="",FALSE,TRUE),exact(Metadata!J825,"655179"))</f>
        <v>0</v>
      </c>
    </row>
    <row r="826" spans="1:29">
      <c r="A826" s="5">
        <f>IF(B826=" "," ",HYPERLINK(CONCATENATE("#metadata!",ADDRESS(INDEX($P$2:$P$1001,MATCH(ROWS($N$2:N826),$N$2:$N$1001,0),0),1)),INDEX($S$2:$S$1001,MATCH(ROWS($N$2:N826),$N$2:$N$1001,0),0)))</f>
        <v>0</v>
      </c>
      <c r="B826" s="4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4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4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4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4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4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4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4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4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OR(AND(IF(Metadata!C826="",FALSE,TRUE),OR(exact(Metadata!C826,"not applicable"),exact(Metadata!C826,"not collected"),exact(Metadata!C826,"not provided"),exact(Metadata!C826,"restricted access"))),IF(Metadata!C826="",FALSE,ISNUMBER(VALUE(Metadata!C826))))</f>
        <v>0</v>
      </c>
      <c r="W826">
        <f>AND(IF(Metadata!D826="",FALSE,TRUE),exact(Metadata!D826,"m"))</f>
        <v>0</v>
      </c>
      <c r="X826">
        <f>AND(IF(Metadata!E826="",FALSE,TRUE),OR(exact(Metadata!E826,"aerosol (non-saline)"),exact(Metadata!E826,"aerosol (saline)")))</f>
        <v>0</v>
      </c>
      <c r="Y826">
        <f>AND(IF(Metadata!F826="",FALSE,TRUE),exact(Metadata!F826,"air"))</f>
        <v>0</v>
      </c>
      <c r="Z826">
        <f>AND(IF(Metadata!G826="",FALSE,TRUE),exact(Metadata!G826,"air"))</f>
        <v>0</v>
      </c>
      <c r="AA826">
        <f>AND(IF(Metadata!H826="",FALSE,TRUE),exact(Metadata!H826,"air"))</f>
        <v>0</v>
      </c>
      <c r="AB826">
        <f>AND(IF(Metadata!I826="",FALSE,TRUE),exact(Metadata!I826,"air metagenome"))</f>
        <v>0</v>
      </c>
      <c r="AC826">
        <f>AND(IF(Metadata!J826="",FALSE,TRUE),exact(Metadata!J826,"655179"))</f>
        <v>0</v>
      </c>
    </row>
    <row r="827" spans="1:29">
      <c r="A827" s="5">
        <f>IF(B827=" "," ",HYPERLINK(CONCATENATE("#metadata!",ADDRESS(INDEX($P$2:$P$1001,MATCH(ROWS($N$2:N827),$N$2:$N$1001,0),0),1)),INDEX($S$2:$S$1001,MATCH(ROWS($N$2:N827),$N$2:$N$1001,0),0)))</f>
        <v>0</v>
      </c>
      <c r="B827" s="4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4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4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4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4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4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4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4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4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OR(AND(IF(Metadata!C827="",FALSE,TRUE),OR(exact(Metadata!C827,"not applicable"),exact(Metadata!C827,"not collected"),exact(Metadata!C827,"not provided"),exact(Metadata!C827,"restricted access"))),IF(Metadata!C827="",FALSE,ISNUMBER(VALUE(Metadata!C827))))</f>
        <v>0</v>
      </c>
      <c r="W827">
        <f>AND(IF(Metadata!D827="",FALSE,TRUE),exact(Metadata!D827,"m"))</f>
        <v>0</v>
      </c>
      <c r="X827">
        <f>AND(IF(Metadata!E827="",FALSE,TRUE),OR(exact(Metadata!E827,"aerosol (non-saline)"),exact(Metadata!E827,"aerosol (saline)")))</f>
        <v>0</v>
      </c>
      <c r="Y827">
        <f>AND(IF(Metadata!F827="",FALSE,TRUE),exact(Metadata!F827,"air"))</f>
        <v>0</v>
      </c>
      <c r="Z827">
        <f>AND(IF(Metadata!G827="",FALSE,TRUE),exact(Metadata!G827,"air"))</f>
        <v>0</v>
      </c>
      <c r="AA827">
        <f>AND(IF(Metadata!H827="",FALSE,TRUE),exact(Metadata!H827,"air"))</f>
        <v>0</v>
      </c>
      <c r="AB827">
        <f>AND(IF(Metadata!I827="",FALSE,TRUE),exact(Metadata!I827,"air metagenome"))</f>
        <v>0</v>
      </c>
      <c r="AC827">
        <f>AND(IF(Metadata!J827="",FALSE,TRUE),exact(Metadata!J827,"655179"))</f>
        <v>0</v>
      </c>
    </row>
    <row r="828" spans="1:29">
      <c r="A828" s="5">
        <f>IF(B828=" "," ",HYPERLINK(CONCATENATE("#metadata!",ADDRESS(INDEX($P$2:$P$1001,MATCH(ROWS($N$2:N828),$N$2:$N$1001,0),0),1)),INDEX($S$2:$S$1001,MATCH(ROWS($N$2:N828),$N$2:$N$1001,0),0)))</f>
        <v>0</v>
      </c>
      <c r="B828" s="4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4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4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4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4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4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4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4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4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OR(AND(IF(Metadata!C828="",FALSE,TRUE),OR(exact(Metadata!C828,"not applicable"),exact(Metadata!C828,"not collected"),exact(Metadata!C828,"not provided"),exact(Metadata!C828,"restricted access"))),IF(Metadata!C828="",FALSE,ISNUMBER(VALUE(Metadata!C828))))</f>
        <v>0</v>
      </c>
      <c r="W828">
        <f>AND(IF(Metadata!D828="",FALSE,TRUE),exact(Metadata!D828,"m"))</f>
        <v>0</v>
      </c>
      <c r="X828">
        <f>AND(IF(Metadata!E828="",FALSE,TRUE),OR(exact(Metadata!E828,"aerosol (non-saline)"),exact(Metadata!E828,"aerosol (saline)")))</f>
        <v>0</v>
      </c>
      <c r="Y828">
        <f>AND(IF(Metadata!F828="",FALSE,TRUE),exact(Metadata!F828,"air"))</f>
        <v>0</v>
      </c>
      <c r="Z828">
        <f>AND(IF(Metadata!G828="",FALSE,TRUE),exact(Metadata!G828,"air"))</f>
        <v>0</v>
      </c>
      <c r="AA828">
        <f>AND(IF(Metadata!H828="",FALSE,TRUE),exact(Metadata!H828,"air"))</f>
        <v>0</v>
      </c>
      <c r="AB828">
        <f>AND(IF(Metadata!I828="",FALSE,TRUE),exact(Metadata!I828,"air metagenome"))</f>
        <v>0</v>
      </c>
      <c r="AC828">
        <f>AND(IF(Metadata!J828="",FALSE,TRUE),exact(Metadata!J828,"655179"))</f>
        <v>0</v>
      </c>
    </row>
    <row r="829" spans="1:29">
      <c r="A829" s="5">
        <f>IF(B829=" "," ",HYPERLINK(CONCATENATE("#metadata!",ADDRESS(INDEX($P$2:$P$1001,MATCH(ROWS($N$2:N829),$N$2:$N$1001,0),0),1)),INDEX($S$2:$S$1001,MATCH(ROWS($N$2:N829),$N$2:$N$1001,0),0)))</f>
        <v>0</v>
      </c>
      <c r="B829" s="4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4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4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4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4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4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4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4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4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OR(AND(IF(Metadata!C829="",FALSE,TRUE),OR(exact(Metadata!C829,"not applicable"),exact(Metadata!C829,"not collected"),exact(Metadata!C829,"not provided"),exact(Metadata!C829,"restricted access"))),IF(Metadata!C829="",FALSE,ISNUMBER(VALUE(Metadata!C829))))</f>
        <v>0</v>
      </c>
      <c r="W829">
        <f>AND(IF(Metadata!D829="",FALSE,TRUE),exact(Metadata!D829,"m"))</f>
        <v>0</v>
      </c>
      <c r="X829">
        <f>AND(IF(Metadata!E829="",FALSE,TRUE),OR(exact(Metadata!E829,"aerosol (non-saline)"),exact(Metadata!E829,"aerosol (saline)")))</f>
        <v>0</v>
      </c>
      <c r="Y829">
        <f>AND(IF(Metadata!F829="",FALSE,TRUE),exact(Metadata!F829,"air"))</f>
        <v>0</v>
      </c>
      <c r="Z829">
        <f>AND(IF(Metadata!G829="",FALSE,TRUE),exact(Metadata!G829,"air"))</f>
        <v>0</v>
      </c>
      <c r="AA829">
        <f>AND(IF(Metadata!H829="",FALSE,TRUE),exact(Metadata!H829,"air"))</f>
        <v>0</v>
      </c>
      <c r="AB829">
        <f>AND(IF(Metadata!I829="",FALSE,TRUE),exact(Metadata!I829,"air metagenome"))</f>
        <v>0</v>
      </c>
      <c r="AC829">
        <f>AND(IF(Metadata!J829="",FALSE,TRUE),exact(Metadata!J829,"655179"))</f>
        <v>0</v>
      </c>
    </row>
    <row r="830" spans="1:29">
      <c r="A830" s="5">
        <f>IF(B830=" "," ",HYPERLINK(CONCATENATE("#metadata!",ADDRESS(INDEX($P$2:$P$1001,MATCH(ROWS($N$2:N830),$N$2:$N$1001,0),0),1)),INDEX($S$2:$S$1001,MATCH(ROWS($N$2:N830),$N$2:$N$1001,0),0)))</f>
        <v>0</v>
      </c>
      <c r="B830" s="4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4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4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4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4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4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4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4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4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OR(AND(IF(Metadata!C830="",FALSE,TRUE),OR(exact(Metadata!C830,"not applicable"),exact(Metadata!C830,"not collected"),exact(Metadata!C830,"not provided"),exact(Metadata!C830,"restricted access"))),IF(Metadata!C830="",FALSE,ISNUMBER(VALUE(Metadata!C830))))</f>
        <v>0</v>
      </c>
      <c r="W830">
        <f>AND(IF(Metadata!D830="",FALSE,TRUE),exact(Metadata!D830,"m"))</f>
        <v>0</v>
      </c>
      <c r="X830">
        <f>AND(IF(Metadata!E830="",FALSE,TRUE),OR(exact(Metadata!E830,"aerosol (non-saline)"),exact(Metadata!E830,"aerosol (saline)")))</f>
        <v>0</v>
      </c>
      <c r="Y830">
        <f>AND(IF(Metadata!F830="",FALSE,TRUE),exact(Metadata!F830,"air"))</f>
        <v>0</v>
      </c>
      <c r="Z830">
        <f>AND(IF(Metadata!G830="",FALSE,TRUE),exact(Metadata!G830,"air"))</f>
        <v>0</v>
      </c>
      <c r="AA830">
        <f>AND(IF(Metadata!H830="",FALSE,TRUE),exact(Metadata!H830,"air"))</f>
        <v>0</v>
      </c>
      <c r="AB830">
        <f>AND(IF(Metadata!I830="",FALSE,TRUE),exact(Metadata!I830,"air metagenome"))</f>
        <v>0</v>
      </c>
      <c r="AC830">
        <f>AND(IF(Metadata!J830="",FALSE,TRUE),exact(Metadata!J830,"655179"))</f>
        <v>0</v>
      </c>
    </row>
    <row r="831" spans="1:29">
      <c r="A831" s="5">
        <f>IF(B831=" "," ",HYPERLINK(CONCATENATE("#metadata!",ADDRESS(INDEX($P$2:$P$1001,MATCH(ROWS($N$2:N831),$N$2:$N$1001,0),0),1)),INDEX($S$2:$S$1001,MATCH(ROWS($N$2:N831),$N$2:$N$1001,0),0)))</f>
        <v>0</v>
      </c>
      <c r="B831" s="4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4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4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4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4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4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4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4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4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OR(AND(IF(Metadata!C831="",FALSE,TRUE),OR(exact(Metadata!C831,"not applicable"),exact(Metadata!C831,"not collected"),exact(Metadata!C831,"not provided"),exact(Metadata!C831,"restricted access"))),IF(Metadata!C831="",FALSE,ISNUMBER(VALUE(Metadata!C831))))</f>
        <v>0</v>
      </c>
      <c r="W831">
        <f>AND(IF(Metadata!D831="",FALSE,TRUE),exact(Metadata!D831,"m"))</f>
        <v>0</v>
      </c>
      <c r="X831">
        <f>AND(IF(Metadata!E831="",FALSE,TRUE),OR(exact(Metadata!E831,"aerosol (non-saline)"),exact(Metadata!E831,"aerosol (saline)")))</f>
        <v>0</v>
      </c>
      <c r="Y831">
        <f>AND(IF(Metadata!F831="",FALSE,TRUE),exact(Metadata!F831,"air"))</f>
        <v>0</v>
      </c>
      <c r="Z831">
        <f>AND(IF(Metadata!G831="",FALSE,TRUE),exact(Metadata!G831,"air"))</f>
        <v>0</v>
      </c>
      <c r="AA831">
        <f>AND(IF(Metadata!H831="",FALSE,TRUE),exact(Metadata!H831,"air"))</f>
        <v>0</v>
      </c>
      <c r="AB831">
        <f>AND(IF(Metadata!I831="",FALSE,TRUE),exact(Metadata!I831,"air metagenome"))</f>
        <v>0</v>
      </c>
      <c r="AC831">
        <f>AND(IF(Metadata!J831="",FALSE,TRUE),exact(Metadata!J831,"655179"))</f>
        <v>0</v>
      </c>
    </row>
    <row r="832" spans="1:29">
      <c r="A832" s="5">
        <f>IF(B832=" "," ",HYPERLINK(CONCATENATE("#metadata!",ADDRESS(INDEX($P$2:$P$1001,MATCH(ROWS($N$2:N832),$N$2:$N$1001,0),0),1)),INDEX($S$2:$S$1001,MATCH(ROWS($N$2:N832),$N$2:$N$1001,0),0)))</f>
        <v>0</v>
      </c>
      <c r="B832" s="4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4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4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4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4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4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4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4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4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OR(AND(IF(Metadata!C832="",FALSE,TRUE),OR(exact(Metadata!C832,"not applicable"),exact(Metadata!C832,"not collected"),exact(Metadata!C832,"not provided"),exact(Metadata!C832,"restricted access"))),IF(Metadata!C832="",FALSE,ISNUMBER(VALUE(Metadata!C832))))</f>
        <v>0</v>
      </c>
      <c r="W832">
        <f>AND(IF(Metadata!D832="",FALSE,TRUE),exact(Metadata!D832,"m"))</f>
        <v>0</v>
      </c>
      <c r="X832">
        <f>AND(IF(Metadata!E832="",FALSE,TRUE),OR(exact(Metadata!E832,"aerosol (non-saline)"),exact(Metadata!E832,"aerosol (saline)")))</f>
        <v>0</v>
      </c>
      <c r="Y832">
        <f>AND(IF(Metadata!F832="",FALSE,TRUE),exact(Metadata!F832,"air"))</f>
        <v>0</v>
      </c>
      <c r="Z832">
        <f>AND(IF(Metadata!G832="",FALSE,TRUE),exact(Metadata!G832,"air"))</f>
        <v>0</v>
      </c>
      <c r="AA832">
        <f>AND(IF(Metadata!H832="",FALSE,TRUE),exact(Metadata!H832,"air"))</f>
        <v>0</v>
      </c>
      <c r="AB832">
        <f>AND(IF(Metadata!I832="",FALSE,TRUE),exact(Metadata!I832,"air metagenome"))</f>
        <v>0</v>
      </c>
      <c r="AC832">
        <f>AND(IF(Metadata!J832="",FALSE,TRUE),exact(Metadata!J832,"655179"))</f>
        <v>0</v>
      </c>
    </row>
    <row r="833" spans="1:29">
      <c r="A833" s="5">
        <f>IF(B833=" "," ",HYPERLINK(CONCATENATE("#metadata!",ADDRESS(INDEX($P$2:$P$1001,MATCH(ROWS($N$2:N833),$N$2:$N$1001,0),0),1)),INDEX($S$2:$S$1001,MATCH(ROWS($N$2:N833),$N$2:$N$1001,0),0)))</f>
        <v>0</v>
      </c>
      <c r="B833" s="4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4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4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4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4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4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4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4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4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OR(AND(IF(Metadata!C833="",FALSE,TRUE),OR(exact(Metadata!C833,"not applicable"),exact(Metadata!C833,"not collected"),exact(Metadata!C833,"not provided"),exact(Metadata!C833,"restricted access"))),IF(Metadata!C833="",FALSE,ISNUMBER(VALUE(Metadata!C833))))</f>
        <v>0</v>
      </c>
      <c r="W833">
        <f>AND(IF(Metadata!D833="",FALSE,TRUE),exact(Metadata!D833,"m"))</f>
        <v>0</v>
      </c>
      <c r="X833">
        <f>AND(IF(Metadata!E833="",FALSE,TRUE),OR(exact(Metadata!E833,"aerosol (non-saline)"),exact(Metadata!E833,"aerosol (saline)")))</f>
        <v>0</v>
      </c>
      <c r="Y833">
        <f>AND(IF(Metadata!F833="",FALSE,TRUE),exact(Metadata!F833,"air"))</f>
        <v>0</v>
      </c>
      <c r="Z833">
        <f>AND(IF(Metadata!G833="",FALSE,TRUE),exact(Metadata!G833,"air"))</f>
        <v>0</v>
      </c>
      <c r="AA833">
        <f>AND(IF(Metadata!H833="",FALSE,TRUE),exact(Metadata!H833,"air"))</f>
        <v>0</v>
      </c>
      <c r="AB833">
        <f>AND(IF(Metadata!I833="",FALSE,TRUE),exact(Metadata!I833,"air metagenome"))</f>
        <v>0</v>
      </c>
      <c r="AC833">
        <f>AND(IF(Metadata!J833="",FALSE,TRUE),exact(Metadata!J833,"655179"))</f>
        <v>0</v>
      </c>
    </row>
    <row r="834" spans="1:29">
      <c r="A834" s="5">
        <f>IF(B834=" "," ",HYPERLINK(CONCATENATE("#metadata!",ADDRESS(INDEX($P$2:$P$1001,MATCH(ROWS($N$2:N834),$N$2:$N$1001,0),0),1)),INDEX($S$2:$S$1001,MATCH(ROWS($N$2:N834),$N$2:$N$1001,0),0)))</f>
        <v>0</v>
      </c>
      <c r="B834" s="4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4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4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4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4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4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4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4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4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OR(AND(IF(Metadata!C834="",FALSE,TRUE),OR(exact(Metadata!C834,"not applicable"),exact(Metadata!C834,"not collected"),exact(Metadata!C834,"not provided"),exact(Metadata!C834,"restricted access"))),IF(Metadata!C834="",FALSE,ISNUMBER(VALUE(Metadata!C834))))</f>
        <v>0</v>
      </c>
      <c r="W834">
        <f>AND(IF(Metadata!D834="",FALSE,TRUE),exact(Metadata!D834,"m"))</f>
        <v>0</v>
      </c>
      <c r="X834">
        <f>AND(IF(Metadata!E834="",FALSE,TRUE),OR(exact(Metadata!E834,"aerosol (non-saline)"),exact(Metadata!E834,"aerosol (saline)")))</f>
        <v>0</v>
      </c>
      <c r="Y834">
        <f>AND(IF(Metadata!F834="",FALSE,TRUE),exact(Metadata!F834,"air"))</f>
        <v>0</v>
      </c>
      <c r="Z834">
        <f>AND(IF(Metadata!G834="",FALSE,TRUE),exact(Metadata!G834,"air"))</f>
        <v>0</v>
      </c>
      <c r="AA834">
        <f>AND(IF(Metadata!H834="",FALSE,TRUE),exact(Metadata!H834,"air"))</f>
        <v>0</v>
      </c>
      <c r="AB834">
        <f>AND(IF(Metadata!I834="",FALSE,TRUE),exact(Metadata!I834,"air metagenome"))</f>
        <v>0</v>
      </c>
      <c r="AC834">
        <f>AND(IF(Metadata!J834="",FALSE,TRUE),exact(Metadata!J834,"655179"))</f>
        <v>0</v>
      </c>
    </row>
    <row r="835" spans="1:29">
      <c r="A835" s="5">
        <f>IF(B835=" "," ",HYPERLINK(CONCATENATE("#metadata!",ADDRESS(INDEX($P$2:$P$1001,MATCH(ROWS($N$2:N835),$N$2:$N$1001,0),0),1)),INDEX($S$2:$S$1001,MATCH(ROWS($N$2:N835),$N$2:$N$1001,0),0)))</f>
        <v>0</v>
      </c>
      <c r="B835" s="4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4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4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4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4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4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4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4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4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OR(AND(IF(Metadata!C835="",FALSE,TRUE),OR(exact(Metadata!C835,"not applicable"),exact(Metadata!C835,"not collected"),exact(Metadata!C835,"not provided"),exact(Metadata!C835,"restricted access"))),IF(Metadata!C835="",FALSE,ISNUMBER(VALUE(Metadata!C835))))</f>
        <v>0</v>
      </c>
      <c r="W835">
        <f>AND(IF(Metadata!D835="",FALSE,TRUE),exact(Metadata!D835,"m"))</f>
        <v>0</v>
      </c>
      <c r="X835">
        <f>AND(IF(Metadata!E835="",FALSE,TRUE),OR(exact(Metadata!E835,"aerosol (non-saline)"),exact(Metadata!E835,"aerosol (saline)")))</f>
        <v>0</v>
      </c>
      <c r="Y835">
        <f>AND(IF(Metadata!F835="",FALSE,TRUE),exact(Metadata!F835,"air"))</f>
        <v>0</v>
      </c>
      <c r="Z835">
        <f>AND(IF(Metadata!G835="",FALSE,TRUE),exact(Metadata!G835,"air"))</f>
        <v>0</v>
      </c>
      <c r="AA835">
        <f>AND(IF(Metadata!H835="",FALSE,TRUE),exact(Metadata!H835,"air"))</f>
        <v>0</v>
      </c>
      <c r="AB835">
        <f>AND(IF(Metadata!I835="",FALSE,TRUE),exact(Metadata!I835,"air metagenome"))</f>
        <v>0</v>
      </c>
      <c r="AC835">
        <f>AND(IF(Metadata!J835="",FALSE,TRUE),exact(Metadata!J835,"655179"))</f>
        <v>0</v>
      </c>
    </row>
    <row r="836" spans="1:29">
      <c r="A836" s="5">
        <f>IF(B836=" "," ",HYPERLINK(CONCATENATE("#metadata!",ADDRESS(INDEX($P$2:$P$1001,MATCH(ROWS($N$2:N836),$N$2:$N$1001,0),0),1)),INDEX($S$2:$S$1001,MATCH(ROWS($N$2:N836),$N$2:$N$1001,0),0)))</f>
        <v>0</v>
      </c>
      <c r="B836" s="4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4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4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4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4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4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4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4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4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OR(AND(IF(Metadata!C836="",FALSE,TRUE),OR(exact(Metadata!C836,"not applicable"),exact(Metadata!C836,"not collected"),exact(Metadata!C836,"not provided"),exact(Metadata!C836,"restricted access"))),IF(Metadata!C836="",FALSE,ISNUMBER(VALUE(Metadata!C836))))</f>
        <v>0</v>
      </c>
      <c r="W836">
        <f>AND(IF(Metadata!D836="",FALSE,TRUE),exact(Metadata!D836,"m"))</f>
        <v>0</v>
      </c>
      <c r="X836">
        <f>AND(IF(Metadata!E836="",FALSE,TRUE),OR(exact(Metadata!E836,"aerosol (non-saline)"),exact(Metadata!E836,"aerosol (saline)")))</f>
        <v>0</v>
      </c>
      <c r="Y836">
        <f>AND(IF(Metadata!F836="",FALSE,TRUE),exact(Metadata!F836,"air"))</f>
        <v>0</v>
      </c>
      <c r="Z836">
        <f>AND(IF(Metadata!G836="",FALSE,TRUE),exact(Metadata!G836,"air"))</f>
        <v>0</v>
      </c>
      <c r="AA836">
        <f>AND(IF(Metadata!H836="",FALSE,TRUE),exact(Metadata!H836,"air"))</f>
        <v>0</v>
      </c>
      <c r="AB836">
        <f>AND(IF(Metadata!I836="",FALSE,TRUE),exact(Metadata!I836,"air metagenome"))</f>
        <v>0</v>
      </c>
      <c r="AC836">
        <f>AND(IF(Metadata!J836="",FALSE,TRUE),exact(Metadata!J836,"655179"))</f>
        <v>0</v>
      </c>
    </row>
    <row r="837" spans="1:29">
      <c r="A837" s="5">
        <f>IF(B837=" "," ",HYPERLINK(CONCATENATE("#metadata!",ADDRESS(INDEX($P$2:$P$1001,MATCH(ROWS($N$2:N837),$N$2:$N$1001,0),0),1)),INDEX($S$2:$S$1001,MATCH(ROWS($N$2:N837),$N$2:$N$1001,0),0)))</f>
        <v>0</v>
      </c>
      <c r="B837" s="4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4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4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4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4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4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4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4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4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OR(AND(IF(Metadata!C837="",FALSE,TRUE),OR(exact(Metadata!C837,"not applicable"),exact(Metadata!C837,"not collected"),exact(Metadata!C837,"not provided"),exact(Metadata!C837,"restricted access"))),IF(Metadata!C837="",FALSE,ISNUMBER(VALUE(Metadata!C837))))</f>
        <v>0</v>
      </c>
      <c r="W837">
        <f>AND(IF(Metadata!D837="",FALSE,TRUE),exact(Metadata!D837,"m"))</f>
        <v>0</v>
      </c>
      <c r="X837">
        <f>AND(IF(Metadata!E837="",FALSE,TRUE),OR(exact(Metadata!E837,"aerosol (non-saline)"),exact(Metadata!E837,"aerosol (saline)")))</f>
        <v>0</v>
      </c>
      <c r="Y837">
        <f>AND(IF(Metadata!F837="",FALSE,TRUE),exact(Metadata!F837,"air"))</f>
        <v>0</v>
      </c>
      <c r="Z837">
        <f>AND(IF(Metadata!G837="",FALSE,TRUE),exact(Metadata!G837,"air"))</f>
        <v>0</v>
      </c>
      <c r="AA837">
        <f>AND(IF(Metadata!H837="",FALSE,TRUE),exact(Metadata!H837,"air"))</f>
        <v>0</v>
      </c>
      <c r="AB837">
        <f>AND(IF(Metadata!I837="",FALSE,TRUE),exact(Metadata!I837,"air metagenome"))</f>
        <v>0</v>
      </c>
      <c r="AC837">
        <f>AND(IF(Metadata!J837="",FALSE,TRUE),exact(Metadata!J837,"655179"))</f>
        <v>0</v>
      </c>
    </row>
    <row r="838" spans="1:29">
      <c r="A838" s="5">
        <f>IF(B838=" "," ",HYPERLINK(CONCATENATE("#metadata!",ADDRESS(INDEX($P$2:$P$1001,MATCH(ROWS($N$2:N838),$N$2:$N$1001,0),0),1)),INDEX($S$2:$S$1001,MATCH(ROWS($N$2:N838),$N$2:$N$1001,0),0)))</f>
        <v>0</v>
      </c>
      <c r="B838" s="4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4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4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4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4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4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4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4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4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OR(AND(IF(Metadata!C838="",FALSE,TRUE),OR(exact(Metadata!C838,"not applicable"),exact(Metadata!C838,"not collected"),exact(Metadata!C838,"not provided"),exact(Metadata!C838,"restricted access"))),IF(Metadata!C838="",FALSE,ISNUMBER(VALUE(Metadata!C838))))</f>
        <v>0</v>
      </c>
      <c r="W838">
        <f>AND(IF(Metadata!D838="",FALSE,TRUE),exact(Metadata!D838,"m"))</f>
        <v>0</v>
      </c>
      <c r="X838">
        <f>AND(IF(Metadata!E838="",FALSE,TRUE),OR(exact(Metadata!E838,"aerosol (non-saline)"),exact(Metadata!E838,"aerosol (saline)")))</f>
        <v>0</v>
      </c>
      <c r="Y838">
        <f>AND(IF(Metadata!F838="",FALSE,TRUE),exact(Metadata!F838,"air"))</f>
        <v>0</v>
      </c>
      <c r="Z838">
        <f>AND(IF(Metadata!G838="",FALSE,TRUE),exact(Metadata!G838,"air"))</f>
        <v>0</v>
      </c>
      <c r="AA838">
        <f>AND(IF(Metadata!H838="",FALSE,TRUE),exact(Metadata!H838,"air"))</f>
        <v>0</v>
      </c>
      <c r="AB838">
        <f>AND(IF(Metadata!I838="",FALSE,TRUE),exact(Metadata!I838,"air metagenome"))</f>
        <v>0</v>
      </c>
      <c r="AC838">
        <f>AND(IF(Metadata!J838="",FALSE,TRUE),exact(Metadata!J838,"655179"))</f>
        <v>0</v>
      </c>
    </row>
    <row r="839" spans="1:29">
      <c r="A839" s="5">
        <f>IF(B839=" "," ",HYPERLINK(CONCATENATE("#metadata!",ADDRESS(INDEX($P$2:$P$1001,MATCH(ROWS($N$2:N839),$N$2:$N$1001,0),0),1)),INDEX($S$2:$S$1001,MATCH(ROWS($N$2:N839),$N$2:$N$1001,0),0)))</f>
        <v>0</v>
      </c>
      <c r="B839" s="4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4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4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4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4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4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4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4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4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OR(AND(IF(Metadata!C839="",FALSE,TRUE),OR(exact(Metadata!C839,"not applicable"),exact(Metadata!C839,"not collected"),exact(Metadata!C839,"not provided"),exact(Metadata!C839,"restricted access"))),IF(Metadata!C839="",FALSE,ISNUMBER(VALUE(Metadata!C839))))</f>
        <v>0</v>
      </c>
      <c r="W839">
        <f>AND(IF(Metadata!D839="",FALSE,TRUE),exact(Metadata!D839,"m"))</f>
        <v>0</v>
      </c>
      <c r="X839">
        <f>AND(IF(Metadata!E839="",FALSE,TRUE),OR(exact(Metadata!E839,"aerosol (non-saline)"),exact(Metadata!E839,"aerosol (saline)")))</f>
        <v>0</v>
      </c>
      <c r="Y839">
        <f>AND(IF(Metadata!F839="",FALSE,TRUE),exact(Metadata!F839,"air"))</f>
        <v>0</v>
      </c>
      <c r="Z839">
        <f>AND(IF(Metadata!G839="",FALSE,TRUE),exact(Metadata!G839,"air"))</f>
        <v>0</v>
      </c>
      <c r="AA839">
        <f>AND(IF(Metadata!H839="",FALSE,TRUE),exact(Metadata!H839,"air"))</f>
        <v>0</v>
      </c>
      <c r="AB839">
        <f>AND(IF(Metadata!I839="",FALSE,TRUE),exact(Metadata!I839,"air metagenome"))</f>
        <v>0</v>
      </c>
      <c r="AC839">
        <f>AND(IF(Metadata!J839="",FALSE,TRUE),exact(Metadata!J839,"655179"))</f>
        <v>0</v>
      </c>
    </row>
    <row r="840" spans="1:29">
      <c r="A840" s="5">
        <f>IF(B840=" "," ",HYPERLINK(CONCATENATE("#metadata!",ADDRESS(INDEX($P$2:$P$1001,MATCH(ROWS($N$2:N840),$N$2:$N$1001,0),0),1)),INDEX($S$2:$S$1001,MATCH(ROWS($N$2:N840),$N$2:$N$1001,0),0)))</f>
        <v>0</v>
      </c>
      <c r="B840" s="4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4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4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4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4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4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4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4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4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OR(AND(IF(Metadata!C840="",FALSE,TRUE),OR(exact(Metadata!C840,"not applicable"),exact(Metadata!C840,"not collected"),exact(Metadata!C840,"not provided"),exact(Metadata!C840,"restricted access"))),IF(Metadata!C840="",FALSE,ISNUMBER(VALUE(Metadata!C840))))</f>
        <v>0</v>
      </c>
      <c r="W840">
        <f>AND(IF(Metadata!D840="",FALSE,TRUE),exact(Metadata!D840,"m"))</f>
        <v>0</v>
      </c>
      <c r="X840">
        <f>AND(IF(Metadata!E840="",FALSE,TRUE),OR(exact(Metadata!E840,"aerosol (non-saline)"),exact(Metadata!E840,"aerosol (saline)")))</f>
        <v>0</v>
      </c>
      <c r="Y840">
        <f>AND(IF(Metadata!F840="",FALSE,TRUE),exact(Metadata!F840,"air"))</f>
        <v>0</v>
      </c>
      <c r="Z840">
        <f>AND(IF(Metadata!G840="",FALSE,TRUE),exact(Metadata!G840,"air"))</f>
        <v>0</v>
      </c>
      <c r="AA840">
        <f>AND(IF(Metadata!H840="",FALSE,TRUE),exact(Metadata!H840,"air"))</f>
        <v>0</v>
      </c>
      <c r="AB840">
        <f>AND(IF(Metadata!I840="",FALSE,TRUE),exact(Metadata!I840,"air metagenome"))</f>
        <v>0</v>
      </c>
      <c r="AC840">
        <f>AND(IF(Metadata!J840="",FALSE,TRUE),exact(Metadata!J840,"655179"))</f>
        <v>0</v>
      </c>
    </row>
    <row r="841" spans="1:29">
      <c r="A841" s="5">
        <f>IF(B841=" "," ",HYPERLINK(CONCATENATE("#metadata!",ADDRESS(INDEX($P$2:$P$1001,MATCH(ROWS($N$2:N841),$N$2:$N$1001,0),0),1)),INDEX($S$2:$S$1001,MATCH(ROWS($N$2:N841),$N$2:$N$1001,0),0)))</f>
        <v>0</v>
      </c>
      <c r="B841" s="4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4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4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4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4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4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4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4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4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OR(AND(IF(Metadata!C841="",FALSE,TRUE),OR(exact(Metadata!C841,"not applicable"),exact(Metadata!C841,"not collected"),exact(Metadata!C841,"not provided"),exact(Metadata!C841,"restricted access"))),IF(Metadata!C841="",FALSE,ISNUMBER(VALUE(Metadata!C841))))</f>
        <v>0</v>
      </c>
      <c r="W841">
        <f>AND(IF(Metadata!D841="",FALSE,TRUE),exact(Metadata!D841,"m"))</f>
        <v>0</v>
      </c>
      <c r="X841">
        <f>AND(IF(Metadata!E841="",FALSE,TRUE),OR(exact(Metadata!E841,"aerosol (non-saline)"),exact(Metadata!E841,"aerosol (saline)")))</f>
        <v>0</v>
      </c>
      <c r="Y841">
        <f>AND(IF(Metadata!F841="",FALSE,TRUE),exact(Metadata!F841,"air"))</f>
        <v>0</v>
      </c>
      <c r="Z841">
        <f>AND(IF(Metadata!G841="",FALSE,TRUE),exact(Metadata!G841,"air"))</f>
        <v>0</v>
      </c>
      <c r="AA841">
        <f>AND(IF(Metadata!H841="",FALSE,TRUE),exact(Metadata!H841,"air"))</f>
        <v>0</v>
      </c>
      <c r="AB841">
        <f>AND(IF(Metadata!I841="",FALSE,TRUE),exact(Metadata!I841,"air metagenome"))</f>
        <v>0</v>
      </c>
      <c r="AC841">
        <f>AND(IF(Metadata!J841="",FALSE,TRUE),exact(Metadata!J841,"655179"))</f>
        <v>0</v>
      </c>
    </row>
    <row r="842" spans="1:29">
      <c r="A842" s="5">
        <f>IF(B842=" "," ",HYPERLINK(CONCATENATE("#metadata!",ADDRESS(INDEX($P$2:$P$1001,MATCH(ROWS($N$2:N842),$N$2:$N$1001,0),0),1)),INDEX($S$2:$S$1001,MATCH(ROWS($N$2:N842),$N$2:$N$1001,0),0)))</f>
        <v>0</v>
      </c>
      <c r="B842" s="4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4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4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4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4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4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4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4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4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OR(AND(IF(Metadata!C842="",FALSE,TRUE),OR(exact(Metadata!C842,"not applicable"),exact(Metadata!C842,"not collected"),exact(Metadata!C842,"not provided"),exact(Metadata!C842,"restricted access"))),IF(Metadata!C842="",FALSE,ISNUMBER(VALUE(Metadata!C842))))</f>
        <v>0</v>
      </c>
      <c r="W842">
        <f>AND(IF(Metadata!D842="",FALSE,TRUE),exact(Metadata!D842,"m"))</f>
        <v>0</v>
      </c>
      <c r="X842">
        <f>AND(IF(Metadata!E842="",FALSE,TRUE),OR(exact(Metadata!E842,"aerosol (non-saline)"),exact(Metadata!E842,"aerosol (saline)")))</f>
        <v>0</v>
      </c>
      <c r="Y842">
        <f>AND(IF(Metadata!F842="",FALSE,TRUE),exact(Metadata!F842,"air"))</f>
        <v>0</v>
      </c>
      <c r="Z842">
        <f>AND(IF(Metadata!G842="",FALSE,TRUE),exact(Metadata!G842,"air"))</f>
        <v>0</v>
      </c>
      <c r="AA842">
        <f>AND(IF(Metadata!H842="",FALSE,TRUE),exact(Metadata!H842,"air"))</f>
        <v>0</v>
      </c>
      <c r="AB842">
        <f>AND(IF(Metadata!I842="",FALSE,TRUE),exact(Metadata!I842,"air metagenome"))</f>
        <v>0</v>
      </c>
      <c r="AC842">
        <f>AND(IF(Metadata!J842="",FALSE,TRUE),exact(Metadata!J842,"655179"))</f>
        <v>0</v>
      </c>
    </row>
    <row r="843" spans="1:29">
      <c r="A843" s="5">
        <f>IF(B843=" "," ",HYPERLINK(CONCATENATE("#metadata!",ADDRESS(INDEX($P$2:$P$1001,MATCH(ROWS($N$2:N843),$N$2:$N$1001,0),0),1)),INDEX($S$2:$S$1001,MATCH(ROWS($N$2:N843),$N$2:$N$1001,0),0)))</f>
        <v>0</v>
      </c>
      <c r="B843" s="4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4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4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4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4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4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4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4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4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OR(AND(IF(Metadata!C843="",FALSE,TRUE),OR(exact(Metadata!C843,"not applicable"),exact(Metadata!C843,"not collected"),exact(Metadata!C843,"not provided"),exact(Metadata!C843,"restricted access"))),IF(Metadata!C843="",FALSE,ISNUMBER(VALUE(Metadata!C843))))</f>
        <v>0</v>
      </c>
      <c r="W843">
        <f>AND(IF(Metadata!D843="",FALSE,TRUE),exact(Metadata!D843,"m"))</f>
        <v>0</v>
      </c>
      <c r="X843">
        <f>AND(IF(Metadata!E843="",FALSE,TRUE),OR(exact(Metadata!E843,"aerosol (non-saline)"),exact(Metadata!E843,"aerosol (saline)")))</f>
        <v>0</v>
      </c>
      <c r="Y843">
        <f>AND(IF(Metadata!F843="",FALSE,TRUE),exact(Metadata!F843,"air"))</f>
        <v>0</v>
      </c>
      <c r="Z843">
        <f>AND(IF(Metadata!G843="",FALSE,TRUE),exact(Metadata!G843,"air"))</f>
        <v>0</v>
      </c>
      <c r="AA843">
        <f>AND(IF(Metadata!H843="",FALSE,TRUE),exact(Metadata!H843,"air"))</f>
        <v>0</v>
      </c>
      <c r="AB843">
        <f>AND(IF(Metadata!I843="",FALSE,TRUE),exact(Metadata!I843,"air metagenome"))</f>
        <v>0</v>
      </c>
      <c r="AC843">
        <f>AND(IF(Metadata!J843="",FALSE,TRUE),exact(Metadata!J843,"655179"))</f>
        <v>0</v>
      </c>
    </row>
    <row r="844" spans="1:29">
      <c r="A844" s="5">
        <f>IF(B844=" "," ",HYPERLINK(CONCATENATE("#metadata!",ADDRESS(INDEX($P$2:$P$1001,MATCH(ROWS($N$2:N844),$N$2:$N$1001,0),0),1)),INDEX($S$2:$S$1001,MATCH(ROWS($N$2:N844),$N$2:$N$1001,0),0)))</f>
        <v>0</v>
      </c>
      <c r="B844" s="4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4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4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4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4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4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4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4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4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OR(AND(IF(Metadata!C844="",FALSE,TRUE),OR(exact(Metadata!C844,"not applicable"),exact(Metadata!C844,"not collected"),exact(Metadata!C844,"not provided"),exact(Metadata!C844,"restricted access"))),IF(Metadata!C844="",FALSE,ISNUMBER(VALUE(Metadata!C844))))</f>
        <v>0</v>
      </c>
      <c r="W844">
        <f>AND(IF(Metadata!D844="",FALSE,TRUE),exact(Metadata!D844,"m"))</f>
        <v>0</v>
      </c>
      <c r="X844">
        <f>AND(IF(Metadata!E844="",FALSE,TRUE),OR(exact(Metadata!E844,"aerosol (non-saline)"),exact(Metadata!E844,"aerosol (saline)")))</f>
        <v>0</v>
      </c>
      <c r="Y844">
        <f>AND(IF(Metadata!F844="",FALSE,TRUE),exact(Metadata!F844,"air"))</f>
        <v>0</v>
      </c>
      <c r="Z844">
        <f>AND(IF(Metadata!G844="",FALSE,TRUE),exact(Metadata!G844,"air"))</f>
        <v>0</v>
      </c>
      <c r="AA844">
        <f>AND(IF(Metadata!H844="",FALSE,TRUE),exact(Metadata!H844,"air"))</f>
        <v>0</v>
      </c>
      <c r="AB844">
        <f>AND(IF(Metadata!I844="",FALSE,TRUE),exact(Metadata!I844,"air metagenome"))</f>
        <v>0</v>
      </c>
      <c r="AC844">
        <f>AND(IF(Metadata!J844="",FALSE,TRUE),exact(Metadata!J844,"655179"))</f>
        <v>0</v>
      </c>
    </row>
    <row r="845" spans="1:29">
      <c r="A845" s="5">
        <f>IF(B845=" "," ",HYPERLINK(CONCATENATE("#metadata!",ADDRESS(INDEX($P$2:$P$1001,MATCH(ROWS($N$2:N845),$N$2:$N$1001,0),0),1)),INDEX($S$2:$S$1001,MATCH(ROWS($N$2:N845),$N$2:$N$1001,0),0)))</f>
        <v>0</v>
      </c>
      <c r="B845" s="4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4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4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4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4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4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4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4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4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OR(AND(IF(Metadata!C845="",FALSE,TRUE),OR(exact(Metadata!C845,"not applicable"),exact(Metadata!C845,"not collected"),exact(Metadata!C845,"not provided"),exact(Metadata!C845,"restricted access"))),IF(Metadata!C845="",FALSE,ISNUMBER(VALUE(Metadata!C845))))</f>
        <v>0</v>
      </c>
      <c r="W845">
        <f>AND(IF(Metadata!D845="",FALSE,TRUE),exact(Metadata!D845,"m"))</f>
        <v>0</v>
      </c>
      <c r="X845">
        <f>AND(IF(Metadata!E845="",FALSE,TRUE),OR(exact(Metadata!E845,"aerosol (non-saline)"),exact(Metadata!E845,"aerosol (saline)")))</f>
        <v>0</v>
      </c>
      <c r="Y845">
        <f>AND(IF(Metadata!F845="",FALSE,TRUE),exact(Metadata!F845,"air"))</f>
        <v>0</v>
      </c>
      <c r="Z845">
        <f>AND(IF(Metadata!G845="",FALSE,TRUE),exact(Metadata!G845,"air"))</f>
        <v>0</v>
      </c>
      <c r="AA845">
        <f>AND(IF(Metadata!H845="",FALSE,TRUE),exact(Metadata!H845,"air"))</f>
        <v>0</v>
      </c>
      <c r="AB845">
        <f>AND(IF(Metadata!I845="",FALSE,TRUE),exact(Metadata!I845,"air metagenome"))</f>
        <v>0</v>
      </c>
      <c r="AC845">
        <f>AND(IF(Metadata!J845="",FALSE,TRUE),exact(Metadata!J845,"655179"))</f>
        <v>0</v>
      </c>
    </row>
    <row r="846" spans="1:29">
      <c r="A846" s="5">
        <f>IF(B846=" "," ",HYPERLINK(CONCATENATE("#metadata!",ADDRESS(INDEX($P$2:$P$1001,MATCH(ROWS($N$2:N846),$N$2:$N$1001,0),0),1)),INDEX($S$2:$S$1001,MATCH(ROWS($N$2:N846),$N$2:$N$1001,0),0)))</f>
        <v>0</v>
      </c>
      <c r="B846" s="4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4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4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4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4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4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4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4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4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OR(AND(IF(Metadata!C846="",FALSE,TRUE),OR(exact(Metadata!C846,"not applicable"),exact(Metadata!C846,"not collected"),exact(Metadata!C846,"not provided"),exact(Metadata!C846,"restricted access"))),IF(Metadata!C846="",FALSE,ISNUMBER(VALUE(Metadata!C846))))</f>
        <v>0</v>
      </c>
      <c r="W846">
        <f>AND(IF(Metadata!D846="",FALSE,TRUE),exact(Metadata!D846,"m"))</f>
        <v>0</v>
      </c>
      <c r="X846">
        <f>AND(IF(Metadata!E846="",FALSE,TRUE),OR(exact(Metadata!E846,"aerosol (non-saline)"),exact(Metadata!E846,"aerosol (saline)")))</f>
        <v>0</v>
      </c>
      <c r="Y846">
        <f>AND(IF(Metadata!F846="",FALSE,TRUE),exact(Metadata!F846,"air"))</f>
        <v>0</v>
      </c>
      <c r="Z846">
        <f>AND(IF(Metadata!G846="",FALSE,TRUE),exact(Metadata!G846,"air"))</f>
        <v>0</v>
      </c>
      <c r="AA846">
        <f>AND(IF(Metadata!H846="",FALSE,TRUE),exact(Metadata!H846,"air"))</f>
        <v>0</v>
      </c>
      <c r="AB846">
        <f>AND(IF(Metadata!I846="",FALSE,TRUE),exact(Metadata!I846,"air metagenome"))</f>
        <v>0</v>
      </c>
      <c r="AC846">
        <f>AND(IF(Metadata!J846="",FALSE,TRUE),exact(Metadata!J846,"655179"))</f>
        <v>0</v>
      </c>
    </row>
    <row r="847" spans="1:29">
      <c r="A847" s="5">
        <f>IF(B847=" "," ",HYPERLINK(CONCATENATE("#metadata!",ADDRESS(INDEX($P$2:$P$1001,MATCH(ROWS($N$2:N847),$N$2:$N$1001,0),0),1)),INDEX($S$2:$S$1001,MATCH(ROWS($N$2:N847),$N$2:$N$1001,0),0)))</f>
        <v>0</v>
      </c>
      <c r="B847" s="4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4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4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4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4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4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4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4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4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OR(AND(IF(Metadata!C847="",FALSE,TRUE),OR(exact(Metadata!C847,"not applicable"),exact(Metadata!C847,"not collected"),exact(Metadata!C847,"not provided"),exact(Metadata!C847,"restricted access"))),IF(Metadata!C847="",FALSE,ISNUMBER(VALUE(Metadata!C847))))</f>
        <v>0</v>
      </c>
      <c r="W847">
        <f>AND(IF(Metadata!D847="",FALSE,TRUE),exact(Metadata!D847,"m"))</f>
        <v>0</v>
      </c>
      <c r="X847">
        <f>AND(IF(Metadata!E847="",FALSE,TRUE),OR(exact(Metadata!E847,"aerosol (non-saline)"),exact(Metadata!E847,"aerosol (saline)")))</f>
        <v>0</v>
      </c>
      <c r="Y847">
        <f>AND(IF(Metadata!F847="",FALSE,TRUE),exact(Metadata!F847,"air"))</f>
        <v>0</v>
      </c>
      <c r="Z847">
        <f>AND(IF(Metadata!G847="",FALSE,TRUE),exact(Metadata!G847,"air"))</f>
        <v>0</v>
      </c>
      <c r="AA847">
        <f>AND(IF(Metadata!H847="",FALSE,TRUE),exact(Metadata!H847,"air"))</f>
        <v>0</v>
      </c>
      <c r="AB847">
        <f>AND(IF(Metadata!I847="",FALSE,TRUE),exact(Metadata!I847,"air metagenome"))</f>
        <v>0</v>
      </c>
      <c r="AC847">
        <f>AND(IF(Metadata!J847="",FALSE,TRUE),exact(Metadata!J847,"655179"))</f>
        <v>0</v>
      </c>
    </row>
    <row r="848" spans="1:29">
      <c r="A848" s="5">
        <f>IF(B848=" "," ",HYPERLINK(CONCATENATE("#metadata!",ADDRESS(INDEX($P$2:$P$1001,MATCH(ROWS($N$2:N848),$N$2:$N$1001,0),0),1)),INDEX($S$2:$S$1001,MATCH(ROWS($N$2:N848),$N$2:$N$1001,0),0)))</f>
        <v>0</v>
      </c>
      <c r="B848" s="4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4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4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4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4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4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4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4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4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OR(AND(IF(Metadata!C848="",FALSE,TRUE),OR(exact(Metadata!C848,"not applicable"),exact(Metadata!C848,"not collected"),exact(Metadata!C848,"not provided"),exact(Metadata!C848,"restricted access"))),IF(Metadata!C848="",FALSE,ISNUMBER(VALUE(Metadata!C848))))</f>
        <v>0</v>
      </c>
      <c r="W848">
        <f>AND(IF(Metadata!D848="",FALSE,TRUE),exact(Metadata!D848,"m"))</f>
        <v>0</v>
      </c>
      <c r="X848">
        <f>AND(IF(Metadata!E848="",FALSE,TRUE),OR(exact(Metadata!E848,"aerosol (non-saline)"),exact(Metadata!E848,"aerosol (saline)")))</f>
        <v>0</v>
      </c>
      <c r="Y848">
        <f>AND(IF(Metadata!F848="",FALSE,TRUE),exact(Metadata!F848,"air"))</f>
        <v>0</v>
      </c>
      <c r="Z848">
        <f>AND(IF(Metadata!G848="",FALSE,TRUE),exact(Metadata!G848,"air"))</f>
        <v>0</v>
      </c>
      <c r="AA848">
        <f>AND(IF(Metadata!H848="",FALSE,TRUE),exact(Metadata!H848,"air"))</f>
        <v>0</v>
      </c>
      <c r="AB848">
        <f>AND(IF(Metadata!I848="",FALSE,TRUE),exact(Metadata!I848,"air metagenome"))</f>
        <v>0</v>
      </c>
      <c r="AC848">
        <f>AND(IF(Metadata!J848="",FALSE,TRUE),exact(Metadata!J848,"655179"))</f>
        <v>0</v>
      </c>
    </row>
    <row r="849" spans="1:29">
      <c r="A849" s="5">
        <f>IF(B849=" "," ",HYPERLINK(CONCATENATE("#metadata!",ADDRESS(INDEX($P$2:$P$1001,MATCH(ROWS($N$2:N849),$N$2:$N$1001,0),0),1)),INDEX($S$2:$S$1001,MATCH(ROWS($N$2:N849),$N$2:$N$1001,0),0)))</f>
        <v>0</v>
      </c>
      <c r="B849" s="4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4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4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4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4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4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4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4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4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OR(AND(IF(Metadata!C849="",FALSE,TRUE),OR(exact(Metadata!C849,"not applicable"),exact(Metadata!C849,"not collected"),exact(Metadata!C849,"not provided"),exact(Metadata!C849,"restricted access"))),IF(Metadata!C849="",FALSE,ISNUMBER(VALUE(Metadata!C849))))</f>
        <v>0</v>
      </c>
      <c r="W849">
        <f>AND(IF(Metadata!D849="",FALSE,TRUE),exact(Metadata!D849,"m"))</f>
        <v>0</v>
      </c>
      <c r="X849">
        <f>AND(IF(Metadata!E849="",FALSE,TRUE),OR(exact(Metadata!E849,"aerosol (non-saline)"),exact(Metadata!E849,"aerosol (saline)")))</f>
        <v>0</v>
      </c>
      <c r="Y849">
        <f>AND(IF(Metadata!F849="",FALSE,TRUE),exact(Metadata!F849,"air"))</f>
        <v>0</v>
      </c>
      <c r="Z849">
        <f>AND(IF(Metadata!G849="",FALSE,TRUE),exact(Metadata!G849,"air"))</f>
        <v>0</v>
      </c>
      <c r="AA849">
        <f>AND(IF(Metadata!H849="",FALSE,TRUE),exact(Metadata!H849,"air"))</f>
        <v>0</v>
      </c>
      <c r="AB849">
        <f>AND(IF(Metadata!I849="",FALSE,TRUE),exact(Metadata!I849,"air metagenome"))</f>
        <v>0</v>
      </c>
      <c r="AC849">
        <f>AND(IF(Metadata!J849="",FALSE,TRUE),exact(Metadata!J849,"655179"))</f>
        <v>0</v>
      </c>
    </row>
    <row r="850" spans="1:29">
      <c r="A850" s="5">
        <f>IF(B850=" "," ",HYPERLINK(CONCATENATE("#metadata!",ADDRESS(INDEX($P$2:$P$1001,MATCH(ROWS($N$2:N850),$N$2:$N$1001,0),0),1)),INDEX($S$2:$S$1001,MATCH(ROWS($N$2:N850),$N$2:$N$1001,0),0)))</f>
        <v>0</v>
      </c>
      <c r="B850" s="4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4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4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4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4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4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4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4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4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OR(AND(IF(Metadata!C850="",FALSE,TRUE),OR(exact(Metadata!C850,"not applicable"),exact(Metadata!C850,"not collected"),exact(Metadata!C850,"not provided"),exact(Metadata!C850,"restricted access"))),IF(Metadata!C850="",FALSE,ISNUMBER(VALUE(Metadata!C850))))</f>
        <v>0</v>
      </c>
      <c r="W850">
        <f>AND(IF(Metadata!D850="",FALSE,TRUE),exact(Metadata!D850,"m"))</f>
        <v>0</v>
      </c>
      <c r="X850">
        <f>AND(IF(Metadata!E850="",FALSE,TRUE),OR(exact(Metadata!E850,"aerosol (non-saline)"),exact(Metadata!E850,"aerosol (saline)")))</f>
        <v>0</v>
      </c>
      <c r="Y850">
        <f>AND(IF(Metadata!F850="",FALSE,TRUE),exact(Metadata!F850,"air"))</f>
        <v>0</v>
      </c>
      <c r="Z850">
        <f>AND(IF(Metadata!G850="",FALSE,TRUE),exact(Metadata!G850,"air"))</f>
        <v>0</v>
      </c>
      <c r="AA850">
        <f>AND(IF(Metadata!H850="",FALSE,TRUE),exact(Metadata!H850,"air"))</f>
        <v>0</v>
      </c>
      <c r="AB850">
        <f>AND(IF(Metadata!I850="",FALSE,TRUE),exact(Metadata!I850,"air metagenome"))</f>
        <v>0</v>
      </c>
      <c r="AC850">
        <f>AND(IF(Metadata!J850="",FALSE,TRUE),exact(Metadata!J850,"655179"))</f>
        <v>0</v>
      </c>
    </row>
    <row r="851" spans="1:29">
      <c r="A851" s="5">
        <f>IF(B851=" "," ",HYPERLINK(CONCATENATE("#metadata!",ADDRESS(INDEX($P$2:$P$1001,MATCH(ROWS($N$2:N851),$N$2:$N$1001,0),0),1)),INDEX($S$2:$S$1001,MATCH(ROWS($N$2:N851),$N$2:$N$1001,0),0)))</f>
        <v>0</v>
      </c>
      <c r="B851" s="4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4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4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4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4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4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4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4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4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OR(AND(IF(Metadata!C851="",FALSE,TRUE),OR(exact(Metadata!C851,"not applicable"),exact(Metadata!C851,"not collected"),exact(Metadata!C851,"not provided"),exact(Metadata!C851,"restricted access"))),IF(Metadata!C851="",FALSE,ISNUMBER(VALUE(Metadata!C851))))</f>
        <v>0</v>
      </c>
      <c r="W851">
        <f>AND(IF(Metadata!D851="",FALSE,TRUE),exact(Metadata!D851,"m"))</f>
        <v>0</v>
      </c>
      <c r="X851">
        <f>AND(IF(Metadata!E851="",FALSE,TRUE),OR(exact(Metadata!E851,"aerosol (non-saline)"),exact(Metadata!E851,"aerosol (saline)")))</f>
        <v>0</v>
      </c>
      <c r="Y851">
        <f>AND(IF(Metadata!F851="",FALSE,TRUE),exact(Metadata!F851,"air"))</f>
        <v>0</v>
      </c>
      <c r="Z851">
        <f>AND(IF(Metadata!G851="",FALSE,TRUE),exact(Metadata!G851,"air"))</f>
        <v>0</v>
      </c>
      <c r="AA851">
        <f>AND(IF(Metadata!H851="",FALSE,TRUE),exact(Metadata!H851,"air"))</f>
        <v>0</v>
      </c>
      <c r="AB851">
        <f>AND(IF(Metadata!I851="",FALSE,TRUE),exact(Metadata!I851,"air metagenome"))</f>
        <v>0</v>
      </c>
      <c r="AC851">
        <f>AND(IF(Metadata!J851="",FALSE,TRUE),exact(Metadata!J851,"655179"))</f>
        <v>0</v>
      </c>
    </row>
    <row r="852" spans="1:29">
      <c r="A852" s="5">
        <f>IF(B852=" "," ",HYPERLINK(CONCATENATE("#metadata!",ADDRESS(INDEX($P$2:$P$1001,MATCH(ROWS($N$2:N852),$N$2:$N$1001,0),0),1)),INDEX($S$2:$S$1001,MATCH(ROWS($N$2:N852),$N$2:$N$1001,0),0)))</f>
        <v>0</v>
      </c>
      <c r="B852" s="4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4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4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4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4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4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4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4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4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OR(AND(IF(Metadata!C852="",FALSE,TRUE),OR(exact(Metadata!C852,"not applicable"),exact(Metadata!C852,"not collected"),exact(Metadata!C852,"not provided"),exact(Metadata!C852,"restricted access"))),IF(Metadata!C852="",FALSE,ISNUMBER(VALUE(Metadata!C852))))</f>
        <v>0</v>
      </c>
      <c r="W852">
        <f>AND(IF(Metadata!D852="",FALSE,TRUE),exact(Metadata!D852,"m"))</f>
        <v>0</v>
      </c>
      <c r="X852">
        <f>AND(IF(Metadata!E852="",FALSE,TRUE),OR(exact(Metadata!E852,"aerosol (non-saline)"),exact(Metadata!E852,"aerosol (saline)")))</f>
        <v>0</v>
      </c>
      <c r="Y852">
        <f>AND(IF(Metadata!F852="",FALSE,TRUE),exact(Metadata!F852,"air"))</f>
        <v>0</v>
      </c>
      <c r="Z852">
        <f>AND(IF(Metadata!G852="",FALSE,TRUE),exact(Metadata!G852,"air"))</f>
        <v>0</v>
      </c>
      <c r="AA852">
        <f>AND(IF(Metadata!H852="",FALSE,TRUE),exact(Metadata!H852,"air"))</f>
        <v>0</v>
      </c>
      <c r="AB852">
        <f>AND(IF(Metadata!I852="",FALSE,TRUE),exact(Metadata!I852,"air metagenome"))</f>
        <v>0</v>
      </c>
      <c r="AC852">
        <f>AND(IF(Metadata!J852="",FALSE,TRUE),exact(Metadata!J852,"655179"))</f>
        <v>0</v>
      </c>
    </row>
    <row r="853" spans="1:29">
      <c r="A853" s="5">
        <f>IF(B853=" "," ",HYPERLINK(CONCATENATE("#metadata!",ADDRESS(INDEX($P$2:$P$1001,MATCH(ROWS($N$2:N853),$N$2:$N$1001,0),0),1)),INDEX($S$2:$S$1001,MATCH(ROWS($N$2:N853),$N$2:$N$1001,0),0)))</f>
        <v>0</v>
      </c>
      <c r="B853" s="4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4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4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4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4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4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4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4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4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OR(AND(IF(Metadata!C853="",FALSE,TRUE),OR(exact(Metadata!C853,"not applicable"),exact(Metadata!C853,"not collected"),exact(Metadata!C853,"not provided"),exact(Metadata!C853,"restricted access"))),IF(Metadata!C853="",FALSE,ISNUMBER(VALUE(Metadata!C853))))</f>
        <v>0</v>
      </c>
      <c r="W853">
        <f>AND(IF(Metadata!D853="",FALSE,TRUE),exact(Metadata!D853,"m"))</f>
        <v>0</v>
      </c>
      <c r="X853">
        <f>AND(IF(Metadata!E853="",FALSE,TRUE),OR(exact(Metadata!E853,"aerosol (non-saline)"),exact(Metadata!E853,"aerosol (saline)")))</f>
        <v>0</v>
      </c>
      <c r="Y853">
        <f>AND(IF(Metadata!F853="",FALSE,TRUE),exact(Metadata!F853,"air"))</f>
        <v>0</v>
      </c>
      <c r="Z853">
        <f>AND(IF(Metadata!G853="",FALSE,TRUE),exact(Metadata!G853,"air"))</f>
        <v>0</v>
      </c>
      <c r="AA853">
        <f>AND(IF(Metadata!H853="",FALSE,TRUE),exact(Metadata!H853,"air"))</f>
        <v>0</v>
      </c>
      <c r="AB853">
        <f>AND(IF(Metadata!I853="",FALSE,TRUE),exact(Metadata!I853,"air metagenome"))</f>
        <v>0</v>
      </c>
      <c r="AC853">
        <f>AND(IF(Metadata!J853="",FALSE,TRUE),exact(Metadata!J853,"655179"))</f>
        <v>0</v>
      </c>
    </row>
    <row r="854" spans="1:29">
      <c r="A854" s="5">
        <f>IF(B854=" "," ",HYPERLINK(CONCATENATE("#metadata!",ADDRESS(INDEX($P$2:$P$1001,MATCH(ROWS($N$2:N854),$N$2:$N$1001,0),0),1)),INDEX($S$2:$S$1001,MATCH(ROWS($N$2:N854),$N$2:$N$1001,0),0)))</f>
        <v>0</v>
      </c>
      <c r="B854" s="4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4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4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4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4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4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4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4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4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OR(AND(IF(Metadata!C854="",FALSE,TRUE),OR(exact(Metadata!C854,"not applicable"),exact(Metadata!C854,"not collected"),exact(Metadata!C854,"not provided"),exact(Metadata!C854,"restricted access"))),IF(Metadata!C854="",FALSE,ISNUMBER(VALUE(Metadata!C854))))</f>
        <v>0</v>
      </c>
      <c r="W854">
        <f>AND(IF(Metadata!D854="",FALSE,TRUE),exact(Metadata!D854,"m"))</f>
        <v>0</v>
      </c>
      <c r="X854">
        <f>AND(IF(Metadata!E854="",FALSE,TRUE),OR(exact(Metadata!E854,"aerosol (non-saline)"),exact(Metadata!E854,"aerosol (saline)")))</f>
        <v>0</v>
      </c>
      <c r="Y854">
        <f>AND(IF(Metadata!F854="",FALSE,TRUE),exact(Metadata!F854,"air"))</f>
        <v>0</v>
      </c>
      <c r="Z854">
        <f>AND(IF(Metadata!G854="",FALSE,TRUE),exact(Metadata!G854,"air"))</f>
        <v>0</v>
      </c>
      <c r="AA854">
        <f>AND(IF(Metadata!H854="",FALSE,TRUE),exact(Metadata!H854,"air"))</f>
        <v>0</v>
      </c>
      <c r="AB854">
        <f>AND(IF(Metadata!I854="",FALSE,TRUE),exact(Metadata!I854,"air metagenome"))</f>
        <v>0</v>
      </c>
      <c r="AC854">
        <f>AND(IF(Metadata!J854="",FALSE,TRUE),exact(Metadata!J854,"655179"))</f>
        <v>0</v>
      </c>
    </row>
    <row r="855" spans="1:29">
      <c r="A855" s="5">
        <f>IF(B855=" "," ",HYPERLINK(CONCATENATE("#metadata!",ADDRESS(INDEX($P$2:$P$1001,MATCH(ROWS($N$2:N855),$N$2:$N$1001,0),0),1)),INDEX($S$2:$S$1001,MATCH(ROWS($N$2:N855),$N$2:$N$1001,0),0)))</f>
        <v>0</v>
      </c>
      <c r="B855" s="4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4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4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4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4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4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4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4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4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OR(AND(IF(Metadata!C855="",FALSE,TRUE),OR(exact(Metadata!C855,"not applicable"),exact(Metadata!C855,"not collected"),exact(Metadata!C855,"not provided"),exact(Metadata!C855,"restricted access"))),IF(Metadata!C855="",FALSE,ISNUMBER(VALUE(Metadata!C855))))</f>
        <v>0</v>
      </c>
      <c r="W855">
        <f>AND(IF(Metadata!D855="",FALSE,TRUE),exact(Metadata!D855,"m"))</f>
        <v>0</v>
      </c>
      <c r="X855">
        <f>AND(IF(Metadata!E855="",FALSE,TRUE),OR(exact(Metadata!E855,"aerosol (non-saline)"),exact(Metadata!E855,"aerosol (saline)")))</f>
        <v>0</v>
      </c>
      <c r="Y855">
        <f>AND(IF(Metadata!F855="",FALSE,TRUE),exact(Metadata!F855,"air"))</f>
        <v>0</v>
      </c>
      <c r="Z855">
        <f>AND(IF(Metadata!G855="",FALSE,TRUE),exact(Metadata!G855,"air"))</f>
        <v>0</v>
      </c>
      <c r="AA855">
        <f>AND(IF(Metadata!H855="",FALSE,TRUE),exact(Metadata!H855,"air"))</f>
        <v>0</v>
      </c>
      <c r="AB855">
        <f>AND(IF(Metadata!I855="",FALSE,TRUE),exact(Metadata!I855,"air metagenome"))</f>
        <v>0</v>
      </c>
      <c r="AC855">
        <f>AND(IF(Metadata!J855="",FALSE,TRUE),exact(Metadata!J855,"655179"))</f>
        <v>0</v>
      </c>
    </row>
    <row r="856" spans="1:29">
      <c r="A856" s="5">
        <f>IF(B856=" "," ",HYPERLINK(CONCATENATE("#metadata!",ADDRESS(INDEX($P$2:$P$1001,MATCH(ROWS($N$2:N856),$N$2:$N$1001,0),0),1)),INDEX($S$2:$S$1001,MATCH(ROWS($N$2:N856),$N$2:$N$1001,0),0)))</f>
        <v>0</v>
      </c>
      <c r="B856" s="4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4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4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4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4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4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4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4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4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OR(AND(IF(Metadata!C856="",FALSE,TRUE),OR(exact(Metadata!C856,"not applicable"),exact(Metadata!C856,"not collected"),exact(Metadata!C856,"not provided"),exact(Metadata!C856,"restricted access"))),IF(Metadata!C856="",FALSE,ISNUMBER(VALUE(Metadata!C856))))</f>
        <v>0</v>
      </c>
      <c r="W856">
        <f>AND(IF(Metadata!D856="",FALSE,TRUE),exact(Metadata!D856,"m"))</f>
        <v>0</v>
      </c>
      <c r="X856">
        <f>AND(IF(Metadata!E856="",FALSE,TRUE),OR(exact(Metadata!E856,"aerosol (non-saline)"),exact(Metadata!E856,"aerosol (saline)")))</f>
        <v>0</v>
      </c>
      <c r="Y856">
        <f>AND(IF(Metadata!F856="",FALSE,TRUE),exact(Metadata!F856,"air"))</f>
        <v>0</v>
      </c>
      <c r="Z856">
        <f>AND(IF(Metadata!G856="",FALSE,TRUE),exact(Metadata!G856,"air"))</f>
        <v>0</v>
      </c>
      <c r="AA856">
        <f>AND(IF(Metadata!H856="",FALSE,TRUE),exact(Metadata!H856,"air"))</f>
        <v>0</v>
      </c>
      <c r="AB856">
        <f>AND(IF(Metadata!I856="",FALSE,TRUE),exact(Metadata!I856,"air metagenome"))</f>
        <v>0</v>
      </c>
      <c r="AC856">
        <f>AND(IF(Metadata!J856="",FALSE,TRUE),exact(Metadata!J856,"655179"))</f>
        <v>0</v>
      </c>
    </row>
    <row r="857" spans="1:29">
      <c r="A857" s="5">
        <f>IF(B857=" "," ",HYPERLINK(CONCATENATE("#metadata!",ADDRESS(INDEX($P$2:$P$1001,MATCH(ROWS($N$2:N857),$N$2:$N$1001,0),0),1)),INDEX($S$2:$S$1001,MATCH(ROWS($N$2:N857),$N$2:$N$1001,0),0)))</f>
        <v>0</v>
      </c>
      <c r="B857" s="4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4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4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4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4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4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4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4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4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OR(AND(IF(Metadata!C857="",FALSE,TRUE),OR(exact(Metadata!C857,"not applicable"),exact(Metadata!C857,"not collected"),exact(Metadata!C857,"not provided"),exact(Metadata!C857,"restricted access"))),IF(Metadata!C857="",FALSE,ISNUMBER(VALUE(Metadata!C857))))</f>
        <v>0</v>
      </c>
      <c r="W857">
        <f>AND(IF(Metadata!D857="",FALSE,TRUE),exact(Metadata!D857,"m"))</f>
        <v>0</v>
      </c>
      <c r="X857">
        <f>AND(IF(Metadata!E857="",FALSE,TRUE),OR(exact(Metadata!E857,"aerosol (non-saline)"),exact(Metadata!E857,"aerosol (saline)")))</f>
        <v>0</v>
      </c>
      <c r="Y857">
        <f>AND(IF(Metadata!F857="",FALSE,TRUE),exact(Metadata!F857,"air"))</f>
        <v>0</v>
      </c>
      <c r="Z857">
        <f>AND(IF(Metadata!G857="",FALSE,TRUE),exact(Metadata!G857,"air"))</f>
        <v>0</v>
      </c>
      <c r="AA857">
        <f>AND(IF(Metadata!H857="",FALSE,TRUE),exact(Metadata!H857,"air"))</f>
        <v>0</v>
      </c>
      <c r="AB857">
        <f>AND(IF(Metadata!I857="",FALSE,TRUE),exact(Metadata!I857,"air metagenome"))</f>
        <v>0</v>
      </c>
      <c r="AC857">
        <f>AND(IF(Metadata!J857="",FALSE,TRUE),exact(Metadata!J857,"655179"))</f>
        <v>0</v>
      </c>
    </row>
    <row r="858" spans="1:29">
      <c r="A858" s="5">
        <f>IF(B858=" "," ",HYPERLINK(CONCATENATE("#metadata!",ADDRESS(INDEX($P$2:$P$1001,MATCH(ROWS($N$2:N858),$N$2:$N$1001,0),0),1)),INDEX($S$2:$S$1001,MATCH(ROWS($N$2:N858),$N$2:$N$1001,0),0)))</f>
        <v>0</v>
      </c>
      <c r="B858" s="4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4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4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4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4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4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4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4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4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OR(AND(IF(Metadata!C858="",FALSE,TRUE),OR(exact(Metadata!C858,"not applicable"),exact(Metadata!C858,"not collected"),exact(Metadata!C858,"not provided"),exact(Metadata!C858,"restricted access"))),IF(Metadata!C858="",FALSE,ISNUMBER(VALUE(Metadata!C858))))</f>
        <v>0</v>
      </c>
      <c r="W858">
        <f>AND(IF(Metadata!D858="",FALSE,TRUE),exact(Metadata!D858,"m"))</f>
        <v>0</v>
      </c>
      <c r="X858">
        <f>AND(IF(Metadata!E858="",FALSE,TRUE),OR(exact(Metadata!E858,"aerosol (non-saline)"),exact(Metadata!E858,"aerosol (saline)")))</f>
        <v>0</v>
      </c>
      <c r="Y858">
        <f>AND(IF(Metadata!F858="",FALSE,TRUE),exact(Metadata!F858,"air"))</f>
        <v>0</v>
      </c>
      <c r="Z858">
        <f>AND(IF(Metadata!G858="",FALSE,TRUE),exact(Metadata!G858,"air"))</f>
        <v>0</v>
      </c>
      <c r="AA858">
        <f>AND(IF(Metadata!H858="",FALSE,TRUE),exact(Metadata!H858,"air"))</f>
        <v>0</v>
      </c>
      <c r="AB858">
        <f>AND(IF(Metadata!I858="",FALSE,TRUE),exact(Metadata!I858,"air metagenome"))</f>
        <v>0</v>
      </c>
      <c r="AC858">
        <f>AND(IF(Metadata!J858="",FALSE,TRUE),exact(Metadata!J858,"655179"))</f>
        <v>0</v>
      </c>
    </row>
    <row r="859" spans="1:29">
      <c r="A859" s="5">
        <f>IF(B859=" "," ",HYPERLINK(CONCATENATE("#metadata!",ADDRESS(INDEX($P$2:$P$1001,MATCH(ROWS($N$2:N859),$N$2:$N$1001,0),0),1)),INDEX($S$2:$S$1001,MATCH(ROWS($N$2:N859),$N$2:$N$1001,0),0)))</f>
        <v>0</v>
      </c>
      <c r="B859" s="4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4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4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4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4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4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4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4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OR(AND(IF(Metadata!C859="",FALSE,TRUE),OR(exact(Metadata!C859,"not applicable"),exact(Metadata!C859,"not collected"),exact(Metadata!C859,"not provided"),exact(Metadata!C859,"restricted access"))),IF(Metadata!C859="",FALSE,ISNUMBER(VALUE(Metadata!C859))))</f>
        <v>0</v>
      </c>
      <c r="W859">
        <f>AND(IF(Metadata!D859="",FALSE,TRUE),exact(Metadata!D859,"m"))</f>
        <v>0</v>
      </c>
      <c r="X859">
        <f>AND(IF(Metadata!E859="",FALSE,TRUE),OR(exact(Metadata!E859,"aerosol (non-saline)"),exact(Metadata!E859,"aerosol (saline)")))</f>
        <v>0</v>
      </c>
      <c r="Y859">
        <f>AND(IF(Metadata!F859="",FALSE,TRUE),exact(Metadata!F859,"air"))</f>
        <v>0</v>
      </c>
      <c r="Z859">
        <f>AND(IF(Metadata!G859="",FALSE,TRUE),exact(Metadata!G859,"air"))</f>
        <v>0</v>
      </c>
      <c r="AA859">
        <f>AND(IF(Metadata!H859="",FALSE,TRUE),exact(Metadata!H859,"air"))</f>
        <v>0</v>
      </c>
      <c r="AB859">
        <f>AND(IF(Metadata!I859="",FALSE,TRUE),exact(Metadata!I859,"air metagenome"))</f>
        <v>0</v>
      </c>
      <c r="AC859">
        <f>AND(IF(Metadata!J859="",FALSE,TRUE),exact(Metadata!J859,"655179"))</f>
        <v>0</v>
      </c>
    </row>
    <row r="860" spans="1:29">
      <c r="A860" s="5">
        <f>IF(B860=" "," ",HYPERLINK(CONCATENATE("#metadata!",ADDRESS(INDEX($P$2:$P$1001,MATCH(ROWS($N$2:N860),$N$2:$N$1001,0),0),1)),INDEX($S$2:$S$1001,MATCH(ROWS($N$2:N860),$N$2:$N$1001,0),0)))</f>
        <v>0</v>
      </c>
      <c r="B860" s="4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4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4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4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4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4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4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4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4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OR(AND(IF(Metadata!C860="",FALSE,TRUE),OR(exact(Metadata!C860,"not applicable"),exact(Metadata!C860,"not collected"),exact(Metadata!C860,"not provided"),exact(Metadata!C860,"restricted access"))),IF(Metadata!C860="",FALSE,ISNUMBER(VALUE(Metadata!C860))))</f>
        <v>0</v>
      </c>
      <c r="W860">
        <f>AND(IF(Metadata!D860="",FALSE,TRUE),exact(Metadata!D860,"m"))</f>
        <v>0</v>
      </c>
      <c r="X860">
        <f>AND(IF(Metadata!E860="",FALSE,TRUE),OR(exact(Metadata!E860,"aerosol (non-saline)"),exact(Metadata!E860,"aerosol (saline)")))</f>
        <v>0</v>
      </c>
      <c r="Y860">
        <f>AND(IF(Metadata!F860="",FALSE,TRUE),exact(Metadata!F860,"air"))</f>
        <v>0</v>
      </c>
      <c r="Z860">
        <f>AND(IF(Metadata!G860="",FALSE,TRUE),exact(Metadata!G860,"air"))</f>
        <v>0</v>
      </c>
      <c r="AA860">
        <f>AND(IF(Metadata!H860="",FALSE,TRUE),exact(Metadata!H860,"air"))</f>
        <v>0</v>
      </c>
      <c r="AB860">
        <f>AND(IF(Metadata!I860="",FALSE,TRUE),exact(Metadata!I860,"air metagenome"))</f>
        <v>0</v>
      </c>
      <c r="AC860">
        <f>AND(IF(Metadata!J860="",FALSE,TRUE),exact(Metadata!J860,"655179"))</f>
        <v>0</v>
      </c>
    </row>
    <row r="861" spans="1:29">
      <c r="A861" s="5">
        <f>IF(B861=" "," ",HYPERLINK(CONCATENATE("#metadata!",ADDRESS(INDEX($P$2:$P$1001,MATCH(ROWS($N$2:N861),$N$2:$N$1001,0),0),1)),INDEX($S$2:$S$1001,MATCH(ROWS($N$2:N861),$N$2:$N$1001,0),0)))</f>
        <v>0</v>
      </c>
      <c r="B861" s="4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4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4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4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4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4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4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4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4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OR(AND(IF(Metadata!C861="",FALSE,TRUE),OR(exact(Metadata!C861,"not applicable"),exact(Metadata!C861,"not collected"),exact(Metadata!C861,"not provided"),exact(Metadata!C861,"restricted access"))),IF(Metadata!C861="",FALSE,ISNUMBER(VALUE(Metadata!C861))))</f>
        <v>0</v>
      </c>
      <c r="W861">
        <f>AND(IF(Metadata!D861="",FALSE,TRUE),exact(Metadata!D861,"m"))</f>
        <v>0</v>
      </c>
      <c r="X861">
        <f>AND(IF(Metadata!E861="",FALSE,TRUE),OR(exact(Metadata!E861,"aerosol (non-saline)"),exact(Metadata!E861,"aerosol (saline)")))</f>
        <v>0</v>
      </c>
      <c r="Y861">
        <f>AND(IF(Metadata!F861="",FALSE,TRUE),exact(Metadata!F861,"air"))</f>
        <v>0</v>
      </c>
      <c r="Z861">
        <f>AND(IF(Metadata!G861="",FALSE,TRUE),exact(Metadata!G861,"air"))</f>
        <v>0</v>
      </c>
      <c r="AA861">
        <f>AND(IF(Metadata!H861="",FALSE,TRUE),exact(Metadata!H861,"air"))</f>
        <v>0</v>
      </c>
      <c r="AB861">
        <f>AND(IF(Metadata!I861="",FALSE,TRUE),exact(Metadata!I861,"air metagenome"))</f>
        <v>0</v>
      </c>
      <c r="AC861">
        <f>AND(IF(Metadata!J861="",FALSE,TRUE),exact(Metadata!J861,"655179"))</f>
        <v>0</v>
      </c>
    </row>
    <row r="862" spans="1:29">
      <c r="A862" s="5">
        <f>IF(B862=" "," ",HYPERLINK(CONCATENATE("#metadata!",ADDRESS(INDEX($P$2:$P$1001,MATCH(ROWS($N$2:N862),$N$2:$N$1001,0),0),1)),INDEX($S$2:$S$1001,MATCH(ROWS($N$2:N862),$N$2:$N$1001,0),0)))</f>
        <v>0</v>
      </c>
      <c r="B862" s="4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4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4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4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4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4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4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4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4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OR(AND(IF(Metadata!C862="",FALSE,TRUE),OR(exact(Metadata!C862,"not applicable"),exact(Metadata!C862,"not collected"),exact(Metadata!C862,"not provided"),exact(Metadata!C862,"restricted access"))),IF(Metadata!C862="",FALSE,ISNUMBER(VALUE(Metadata!C862))))</f>
        <v>0</v>
      </c>
      <c r="W862">
        <f>AND(IF(Metadata!D862="",FALSE,TRUE),exact(Metadata!D862,"m"))</f>
        <v>0</v>
      </c>
      <c r="X862">
        <f>AND(IF(Metadata!E862="",FALSE,TRUE),OR(exact(Metadata!E862,"aerosol (non-saline)"),exact(Metadata!E862,"aerosol (saline)")))</f>
        <v>0</v>
      </c>
      <c r="Y862">
        <f>AND(IF(Metadata!F862="",FALSE,TRUE),exact(Metadata!F862,"air"))</f>
        <v>0</v>
      </c>
      <c r="Z862">
        <f>AND(IF(Metadata!G862="",FALSE,TRUE),exact(Metadata!G862,"air"))</f>
        <v>0</v>
      </c>
      <c r="AA862">
        <f>AND(IF(Metadata!H862="",FALSE,TRUE),exact(Metadata!H862,"air"))</f>
        <v>0</v>
      </c>
      <c r="AB862">
        <f>AND(IF(Metadata!I862="",FALSE,TRUE),exact(Metadata!I862,"air metagenome"))</f>
        <v>0</v>
      </c>
      <c r="AC862">
        <f>AND(IF(Metadata!J862="",FALSE,TRUE),exact(Metadata!J862,"655179"))</f>
        <v>0</v>
      </c>
    </row>
    <row r="863" spans="1:29">
      <c r="A863" s="5">
        <f>IF(B863=" "," ",HYPERLINK(CONCATENATE("#metadata!",ADDRESS(INDEX($P$2:$P$1001,MATCH(ROWS($N$2:N863),$N$2:$N$1001,0),0),1)),INDEX($S$2:$S$1001,MATCH(ROWS($N$2:N863),$N$2:$N$1001,0),0)))</f>
        <v>0</v>
      </c>
      <c r="B863" s="4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4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4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4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4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4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4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4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4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OR(AND(IF(Metadata!C863="",FALSE,TRUE),OR(exact(Metadata!C863,"not applicable"),exact(Metadata!C863,"not collected"),exact(Metadata!C863,"not provided"),exact(Metadata!C863,"restricted access"))),IF(Metadata!C863="",FALSE,ISNUMBER(VALUE(Metadata!C863))))</f>
        <v>0</v>
      </c>
      <c r="W863">
        <f>AND(IF(Metadata!D863="",FALSE,TRUE),exact(Metadata!D863,"m"))</f>
        <v>0</v>
      </c>
      <c r="X863">
        <f>AND(IF(Metadata!E863="",FALSE,TRUE),OR(exact(Metadata!E863,"aerosol (non-saline)"),exact(Metadata!E863,"aerosol (saline)")))</f>
        <v>0</v>
      </c>
      <c r="Y863">
        <f>AND(IF(Metadata!F863="",FALSE,TRUE),exact(Metadata!F863,"air"))</f>
        <v>0</v>
      </c>
      <c r="Z863">
        <f>AND(IF(Metadata!G863="",FALSE,TRUE),exact(Metadata!G863,"air"))</f>
        <v>0</v>
      </c>
      <c r="AA863">
        <f>AND(IF(Metadata!H863="",FALSE,TRUE),exact(Metadata!H863,"air"))</f>
        <v>0</v>
      </c>
      <c r="AB863">
        <f>AND(IF(Metadata!I863="",FALSE,TRUE),exact(Metadata!I863,"air metagenome"))</f>
        <v>0</v>
      </c>
      <c r="AC863">
        <f>AND(IF(Metadata!J863="",FALSE,TRUE),exact(Metadata!J863,"655179"))</f>
        <v>0</v>
      </c>
    </row>
    <row r="864" spans="1:29">
      <c r="A864" s="5">
        <f>IF(B864=" "," ",HYPERLINK(CONCATENATE("#metadata!",ADDRESS(INDEX($P$2:$P$1001,MATCH(ROWS($N$2:N864),$N$2:$N$1001,0),0),1)),INDEX($S$2:$S$1001,MATCH(ROWS($N$2:N864),$N$2:$N$1001,0),0)))</f>
        <v>0</v>
      </c>
      <c r="B864" s="4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4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4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4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4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4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4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4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4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OR(AND(IF(Metadata!C864="",FALSE,TRUE),OR(exact(Metadata!C864,"not applicable"),exact(Metadata!C864,"not collected"),exact(Metadata!C864,"not provided"),exact(Metadata!C864,"restricted access"))),IF(Metadata!C864="",FALSE,ISNUMBER(VALUE(Metadata!C864))))</f>
        <v>0</v>
      </c>
      <c r="W864">
        <f>AND(IF(Metadata!D864="",FALSE,TRUE),exact(Metadata!D864,"m"))</f>
        <v>0</v>
      </c>
      <c r="X864">
        <f>AND(IF(Metadata!E864="",FALSE,TRUE),OR(exact(Metadata!E864,"aerosol (non-saline)"),exact(Metadata!E864,"aerosol (saline)")))</f>
        <v>0</v>
      </c>
      <c r="Y864">
        <f>AND(IF(Metadata!F864="",FALSE,TRUE),exact(Metadata!F864,"air"))</f>
        <v>0</v>
      </c>
      <c r="Z864">
        <f>AND(IF(Metadata!G864="",FALSE,TRUE),exact(Metadata!G864,"air"))</f>
        <v>0</v>
      </c>
      <c r="AA864">
        <f>AND(IF(Metadata!H864="",FALSE,TRUE),exact(Metadata!H864,"air"))</f>
        <v>0</v>
      </c>
      <c r="AB864">
        <f>AND(IF(Metadata!I864="",FALSE,TRUE),exact(Metadata!I864,"air metagenome"))</f>
        <v>0</v>
      </c>
      <c r="AC864">
        <f>AND(IF(Metadata!J864="",FALSE,TRUE),exact(Metadata!J864,"655179"))</f>
        <v>0</v>
      </c>
    </row>
    <row r="865" spans="1:29">
      <c r="A865" s="5">
        <f>IF(B865=" "," ",HYPERLINK(CONCATENATE("#metadata!",ADDRESS(INDEX($P$2:$P$1001,MATCH(ROWS($N$2:N865),$N$2:$N$1001,0),0),1)),INDEX($S$2:$S$1001,MATCH(ROWS($N$2:N865),$N$2:$N$1001,0),0)))</f>
        <v>0</v>
      </c>
      <c r="B865" s="4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4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4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4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4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4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4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4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4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OR(AND(IF(Metadata!C865="",FALSE,TRUE),OR(exact(Metadata!C865,"not applicable"),exact(Metadata!C865,"not collected"),exact(Metadata!C865,"not provided"),exact(Metadata!C865,"restricted access"))),IF(Metadata!C865="",FALSE,ISNUMBER(VALUE(Metadata!C865))))</f>
        <v>0</v>
      </c>
      <c r="W865">
        <f>AND(IF(Metadata!D865="",FALSE,TRUE),exact(Metadata!D865,"m"))</f>
        <v>0</v>
      </c>
      <c r="X865">
        <f>AND(IF(Metadata!E865="",FALSE,TRUE),OR(exact(Metadata!E865,"aerosol (non-saline)"),exact(Metadata!E865,"aerosol (saline)")))</f>
        <v>0</v>
      </c>
      <c r="Y865">
        <f>AND(IF(Metadata!F865="",FALSE,TRUE),exact(Metadata!F865,"air"))</f>
        <v>0</v>
      </c>
      <c r="Z865">
        <f>AND(IF(Metadata!G865="",FALSE,TRUE),exact(Metadata!G865,"air"))</f>
        <v>0</v>
      </c>
      <c r="AA865">
        <f>AND(IF(Metadata!H865="",FALSE,TRUE),exact(Metadata!H865,"air"))</f>
        <v>0</v>
      </c>
      <c r="AB865">
        <f>AND(IF(Metadata!I865="",FALSE,TRUE),exact(Metadata!I865,"air metagenome"))</f>
        <v>0</v>
      </c>
      <c r="AC865">
        <f>AND(IF(Metadata!J865="",FALSE,TRUE),exact(Metadata!J865,"655179"))</f>
        <v>0</v>
      </c>
    </row>
    <row r="866" spans="1:29">
      <c r="A866" s="5">
        <f>IF(B866=" "," ",HYPERLINK(CONCATENATE("#metadata!",ADDRESS(INDEX($P$2:$P$1001,MATCH(ROWS($N$2:N866),$N$2:$N$1001,0),0),1)),INDEX($S$2:$S$1001,MATCH(ROWS($N$2:N866),$N$2:$N$1001,0),0)))</f>
        <v>0</v>
      </c>
      <c r="B866" s="4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4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4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4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4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4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4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4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4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OR(AND(IF(Metadata!C866="",FALSE,TRUE),OR(exact(Metadata!C866,"not applicable"),exact(Metadata!C866,"not collected"),exact(Metadata!C866,"not provided"),exact(Metadata!C866,"restricted access"))),IF(Metadata!C866="",FALSE,ISNUMBER(VALUE(Metadata!C866))))</f>
        <v>0</v>
      </c>
      <c r="W866">
        <f>AND(IF(Metadata!D866="",FALSE,TRUE),exact(Metadata!D866,"m"))</f>
        <v>0</v>
      </c>
      <c r="X866">
        <f>AND(IF(Metadata!E866="",FALSE,TRUE),OR(exact(Metadata!E866,"aerosol (non-saline)"),exact(Metadata!E866,"aerosol (saline)")))</f>
        <v>0</v>
      </c>
      <c r="Y866">
        <f>AND(IF(Metadata!F866="",FALSE,TRUE),exact(Metadata!F866,"air"))</f>
        <v>0</v>
      </c>
      <c r="Z866">
        <f>AND(IF(Metadata!G866="",FALSE,TRUE),exact(Metadata!G866,"air"))</f>
        <v>0</v>
      </c>
      <c r="AA866">
        <f>AND(IF(Metadata!H866="",FALSE,TRUE),exact(Metadata!H866,"air"))</f>
        <v>0</v>
      </c>
      <c r="AB866">
        <f>AND(IF(Metadata!I866="",FALSE,TRUE),exact(Metadata!I866,"air metagenome"))</f>
        <v>0</v>
      </c>
      <c r="AC866">
        <f>AND(IF(Metadata!J866="",FALSE,TRUE),exact(Metadata!J866,"655179"))</f>
        <v>0</v>
      </c>
    </row>
    <row r="867" spans="1:29">
      <c r="A867" s="5">
        <f>IF(B867=" "," ",HYPERLINK(CONCATENATE("#metadata!",ADDRESS(INDEX($P$2:$P$1001,MATCH(ROWS($N$2:N867),$N$2:$N$1001,0),0),1)),INDEX($S$2:$S$1001,MATCH(ROWS($N$2:N867),$N$2:$N$1001,0),0)))</f>
        <v>0</v>
      </c>
      <c r="B867" s="4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4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4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4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4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4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4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4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4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OR(AND(IF(Metadata!C867="",FALSE,TRUE),OR(exact(Metadata!C867,"not applicable"),exact(Metadata!C867,"not collected"),exact(Metadata!C867,"not provided"),exact(Metadata!C867,"restricted access"))),IF(Metadata!C867="",FALSE,ISNUMBER(VALUE(Metadata!C867))))</f>
        <v>0</v>
      </c>
      <c r="W867">
        <f>AND(IF(Metadata!D867="",FALSE,TRUE),exact(Metadata!D867,"m"))</f>
        <v>0</v>
      </c>
      <c r="X867">
        <f>AND(IF(Metadata!E867="",FALSE,TRUE),OR(exact(Metadata!E867,"aerosol (non-saline)"),exact(Metadata!E867,"aerosol (saline)")))</f>
        <v>0</v>
      </c>
      <c r="Y867">
        <f>AND(IF(Metadata!F867="",FALSE,TRUE),exact(Metadata!F867,"air"))</f>
        <v>0</v>
      </c>
      <c r="Z867">
        <f>AND(IF(Metadata!G867="",FALSE,TRUE),exact(Metadata!G867,"air"))</f>
        <v>0</v>
      </c>
      <c r="AA867">
        <f>AND(IF(Metadata!H867="",FALSE,TRUE),exact(Metadata!H867,"air"))</f>
        <v>0</v>
      </c>
      <c r="AB867">
        <f>AND(IF(Metadata!I867="",FALSE,TRUE),exact(Metadata!I867,"air metagenome"))</f>
        <v>0</v>
      </c>
      <c r="AC867">
        <f>AND(IF(Metadata!J867="",FALSE,TRUE),exact(Metadata!J867,"655179"))</f>
        <v>0</v>
      </c>
    </row>
    <row r="868" spans="1:29">
      <c r="A868" s="5">
        <f>IF(B868=" "," ",HYPERLINK(CONCATENATE("#metadata!",ADDRESS(INDEX($P$2:$P$1001,MATCH(ROWS($N$2:N868),$N$2:$N$1001,0),0),1)),INDEX($S$2:$S$1001,MATCH(ROWS($N$2:N868),$N$2:$N$1001,0),0)))</f>
        <v>0</v>
      </c>
      <c r="B868" s="4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4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4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4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4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4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4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4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4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OR(AND(IF(Metadata!C868="",FALSE,TRUE),OR(exact(Metadata!C868,"not applicable"),exact(Metadata!C868,"not collected"),exact(Metadata!C868,"not provided"),exact(Metadata!C868,"restricted access"))),IF(Metadata!C868="",FALSE,ISNUMBER(VALUE(Metadata!C868))))</f>
        <v>0</v>
      </c>
      <c r="W868">
        <f>AND(IF(Metadata!D868="",FALSE,TRUE),exact(Metadata!D868,"m"))</f>
        <v>0</v>
      </c>
      <c r="X868">
        <f>AND(IF(Metadata!E868="",FALSE,TRUE),OR(exact(Metadata!E868,"aerosol (non-saline)"),exact(Metadata!E868,"aerosol (saline)")))</f>
        <v>0</v>
      </c>
      <c r="Y868">
        <f>AND(IF(Metadata!F868="",FALSE,TRUE),exact(Metadata!F868,"air"))</f>
        <v>0</v>
      </c>
      <c r="Z868">
        <f>AND(IF(Metadata!G868="",FALSE,TRUE),exact(Metadata!G868,"air"))</f>
        <v>0</v>
      </c>
      <c r="AA868">
        <f>AND(IF(Metadata!H868="",FALSE,TRUE),exact(Metadata!H868,"air"))</f>
        <v>0</v>
      </c>
      <c r="AB868">
        <f>AND(IF(Metadata!I868="",FALSE,TRUE),exact(Metadata!I868,"air metagenome"))</f>
        <v>0</v>
      </c>
      <c r="AC868">
        <f>AND(IF(Metadata!J868="",FALSE,TRUE),exact(Metadata!J868,"655179"))</f>
        <v>0</v>
      </c>
    </row>
    <row r="869" spans="1:29">
      <c r="A869" s="5">
        <f>IF(B869=" "," ",HYPERLINK(CONCATENATE("#metadata!",ADDRESS(INDEX($P$2:$P$1001,MATCH(ROWS($N$2:N869),$N$2:$N$1001,0),0),1)),INDEX($S$2:$S$1001,MATCH(ROWS($N$2:N869),$N$2:$N$1001,0),0)))</f>
        <v>0</v>
      </c>
      <c r="B869" s="4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4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4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4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4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4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4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4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4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OR(AND(IF(Metadata!C869="",FALSE,TRUE),OR(exact(Metadata!C869,"not applicable"),exact(Metadata!C869,"not collected"),exact(Metadata!C869,"not provided"),exact(Metadata!C869,"restricted access"))),IF(Metadata!C869="",FALSE,ISNUMBER(VALUE(Metadata!C869))))</f>
        <v>0</v>
      </c>
      <c r="W869">
        <f>AND(IF(Metadata!D869="",FALSE,TRUE),exact(Metadata!D869,"m"))</f>
        <v>0</v>
      </c>
      <c r="X869">
        <f>AND(IF(Metadata!E869="",FALSE,TRUE),OR(exact(Metadata!E869,"aerosol (non-saline)"),exact(Metadata!E869,"aerosol (saline)")))</f>
        <v>0</v>
      </c>
      <c r="Y869">
        <f>AND(IF(Metadata!F869="",FALSE,TRUE),exact(Metadata!F869,"air"))</f>
        <v>0</v>
      </c>
      <c r="Z869">
        <f>AND(IF(Metadata!G869="",FALSE,TRUE),exact(Metadata!G869,"air"))</f>
        <v>0</v>
      </c>
      <c r="AA869">
        <f>AND(IF(Metadata!H869="",FALSE,TRUE),exact(Metadata!H869,"air"))</f>
        <v>0</v>
      </c>
      <c r="AB869">
        <f>AND(IF(Metadata!I869="",FALSE,TRUE),exact(Metadata!I869,"air metagenome"))</f>
        <v>0</v>
      </c>
      <c r="AC869">
        <f>AND(IF(Metadata!J869="",FALSE,TRUE),exact(Metadata!J869,"655179"))</f>
        <v>0</v>
      </c>
    </row>
    <row r="870" spans="1:29">
      <c r="A870" s="5">
        <f>IF(B870=" "," ",HYPERLINK(CONCATENATE("#metadata!",ADDRESS(INDEX($P$2:$P$1001,MATCH(ROWS($N$2:N870),$N$2:$N$1001,0),0),1)),INDEX($S$2:$S$1001,MATCH(ROWS($N$2:N870),$N$2:$N$1001,0),0)))</f>
        <v>0</v>
      </c>
      <c r="B870" s="4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4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4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4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4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4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4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4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4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OR(AND(IF(Metadata!C870="",FALSE,TRUE),OR(exact(Metadata!C870,"not applicable"),exact(Metadata!C870,"not collected"),exact(Metadata!C870,"not provided"),exact(Metadata!C870,"restricted access"))),IF(Metadata!C870="",FALSE,ISNUMBER(VALUE(Metadata!C870))))</f>
        <v>0</v>
      </c>
      <c r="W870">
        <f>AND(IF(Metadata!D870="",FALSE,TRUE),exact(Metadata!D870,"m"))</f>
        <v>0</v>
      </c>
      <c r="X870">
        <f>AND(IF(Metadata!E870="",FALSE,TRUE),OR(exact(Metadata!E870,"aerosol (non-saline)"),exact(Metadata!E870,"aerosol (saline)")))</f>
        <v>0</v>
      </c>
      <c r="Y870">
        <f>AND(IF(Metadata!F870="",FALSE,TRUE),exact(Metadata!F870,"air"))</f>
        <v>0</v>
      </c>
      <c r="Z870">
        <f>AND(IF(Metadata!G870="",FALSE,TRUE),exact(Metadata!G870,"air"))</f>
        <v>0</v>
      </c>
      <c r="AA870">
        <f>AND(IF(Metadata!H870="",FALSE,TRUE),exact(Metadata!H870,"air"))</f>
        <v>0</v>
      </c>
      <c r="AB870">
        <f>AND(IF(Metadata!I870="",FALSE,TRUE),exact(Metadata!I870,"air metagenome"))</f>
        <v>0</v>
      </c>
      <c r="AC870">
        <f>AND(IF(Metadata!J870="",FALSE,TRUE),exact(Metadata!J870,"655179"))</f>
        <v>0</v>
      </c>
    </row>
    <row r="871" spans="1:29">
      <c r="A871" s="5">
        <f>IF(B871=" "," ",HYPERLINK(CONCATENATE("#metadata!",ADDRESS(INDEX($P$2:$P$1001,MATCH(ROWS($N$2:N871),$N$2:$N$1001,0),0),1)),INDEX($S$2:$S$1001,MATCH(ROWS($N$2:N871),$N$2:$N$1001,0),0)))</f>
        <v>0</v>
      </c>
      <c r="B871" s="4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4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4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4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4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4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4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4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4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OR(AND(IF(Metadata!C871="",FALSE,TRUE),OR(exact(Metadata!C871,"not applicable"),exact(Metadata!C871,"not collected"),exact(Metadata!C871,"not provided"),exact(Metadata!C871,"restricted access"))),IF(Metadata!C871="",FALSE,ISNUMBER(VALUE(Metadata!C871))))</f>
        <v>0</v>
      </c>
      <c r="W871">
        <f>AND(IF(Metadata!D871="",FALSE,TRUE),exact(Metadata!D871,"m"))</f>
        <v>0</v>
      </c>
      <c r="X871">
        <f>AND(IF(Metadata!E871="",FALSE,TRUE),OR(exact(Metadata!E871,"aerosol (non-saline)"),exact(Metadata!E871,"aerosol (saline)")))</f>
        <v>0</v>
      </c>
      <c r="Y871">
        <f>AND(IF(Metadata!F871="",FALSE,TRUE),exact(Metadata!F871,"air"))</f>
        <v>0</v>
      </c>
      <c r="Z871">
        <f>AND(IF(Metadata!G871="",FALSE,TRUE),exact(Metadata!G871,"air"))</f>
        <v>0</v>
      </c>
      <c r="AA871">
        <f>AND(IF(Metadata!H871="",FALSE,TRUE),exact(Metadata!H871,"air"))</f>
        <v>0</v>
      </c>
      <c r="AB871">
        <f>AND(IF(Metadata!I871="",FALSE,TRUE),exact(Metadata!I871,"air metagenome"))</f>
        <v>0</v>
      </c>
      <c r="AC871">
        <f>AND(IF(Metadata!J871="",FALSE,TRUE),exact(Metadata!J871,"655179"))</f>
        <v>0</v>
      </c>
    </row>
    <row r="872" spans="1:29">
      <c r="A872" s="5">
        <f>IF(B872=" "," ",HYPERLINK(CONCATENATE("#metadata!",ADDRESS(INDEX($P$2:$P$1001,MATCH(ROWS($N$2:N872),$N$2:$N$1001,0),0),1)),INDEX($S$2:$S$1001,MATCH(ROWS($N$2:N872),$N$2:$N$1001,0),0)))</f>
        <v>0</v>
      </c>
      <c r="B872" s="4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4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4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4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4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4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4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4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4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OR(AND(IF(Metadata!C872="",FALSE,TRUE),OR(exact(Metadata!C872,"not applicable"),exact(Metadata!C872,"not collected"),exact(Metadata!C872,"not provided"),exact(Metadata!C872,"restricted access"))),IF(Metadata!C872="",FALSE,ISNUMBER(VALUE(Metadata!C872))))</f>
        <v>0</v>
      </c>
      <c r="W872">
        <f>AND(IF(Metadata!D872="",FALSE,TRUE),exact(Metadata!D872,"m"))</f>
        <v>0</v>
      </c>
      <c r="X872">
        <f>AND(IF(Metadata!E872="",FALSE,TRUE),OR(exact(Metadata!E872,"aerosol (non-saline)"),exact(Metadata!E872,"aerosol (saline)")))</f>
        <v>0</v>
      </c>
      <c r="Y872">
        <f>AND(IF(Metadata!F872="",FALSE,TRUE),exact(Metadata!F872,"air"))</f>
        <v>0</v>
      </c>
      <c r="Z872">
        <f>AND(IF(Metadata!G872="",FALSE,TRUE),exact(Metadata!G872,"air"))</f>
        <v>0</v>
      </c>
      <c r="AA872">
        <f>AND(IF(Metadata!H872="",FALSE,TRUE),exact(Metadata!H872,"air"))</f>
        <v>0</v>
      </c>
      <c r="AB872">
        <f>AND(IF(Metadata!I872="",FALSE,TRUE),exact(Metadata!I872,"air metagenome"))</f>
        <v>0</v>
      </c>
      <c r="AC872">
        <f>AND(IF(Metadata!J872="",FALSE,TRUE),exact(Metadata!J872,"655179"))</f>
        <v>0</v>
      </c>
    </row>
    <row r="873" spans="1:29">
      <c r="A873" s="5">
        <f>IF(B873=" "," ",HYPERLINK(CONCATENATE("#metadata!",ADDRESS(INDEX($P$2:$P$1001,MATCH(ROWS($N$2:N873),$N$2:$N$1001,0),0),1)),INDEX($S$2:$S$1001,MATCH(ROWS($N$2:N873),$N$2:$N$1001,0),0)))</f>
        <v>0</v>
      </c>
      <c r="B873" s="4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4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4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4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4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4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4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4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4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OR(AND(IF(Metadata!C873="",FALSE,TRUE),OR(exact(Metadata!C873,"not applicable"),exact(Metadata!C873,"not collected"),exact(Metadata!C873,"not provided"),exact(Metadata!C873,"restricted access"))),IF(Metadata!C873="",FALSE,ISNUMBER(VALUE(Metadata!C873))))</f>
        <v>0</v>
      </c>
      <c r="W873">
        <f>AND(IF(Metadata!D873="",FALSE,TRUE),exact(Metadata!D873,"m"))</f>
        <v>0</v>
      </c>
      <c r="X873">
        <f>AND(IF(Metadata!E873="",FALSE,TRUE),OR(exact(Metadata!E873,"aerosol (non-saline)"),exact(Metadata!E873,"aerosol (saline)")))</f>
        <v>0</v>
      </c>
      <c r="Y873">
        <f>AND(IF(Metadata!F873="",FALSE,TRUE),exact(Metadata!F873,"air"))</f>
        <v>0</v>
      </c>
      <c r="Z873">
        <f>AND(IF(Metadata!G873="",FALSE,TRUE),exact(Metadata!G873,"air"))</f>
        <v>0</v>
      </c>
      <c r="AA873">
        <f>AND(IF(Metadata!H873="",FALSE,TRUE),exact(Metadata!H873,"air"))</f>
        <v>0</v>
      </c>
      <c r="AB873">
        <f>AND(IF(Metadata!I873="",FALSE,TRUE),exact(Metadata!I873,"air metagenome"))</f>
        <v>0</v>
      </c>
      <c r="AC873">
        <f>AND(IF(Metadata!J873="",FALSE,TRUE),exact(Metadata!J873,"655179"))</f>
        <v>0</v>
      </c>
    </row>
    <row r="874" spans="1:29">
      <c r="A874" s="5">
        <f>IF(B874=" "," ",HYPERLINK(CONCATENATE("#metadata!",ADDRESS(INDEX($P$2:$P$1001,MATCH(ROWS($N$2:N874),$N$2:$N$1001,0),0),1)),INDEX($S$2:$S$1001,MATCH(ROWS($N$2:N874),$N$2:$N$1001,0),0)))</f>
        <v>0</v>
      </c>
      <c r="B874" s="4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4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4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4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4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4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4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4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4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OR(AND(IF(Metadata!C874="",FALSE,TRUE),OR(exact(Metadata!C874,"not applicable"),exact(Metadata!C874,"not collected"),exact(Metadata!C874,"not provided"),exact(Metadata!C874,"restricted access"))),IF(Metadata!C874="",FALSE,ISNUMBER(VALUE(Metadata!C874))))</f>
        <v>0</v>
      </c>
      <c r="W874">
        <f>AND(IF(Metadata!D874="",FALSE,TRUE),exact(Metadata!D874,"m"))</f>
        <v>0</v>
      </c>
      <c r="X874">
        <f>AND(IF(Metadata!E874="",FALSE,TRUE),OR(exact(Metadata!E874,"aerosol (non-saline)"),exact(Metadata!E874,"aerosol (saline)")))</f>
        <v>0</v>
      </c>
      <c r="Y874">
        <f>AND(IF(Metadata!F874="",FALSE,TRUE),exact(Metadata!F874,"air"))</f>
        <v>0</v>
      </c>
      <c r="Z874">
        <f>AND(IF(Metadata!G874="",FALSE,TRUE),exact(Metadata!G874,"air"))</f>
        <v>0</v>
      </c>
      <c r="AA874">
        <f>AND(IF(Metadata!H874="",FALSE,TRUE),exact(Metadata!H874,"air"))</f>
        <v>0</v>
      </c>
      <c r="AB874">
        <f>AND(IF(Metadata!I874="",FALSE,TRUE),exact(Metadata!I874,"air metagenome"))</f>
        <v>0</v>
      </c>
      <c r="AC874">
        <f>AND(IF(Metadata!J874="",FALSE,TRUE),exact(Metadata!J874,"655179"))</f>
        <v>0</v>
      </c>
    </row>
    <row r="875" spans="1:29">
      <c r="A875" s="5">
        <f>IF(B875=" "," ",HYPERLINK(CONCATENATE("#metadata!",ADDRESS(INDEX($P$2:$P$1001,MATCH(ROWS($N$2:N875),$N$2:$N$1001,0),0),1)),INDEX($S$2:$S$1001,MATCH(ROWS($N$2:N875),$N$2:$N$1001,0),0)))</f>
        <v>0</v>
      </c>
      <c r="B875" s="4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4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4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4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4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4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4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4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4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OR(AND(IF(Metadata!C875="",FALSE,TRUE),OR(exact(Metadata!C875,"not applicable"),exact(Metadata!C875,"not collected"),exact(Metadata!C875,"not provided"),exact(Metadata!C875,"restricted access"))),IF(Metadata!C875="",FALSE,ISNUMBER(VALUE(Metadata!C875))))</f>
        <v>0</v>
      </c>
      <c r="W875">
        <f>AND(IF(Metadata!D875="",FALSE,TRUE),exact(Metadata!D875,"m"))</f>
        <v>0</v>
      </c>
      <c r="X875">
        <f>AND(IF(Metadata!E875="",FALSE,TRUE),OR(exact(Metadata!E875,"aerosol (non-saline)"),exact(Metadata!E875,"aerosol (saline)")))</f>
        <v>0</v>
      </c>
      <c r="Y875">
        <f>AND(IF(Metadata!F875="",FALSE,TRUE),exact(Metadata!F875,"air"))</f>
        <v>0</v>
      </c>
      <c r="Z875">
        <f>AND(IF(Metadata!G875="",FALSE,TRUE),exact(Metadata!G875,"air"))</f>
        <v>0</v>
      </c>
      <c r="AA875">
        <f>AND(IF(Metadata!H875="",FALSE,TRUE),exact(Metadata!H875,"air"))</f>
        <v>0</v>
      </c>
      <c r="AB875">
        <f>AND(IF(Metadata!I875="",FALSE,TRUE),exact(Metadata!I875,"air metagenome"))</f>
        <v>0</v>
      </c>
      <c r="AC875">
        <f>AND(IF(Metadata!J875="",FALSE,TRUE),exact(Metadata!J875,"655179"))</f>
        <v>0</v>
      </c>
    </row>
    <row r="876" spans="1:29">
      <c r="A876" s="5">
        <f>IF(B876=" "," ",HYPERLINK(CONCATENATE("#metadata!",ADDRESS(INDEX($P$2:$P$1001,MATCH(ROWS($N$2:N876),$N$2:$N$1001,0),0),1)),INDEX($S$2:$S$1001,MATCH(ROWS($N$2:N876),$N$2:$N$1001,0),0)))</f>
        <v>0</v>
      </c>
      <c r="B876" s="4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4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4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4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4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4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4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4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4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OR(AND(IF(Metadata!C876="",FALSE,TRUE),OR(exact(Metadata!C876,"not applicable"),exact(Metadata!C876,"not collected"),exact(Metadata!C876,"not provided"),exact(Metadata!C876,"restricted access"))),IF(Metadata!C876="",FALSE,ISNUMBER(VALUE(Metadata!C876))))</f>
        <v>0</v>
      </c>
      <c r="W876">
        <f>AND(IF(Metadata!D876="",FALSE,TRUE),exact(Metadata!D876,"m"))</f>
        <v>0</v>
      </c>
      <c r="X876">
        <f>AND(IF(Metadata!E876="",FALSE,TRUE),OR(exact(Metadata!E876,"aerosol (non-saline)"),exact(Metadata!E876,"aerosol (saline)")))</f>
        <v>0</v>
      </c>
      <c r="Y876">
        <f>AND(IF(Metadata!F876="",FALSE,TRUE),exact(Metadata!F876,"air"))</f>
        <v>0</v>
      </c>
      <c r="Z876">
        <f>AND(IF(Metadata!G876="",FALSE,TRUE),exact(Metadata!G876,"air"))</f>
        <v>0</v>
      </c>
      <c r="AA876">
        <f>AND(IF(Metadata!H876="",FALSE,TRUE),exact(Metadata!H876,"air"))</f>
        <v>0</v>
      </c>
      <c r="AB876">
        <f>AND(IF(Metadata!I876="",FALSE,TRUE),exact(Metadata!I876,"air metagenome"))</f>
        <v>0</v>
      </c>
      <c r="AC876">
        <f>AND(IF(Metadata!J876="",FALSE,TRUE),exact(Metadata!J876,"655179"))</f>
        <v>0</v>
      </c>
    </row>
    <row r="877" spans="1:29">
      <c r="A877" s="5">
        <f>IF(B877=" "," ",HYPERLINK(CONCATENATE("#metadata!",ADDRESS(INDEX($P$2:$P$1001,MATCH(ROWS($N$2:N877),$N$2:$N$1001,0),0),1)),INDEX($S$2:$S$1001,MATCH(ROWS($N$2:N877),$N$2:$N$1001,0),0)))</f>
        <v>0</v>
      </c>
      <c r="B877" s="4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4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4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4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4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4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4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4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4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OR(AND(IF(Metadata!C877="",FALSE,TRUE),OR(exact(Metadata!C877,"not applicable"),exact(Metadata!C877,"not collected"),exact(Metadata!C877,"not provided"),exact(Metadata!C877,"restricted access"))),IF(Metadata!C877="",FALSE,ISNUMBER(VALUE(Metadata!C877))))</f>
        <v>0</v>
      </c>
      <c r="W877">
        <f>AND(IF(Metadata!D877="",FALSE,TRUE),exact(Metadata!D877,"m"))</f>
        <v>0</v>
      </c>
      <c r="X877">
        <f>AND(IF(Metadata!E877="",FALSE,TRUE),OR(exact(Metadata!E877,"aerosol (non-saline)"),exact(Metadata!E877,"aerosol (saline)")))</f>
        <v>0</v>
      </c>
      <c r="Y877">
        <f>AND(IF(Metadata!F877="",FALSE,TRUE),exact(Metadata!F877,"air"))</f>
        <v>0</v>
      </c>
      <c r="Z877">
        <f>AND(IF(Metadata!G877="",FALSE,TRUE),exact(Metadata!G877,"air"))</f>
        <v>0</v>
      </c>
      <c r="AA877">
        <f>AND(IF(Metadata!H877="",FALSE,TRUE),exact(Metadata!H877,"air"))</f>
        <v>0</v>
      </c>
      <c r="AB877">
        <f>AND(IF(Metadata!I877="",FALSE,TRUE),exact(Metadata!I877,"air metagenome"))</f>
        <v>0</v>
      </c>
      <c r="AC877">
        <f>AND(IF(Metadata!J877="",FALSE,TRUE),exact(Metadata!J877,"655179"))</f>
        <v>0</v>
      </c>
    </row>
    <row r="878" spans="1:29">
      <c r="A878" s="5">
        <f>IF(B878=" "," ",HYPERLINK(CONCATENATE("#metadata!",ADDRESS(INDEX($P$2:$P$1001,MATCH(ROWS($N$2:N878),$N$2:$N$1001,0),0),1)),INDEX($S$2:$S$1001,MATCH(ROWS($N$2:N878),$N$2:$N$1001,0),0)))</f>
        <v>0</v>
      </c>
      <c r="B878" s="4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4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4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4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4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4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4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4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4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OR(AND(IF(Metadata!C878="",FALSE,TRUE),OR(exact(Metadata!C878,"not applicable"),exact(Metadata!C878,"not collected"),exact(Metadata!C878,"not provided"),exact(Metadata!C878,"restricted access"))),IF(Metadata!C878="",FALSE,ISNUMBER(VALUE(Metadata!C878))))</f>
        <v>0</v>
      </c>
      <c r="W878">
        <f>AND(IF(Metadata!D878="",FALSE,TRUE),exact(Metadata!D878,"m"))</f>
        <v>0</v>
      </c>
      <c r="X878">
        <f>AND(IF(Metadata!E878="",FALSE,TRUE),OR(exact(Metadata!E878,"aerosol (non-saline)"),exact(Metadata!E878,"aerosol (saline)")))</f>
        <v>0</v>
      </c>
      <c r="Y878">
        <f>AND(IF(Metadata!F878="",FALSE,TRUE),exact(Metadata!F878,"air"))</f>
        <v>0</v>
      </c>
      <c r="Z878">
        <f>AND(IF(Metadata!G878="",FALSE,TRUE),exact(Metadata!G878,"air"))</f>
        <v>0</v>
      </c>
      <c r="AA878">
        <f>AND(IF(Metadata!H878="",FALSE,TRUE),exact(Metadata!H878,"air"))</f>
        <v>0</v>
      </c>
      <c r="AB878">
        <f>AND(IF(Metadata!I878="",FALSE,TRUE),exact(Metadata!I878,"air metagenome"))</f>
        <v>0</v>
      </c>
      <c r="AC878">
        <f>AND(IF(Metadata!J878="",FALSE,TRUE),exact(Metadata!J878,"655179"))</f>
        <v>0</v>
      </c>
    </row>
    <row r="879" spans="1:29">
      <c r="A879" s="5">
        <f>IF(B879=" "," ",HYPERLINK(CONCATENATE("#metadata!",ADDRESS(INDEX($P$2:$P$1001,MATCH(ROWS($N$2:N879),$N$2:$N$1001,0),0),1)),INDEX($S$2:$S$1001,MATCH(ROWS($N$2:N879),$N$2:$N$1001,0),0)))</f>
        <v>0</v>
      </c>
      <c r="B879" s="4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4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4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4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4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4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4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4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4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OR(AND(IF(Metadata!C879="",FALSE,TRUE),OR(exact(Metadata!C879,"not applicable"),exact(Metadata!C879,"not collected"),exact(Metadata!C879,"not provided"),exact(Metadata!C879,"restricted access"))),IF(Metadata!C879="",FALSE,ISNUMBER(VALUE(Metadata!C879))))</f>
        <v>0</v>
      </c>
      <c r="W879">
        <f>AND(IF(Metadata!D879="",FALSE,TRUE),exact(Metadata!D879,"m"))</f>
        <v>0</v>
      </c>
      <c r="X879">
        <f>AND(IF(Metadata!E879="",FALSE,TRUE),OR(exact(Metadata!E879,"aerosol (non-saline)"),exact(Metadata!E879,"aerosol (saline)")))</f>
        <v>0</v>
      </c>
      <c r="Y879">
        <f>AND(IF(Metadata!F879="",FALSE,TRUE),exact(Metadata!F879,"air"))</f>
        <v>0</v>
      </c>
      <c r="Z879">
        <f>AND(IF(Metadata!G879="",FALSE,TRUE),exact(Metadata!G879,"air"))</f>
        <v>0</v>
      </c>
      <c r="AA879">
        <f>AND(IF(Metadata!H879="",FALSE,TRUE),exact(Metadata!H879,"air"))</f>
        <v>0</v>
      </c>
      <c r="AB879">
        <f>AND(IF(Metadata!I879="",FALSE,TRUE),exact(Metadata!I879,"air metagenome"))</f>
        <v>0</v>
      </c>
      <c r="AC879">
        <f>AND(IF(Metadata!J879="",FALSE,TRUE),exact(Metadata!J879,"655179"))</f>
        <v>0</v>
      </c>
    </row>
    <row r="880" spans="1:29">
      <c r="A880" s="5">
        <f>IF(B880=" "," ",HYPERLINK(CONCATENATE("#metadata!",ADDRESS(INDEX($P$2:$P$1001,MATCH(ROWS($N$2:N880),$N$2:$N$1001,0),0),1)),INDEX($S$2:$S$1001,MATCH(ROWS($N$2:N880),$N$2:$N$1001,0),0)))</f>
        <v>0</v>
      </c>
      <c r="B880" s="4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4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4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4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4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4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4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4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4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OR(AND(IF(Metadata!C880="",FALSE,TRUE),OR(exact(Metadata!C880,"not applicable"),exact(Metadata!C880,"not collected"),exact(Metadata!C880,"not provided"),exact(Metadata!C880,"restricted access"))),IF(Metadata!C880="",FALSE,ISNUMBER(VALUE(Metadata!C880))))</f>
        <v>0</v>
      </c>
      <c r="W880">
        <f>AND(IF(Metadata!D880="",FALSE,TRUE),exact(Metadata!D880,"m"))</f>
        <v>0</v>
      </c>
      <c r="X880">
        <f>AND(IF(Metadata!E880="",FALSE,TRUE),OR(exact(Metadata!E880,"aerosol (non-saline)"),exact(Metadata!E880,"aerosol (saline)")))</f>
        <v>0</v>
      </c>
      <c r="Y880">
        <f>AND(IF(Metadata!F880="",FALSE,TRUE),exact(Metadata!F880,"air"))</f>
        <v>0</v>
      </c>
      <c r="Z880">
        <f>AND(IF(Metadata!G880="",FALSE,TRUE),exact(Metadata!G880,"air"))</f>
        <v>0</v>
      </c>
      <c r="AA880">
        <f>AND(IF(Metadata!H880="",FALSE,TRUE),exact(Metadata!H880,"air"))</f>
        <v>0</v>
      </c>
      <c r="AB880">
        <f>AND(IF(Metadata!I880="",FALSE,TRUE),exact(Metadata!I880,"air metagenome"))</f>
        <v>0</v>
      </c>
      <c r="AC880">
        <f>AND(IF(Metadata!J880="",FALSE,TRUE),exact(Metadata!J880,"655179"))</f>
        <v>0</v>
      </c>
    </row>
    <row r="881" spans="1:29">
      <c r="A881" s="5">
        <f>IF(B881=" "," ",HYPERLINK(CONCATENATE("#metadata!",ADDRESS(INDEX($P$2:$P$1001,MATCH(ROWS($N$2:N881),$N$2:$N$1001,0),0),1)),INDEX($S$2:$S$1001,MATCH(ROWS($N$2:N881),$N$2:$N$1001,0),0)))</f>
        <v>0</v>
      </c>
      <c r="B881" s="4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4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4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4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4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4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4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4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4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OR(AND(IF(Metadata!C881="",FALSE,TRUE),OR(exact(Metadata!C881,"not applicable"),exact(Metadata!C881,"not collected"),exact(Metadata!C881,"not provided"),exact(Metadata!C881,"restricted access"))),IF(Metadata!C881="",FALSE,ISNUMBER(VALUE(Metadata!C881))))</f>
        <v>0</v>
      </c>
      <c r="W881">
        <f>AND(IF(Metadata!D881="",FALSE,TRUE),exact(Metadata!D881,"m"))</f>
        <v>0</v>
      </c>
      <c r="X881">
        <f>AND(IF(Metadata!E881="",FALSE,TRUE),OR(exact(Metadata!E881,"aerosol (non-saline)"),exact(Metadata!E881,"aerosol (saline)")))</f>
        <v>0</v>
      </c>
      <c r="Y881">
        <f>AND(IF(Metadata!F881="",FALSE,TRUE),exact(Metadata!F881,"air"))</f>
        <v>0</v>
      </c>
      <c r="Z881">
        <f>AND(IF(Metadata!G881="",FALSE,TRUE),exact(Metadata!G881,"air"))</f>
        <v>0</v>
      </c>
      <c r="AA881">
        <f>AND(IF(Metadata!H881="",FALSE,TRUE),exact(Metadata!H881,"air"))</f>
        <v>0</v>
      </c>
      <c r="AB881">
        <f>AND(IF(Metadata!I881="",FALSE,TRUE),exact(Metadata!I881,"air metagenome"))</f>
        <v>0</v>
      </c>
      <c r="AC881">
        <f>AND(IF(Metadata!J881="",FALSE,TRUE),exact(Metadata!J881,"655179"))</f>
        <v>0</v>
      </c>
    </row>
    <row r="882" spans="1:29">
      <c r="A882" s="5">
        <f>IF(B882=" "," ",HYPERLINK(CONCATENATE("#metadata!",ADDRESS(INDEX($P$2:$P$1001,MATCH(ROWS($N$2:N882),$N$2:$N$1001,0),0),1)),INDEX($S$2:$S$1001,MATCH(ROWS($N$2:N882),$N$2:$N$1001,0),0)))</f>
        <v>0</v>
      </c>
      <c r="B882" s="4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4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4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4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4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4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4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4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4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OR(AND(IF(Metadata!C882="",FALSE,TRUE),OR(exact(Metadata!C882,"not applicable"),exact(Metadata!C882,"not collected"),exact(Metadata!C882,"not provided"),exact(Metadata!C882,"restricted access"))),IF(Metadata!C882="",FALSE,ISNUMBER(VALUE(Metadata!C882))))</f>
        <v>0</v>
      </c>
      <c r="W882">
        <f>AND(IF(Metadata!D882="",FALSE,TRUE),exact(Metadata!D882,"m"))</f>
        <v>0</v>
      </c>
      <c r="X882">
        <f>AND(IF(Metadata!E882="",FALSE,TRUE),OR(exact(Metadata!E882,"aerosol (non-saline)"),exact(Metadata!E882,"aerosol (saline)")))</f>
        <v>0</v>
      </c>
      <c r="Y882">
        <f>AND(IF(Metadata!F882="",FALSE,TRUE),exact(Metadata!F882,"air"))</f>
        <v>0</v>
      </c>
      <c r="Z882">
        <f>AND(IF(Metadata!G882="",FALSE,TRUE),exact(Metadata!G882,"air"))</f>
        <v>0</v>
      </c>
      <c r="AA882">
        <f>AND(IF(Metadata!H882="",FALSE,TRUE),exact(Metadata!H882,"air"))</f>
        <v>0</v>
      </c>
      <c r="AB882">
        <f>AND(IF(Metadata!I882="",FALSE,TRUE),exact(Metadata!I882,"air metagenome"))</f>
        <v>0</v>
      </c>
      <c r="AC882">
        <f>AND(IF(Metadata!J882="",FALSE,TRUE),exact(Metadata!J882,"655179"))</f>
        <v>0</v>
      </c>
    </row>
    <row r="883" spans="1:29">
      <c r="A883" s="5">
        <f>IF(B883=" "," ",HYPERLINK(CONCATENATE("#metadata!",ADDRESS(INDEX($P$2:$P$1001,MATCH(ROWS($N$2:N883),$N$2:$N$1001,0),0),1)),INDEX($S$2:$S$1001,MATCH(ROWS($N$2:N883),$N$2:$N$1001,0),0)))</f>
        <v>0</v>
      </c>
      <c r="B883" s="4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4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4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4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4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4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4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4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4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OR(AND(IF(Metadata!C883="",FALSE,TRUE),OR(exact(Metadata!C883,"not applicable"),exact(Metadata!C883,"not collected"),exact(Metadata!C883,"not provided"),exact(Metadata!C883,"restricted access"))),IF(Metadata!C883="",FALSE,ISNUMBER(VALUE(Metadata!C883))))</f>
        <v>0</v>
      </c>
      <c r="W883">
        <f>AND(IF(Metadata!D883="",FALSE,TRUE),exact(Metadata!D883,"m"))</f>
        <v>0</v>
      </c>
      <c r="X883">
        <f>AND(IF(Metadata!E883="",FALSE,TRUE),OR(exact(Metadata!E883,"aerosol (non-saline)"),exact(Metadata!E883,"aerosol (saline)")))</f>
        <v>0</v>
      </c>
      <c r="Y883">
        <f>AND(IF(Metadata!F883="",FALSE,TRUE),exact(Metadata!F883,"air"))</f>
        <v>0</v>
      </c>
      <c r="Z883">
        <f>AND(IF(Metadata!G883="",FALSE,TRUE),exact(Metadata!G883,"air"))</f>
        <v>0</v>
      </c>
      <c r="AA883">
        <f>AND(IF(Metadata!H883="",FALSE,TRUE),exact(Metadata!H883,"air"))</f>
        <v>0</v>
      </c>
      <c r="AB883">
        <f>AND(IF(Metadata!I883="",FALSE,TRUE),exact(Metadata!I883,"air metagenome"))</f>
        <v>0</v>
      </c>
      <c r="AC883">
        <f>AND(IF(Metadata!J883="",FALSE,TRUE),exact(Metadata!J883,"655179"))</f>
        <v>0</v>
      </c>
    </row>
    <row r="884" spans="1:29">
      <c r="A884" s="5">
        <f>IF(B884=" "," ",HYPERLINK(CONCATENATE("#metadata!",ADDRESS(INDEX($P$2:$P$1001,MATCH(ROWS($N$2:N884),$N$2:$N$1001,0),0),1)),INDEX($S$2:$S$1001,MATCH(ROWS($N$2:N884),$N$2:$N$1001,0),0)))</f>
        <v>0</v>
      </c>
      <c r="B884" s="4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4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4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4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4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4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4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4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4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OR(AND(IF(Metadata!C884="",FALSE,TRUE),OR(exact(Metadata!C884,"not applicable"),exact(Metadata!C884,"not collected"),exact(Metadata!C884,"not provided"),exact(Metadata!C884,"restricted access"))),IF(Metadata!C884="",FALSE,ISNUMBER(VALUE(Metadata!C884))))</f>
        <v>0</v>
      </c>
      <c r="W884">
        <f>AND(IF(Metadata!D884="",FALSE,TRUE),exact(Metadata!D884,"m"))</f>
        <v>0</v>
      </c>
      <c r="X884">
        <f>AND(IF(Metadata!E884="",FALSE,TRUE),OR(exact(Metadata!E884,"aerosol (non-saline)"),exact(Metadata!E884,"aerosol (saline)")))</f>
        <v>0</v>
      </c>
      <c r="Y884">
        <f>AND(IF(Metadata!F884="",FALSE,TRUE),exact(Metadata!F884,"air"))</f>
        <v>0</v>
      </c>
      <c r="Z884">
        <f>AND(IF(Metadata!G884="",FALSE,TRUE),exact(Metadata!G884,"air"))</f>
        <v>0</v>
      </c>
      <c r="AA884">
        <f>AND(IF(Metadata!H884="",FALSE,TRUE),exact(Metadata!H884,"air"))</f>
        <v>0</v>
      </c>
      <c r="AB884">
        <f>AND(IF(Metadata!I884="",FALSE,TRUE),exact(Metadata!I884,"air metagenome"))</f>
        <v>0</v>
      </c>
      <c r="AC884">
        <f>AND(IF(Metadata!J884="",FALSE,TRUE),exact(Metadata!J884,"655179"))</f>
        <v>0</v>
      </c>
    </row>
    <row r="885" spans="1:29">
      <c r="A885" s="5">
        <f>IF(B885=" "," ",HYPERLINK(CONCATENATE("#metadata!",ADDRESS(INDEX($P$2:$P$1001,MATCH(ROWS($N$2:N885),$N$2:$N$1001,0),0),1)),INDEX($S$2:$S$1001,MATCH(ROWS($N$2:N885),$N$2:$N$1001,0),0)))</f>
        <v>0</v>
      </c>
      <c r="B885" s="4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4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4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4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4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4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4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4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4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OR(AND(IF(Metadata!C885="",FALSE,TRUE),OR(exact(Metadata!C885,"not applicable"),exact(Metadata!C885,"not collected"),exact(Metadata!C885,"not provided"),exact(Metadata!C885,"restricted access"))),IF(Metadata!C885="",FALSE,ISNUMBER(VALUE(Metadata!C885))))</f>
        <v>0</v>
      </c>
      <c r="W885">
        <f>AND(IF(Metadata!D885="",FALSE,TRUE),exact(Metadata!D885,"m"))</f>
        <v>0</v>
      </c>
      <c r="X885">
        <f>AND(IF(Metadata!E885="",FALSE,TRUE),OR(exact(Metadata!E885,"aerosol (non-saline)"),exact(Metadata!E885,"aerosol (saline)")))</f>
        <v>0</v>
      </c>
      <c r="Y885">
        <f>AND(IF(Metadata!F885="",FALSE,TRUE),exact(Metadata!F885,"air"))</f>
        <v>0</v>
      </c>
      <c r="Z885">
        <f>AND(IF(Metadata!G885="",FALSE,TRUE),exact(Metadata!G885,"air"))</f>
        <v>0</v>
      </c>
      <c r="AA885">
        <f>AND(IF(Metadata!H885="",FALSE,TRUE),exact(Metadata!H885,"air"))</f>
        <v>0</v>
      </c>
      <c r="AB885">
        <f>AND(IF(Metadata!I885="",FALSE,TRUE),exact(Metadata!I885,"air metagenome"))</f>
        <v>0</v>
      </c>
      <c r="AC885">
        <f>AND(IF(Metadata!J885="",FALSE,TRUE),exact(Metadata!J885,"655179"))</f>
        <v>0</v>
      </c>
    </row>
    <row r="886" spans="1:29">
      <c r="A886" s="5">
        <f>IF(B886=" "," ",HYPERLINK(CONCATENATE("#metadata!",ADDRESS(INDEX($P$2:$P$1001,MATCH(ROWS($N$2:N886),$N$2:$N$1001,0),0),1)),INDEX($S$2:$S$1001,MATCH(ROWS($N$2:N886),$N$2:$N$1001,0),0)))</f>
        <v>0</v>
      </c>
      <c r="B886" s="4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4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4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4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4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4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4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4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4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OR(AND(IF(Metadata!C886="",FALSE,TRUE),OR(exact(Metadata!C886,"not applicable"),exact(Metadata!C886,"not collected"),exact(Metadata!C886,"not provided"),exact(Metadata!C886,"restricted access"))),IF(Metadata!C886="",FALSE,ISNUMBER(VALUE(Metadata!C886))))</f>
        <v>0</v>
      </c>
      <c r="W886">
        <f>AND(IF(Metadata!D886="",FALSE,TRUE),exact(Metadata!D886,"m"))</f>
        <v>0</v>
      </c>
      <c r="X886">
        <f>AND(IF(Metadata!E886="",FALSE,TRUE),OR(exact(Metadata!E886,"aerosol (non-saline)"),exact(Metadata!E886,"aerosol (saline)")))</f>
        <v>0</v>
      </c>
      <c r="Y886">
        <f>AND(IF(Metadata!F886="",FALSE,TRUE),exact(Metadata!F886,"air"))</f>
        <v>0</v>
      </c>
      <c r="Z886">
        <f>AND(IF(Metadata!G886="",FALSE,TRUE),exact(Metadata!G886,"air"))</f>
        <v>0</v>
      </c>
      <c r="AA886">
        <f>AND(IF(Metadata!H886="",FALSE,TRUE),exact(Metadata!H886,"air"))</f>
        <v>0</v>
      </c>
      <c r="AB886">
        <f>AND(IF(Metadata!I886="",FALSE,TRUE),exact(Metadata!I886,"air metagenome"))</f>
        <v>0</v>
      </c>
      <c r="AC886">
        <f>AND(IF(Metadata!J886="",FALSE,TRUE),exact(Metadata!J886,"655179"))</f>
        <v>0</v>
      </c>
    </row>
    <row r="887" spans="1:29">
      <c r="A887" s="5">
        <f>IF(B887=" "," ",HYPERLINK(CONCATENATE("#metadata!",ADDRESS(INDEX($P$2:$P$1001,MATCH(ROWS($N$2:N887),$N$2:$N$1001,0),0),1)),INDEX($S$2:$S$1001,MATCH(ROWS($N$2:N887),$N$2:$N$1001,0),0)))</f>
        <v>0</v>
      </c>
      <c r="B887" s="4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4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4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4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4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4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4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4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4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OR(AND(IF(Metadata!C887="",FALSE,TRUE),OR(exact(Metadata!C887,"not applicable"),exact(Metadata!C887,"not collected"),exact(Metadata!C887,"not provided"),exact(Metadata!C887,"restricted access"))),IF(Metadata!C887="",FALSE,ISNUMBER(VALUE(Metadata!C887))))</f>
        <v>0</v>
      </c>
      <c r="W887">
        <f>AND(IF(Metadata!D887="",FALSE,TRUE),exact(Metadata!D887,"m"))</f>
        <v>0</v>
      </c>
      <c r="X887">
        <f>AND(IF(Metadata!E887="",FALSE,TRUE),OR(exact(Metadata!E887,"aerosol (non-saline)"),exact(Metadata!E887,"aerosol (saline)")))</f>
        <v>0</v>
      </c>
      <c r="Y887">
        <f>AND(IF(Metadata!F887="",FALSE,TRUE),exact(Metadata!F887,"air"))</f>
        <v>0</v>
      </c>
      <c r="Z887">
        <f>AND(IF(Metadata!G887="",FALSE,TRUE),exact(Metadata!G887,"air"))</f>
        <v>0</v>
      </c>
      <c r="AA887">
        <f>AND(IF(Metadata!H887="",FALSE,TRUE),exact(Metadata!H887,"air"))</f>
        <v>0</v>
      </c>
      <c r="AB887">
        <f>AND(IF(Metadata!I887="",FALSE,TRUE),exact(Metadata!I887,"air metagenome"))</f>
        <v>0</v>
      </c>
      <c r="AC887">
        <f>AND(IF(Metadata!J887="",FALSE,TRUE),exact(Metadata!J887,"655179"))</f>
        <v>0</v>
      </c>
    </row>
    <row r="888" spans="1:29">
      <c r="A888" s="5">
        <f>IF(B888=" "," ",HYPERLINK(CONCATENATE("#metadata!",ADDRESS(INDEX($P$2:$P$1001,MATCH(ROWS($N$2:N888),$N$2:$N$1001,0),0),1)),INDEX($S$2:$S$1001,MATCH(ROWS($N$2:N888),$N$2:$N$1001,0),0)))</f>
        <v>0</v>
      </c>
      <c r="B888" s="4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4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4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4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4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4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4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4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4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OR(AND(IF(Metadata!C888="",FALSE,TRUE),OR(exact(Metadata!C888,"not applicable"),exact(Metadata!C888,"not collected"),exact(Metadata!C888,"not provided"),exact(Metadata!C888,"restricted access"))),IF(Metadata!C888="",FALSE,ISNUMBER(VALUE(Metadata!C888))))</f>
        <v>0</v>
      </c>
      <c r="W888">
        <f>AND(IF(Metadata!D888="",FALSE,TRUE),exact(Metadata!D888,"m"))</f>
        <v>0</v>
      </c>
      <c r="X888">
        <f>AND(IF(Metadata!E888="",FALSE,TRUE),OR(exact(Metadata!E888,"aerosol (non-saline)"),exact(Metadata!E888,"aerosol (saline)")))</f>
        <v>0</v>
      </c>
      <c r="Y888">
        <f>AND(IF(Metadata!F888="",FALSE,TRUE),exact(Metadata!F888,"air"))</f>
        <v>0</v>
      </c>
      <c r="Z888">
        <f>AND(IF(Metadata!G888="",FALSE,TRUE),exact(Metadata!G888,"air"))</f>
        <v>0</v>
      </c>
      <c r="AA888">
        <f>AND(IF(Metadata!H888="",FALSE,TRUE),exact(Metadata!H888,"air"))</f>
        <v>0</v>
      </c>
      <c r="AB888">
        <f>AND(IF(Metadata!I888="",FALSE,TRUE),exact(Metadata!I888,"air metagenome"))</f>
        <v>0</v>
      </c>
      <c r="AC888">
        <f>AND(IF(Metadata!J888="",FALSE,TRUE),exact(Metadata!J888,"655179"))</f>
        <v>0</v>
      </c>
    </row>
    <row r="889" spans="1:29">
      <c r="A889" s="5">
        <f>IF(B889=" "," ",HYPERLINK(CONCATENATE("#metadata!",ADDRESS(INDEX($P$2:$P$1001,MATCH(ROWS($N$2:N889),$N$2:$N$1001,0),0),1)),INDEX($S$2:$S$1001,MATCH(ROWS($N$2:N889),$N$2:$N$1001,0),0)))</f>
        <v>0</v>
      </c>
      <c r="B889" s="4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4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4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4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4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4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4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4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4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OR(AND(IF(Metadata!C889="",FALSE,TRUE),OR(exact(Metadata!C889,"not applicable"),exact(Metadata!C889,"not collected"),exact(Metadata!C889,"not provided"),exact(Metadata!C889,"restricted access"))),IF(Metadata!C889="",FALSE,ISNUMBER(VALUE(Metadata!C889))))</f>
        <v>0</v>
      </c>
      <c r="W889">
        <f>AND(IF(Metadata!D889="",FALSE,TRUE),exact(Metadata!D889,"m"))</f>
        <v>0</v>
      </c>
      <c r="X889">
        <f>AND(IF(Metadata!E889="",FALSE,TRUE),OR(exact(Metadata!E889,"aerosol (non-saline)"),exact(Metadata!E889,"aerosol (saline)")))</f>
        <v>0</v>
      </c>
      <c r="Y889">
        <f>AND(IF(Metadata!F889="",FALSE,TRUE),exact(Metadata!F889,"air"))</f>
        <v>0</v>
      </c>
      <c r="Z889">
        <f>AND(IF(Metadata!G889="",FALSE,TRUE),exact(Metadata!G889,"air"))</f>
        <v>0</v>
      </c>
      <c r="AA889">
        <f>AND(IF(Metadata!H889="",FALSE,TRUE),exact(Metadata!H889,"air"))</f>
        <v>0</v>
      </c>
      <c r="AB889">
        <f>AND(IF(Metadata!I889="",FALSE,TRUE),exact(Metadata!I889,"air metagenome"))</f>
        <v>0</v>
      </c>
      <c r="AC889">
        <f>AND(IF(Metadata!J889="",FALSE,TRUE),exact(Metadata!J889,"655179"))</f>
        <v>0</v>
      </c>
    </row>
    <row r="890" spans="1:29">
      <c r="A890" s="5">
        <f>IF(B890=" "," ",HYPERLINK(CONCATENATE("#metadata!",ADDRESS(INDEX($P$2:$P$1001,MATCH(ROWS($N$2:N890),$N$2:$N$1001,0),0),1)),INDEX($S$2:$S$1001,MATCH(ROWS($N$2:N890),$N$2:$N$1001,0),0)))</f>
        <v>0</v>
      </c>
      <c r="B890" s="4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4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4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4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4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4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4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4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4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OR(AND(IF(Metadata!C890="",FALSE,TRUE),OR(exact(Metadata!C890,"not applicable"),exact(Metadata!C890,"not collected"),exact(Metadata!C890,"not provided"),exact(Metadata!C890,"restricted access"))),IF(Metadata!C890="",FALSE,ISNUMBER(VALUE(Metadata!C890))))</f>
        <v>0</v>
      </c>
      <c r="W890">
        <f>AND(IF(Metadata!D890="",FALSE,TRUE),exact(Metadata!D890,"m"))</f>
        <v>0</v>
      </c>
      <c r="X890">
        <f>AND(IF(Metadata!E890="",FALSE,TRUE),OR(exact(Metadata!E890,"aerosol (non-saline)"),exact(Metadata!E890,"aerosol (saline)")))</f>
        <v>0</v>
      </c>
      <c r="Y890">
        <f>AND(IF(Metadata!F890="",FALSE,TRUE),exact(Metadata!F890,"air"))</f>
        <v>0</v>
      </c>
      <c r="Z890">
        <f>AND(IF(Metadata!G890="",FALSE,TRUE),exact(Metadata!G890,"air"))</f>
        <v>0</v>
      </c>
      <c r="AA890">
        <f>AND(IF(Metadata!H890="",FALSE,TRUE),exact(Metadata!H890,"air"))</f>
        <v>0</v>
      </c>
      <c r="AB890">
        <f>AND(IF(Metadata!I890="",FALSE,TRUE),exact(Metadata!I890,"air metagenome"))</f>
        <v>0</v>
      </c>
      <c r="AC890">
        <f>AND(IF(Metadata!J890="",FALSE,TRUE),exact(Metadata!J890,"655179"))</f>
        <v>0</v>
      </c>
    </row>
    <row r="891" spans="1:29">
      <c r="A891" s="5">
        <f>IF(B891=" "," ",HYPERLINK(CONCATENATE("#metadata!",ADDRESS(INDEX($P$2:$P$1001,MATCH(ROWS($N$2:N891),$N$2:$N$1001,0),0),1)),INDEX($S$2:$S$1001,MATCH(ROWS($N$2:N891),$N$2:$N$1001,0),0)))</f>
        <v>0</v>
      </c>
      <c r="B891" s="4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4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4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4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4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4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4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4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4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OR(AND(IF(Metadata!C891="",FALSE,TRUE),OR(exact(Metadata!C891,"not applicable"),exact(Metadata!C891,"not collected"),exact(Metadata!C891,"not provided"),exact(Metadata!C891,"restricted access"))),IF(Metadata!C891="",FALSE,ISNUMBER(VALUE(Metadata!C891))))</f>
        <v>0</v>
      </c>
      <c r="W891">
        <f>AND(IF(Metadata!D891="",FALSE,TRUE),exact(Metadata!D891,"m"))</f>
        <v>0</v>
      </c>
      <c r="X891">
        <f>AND(IF(Metadata!E891="",FALSE,TRUE),OR(exact(Metadata!E891,"aerosol (non-saline)"),exact(Metadata!E891,"aerosol (saline)")))</f>
        <v>0</v>
      </c>
      <c r="Y891">
        <f>AND(IF(Metadata!F891="",FALSE,TRUE),exact(Metadata!F891,"air"))</f>
        <v>0</v>
      </c>
      <c r="Z891">
        <f>AND(IF(Metadata!G891="",FALSE,TRUE),exact(Metadata!G891,"air"))</f>
        <v>0</v>
      </c>
      <c r="AA891">
        <f>AND(IF(Metadata!H891="",FALSE,TRUE),exact(Metadata!H891,"air"))</f>
        <v>0</v>
      </c>
      <c r="AB891">
        <f>AND(IF(Metadata!I891="",FALSE,TRUE),exact(Metadata!I891,"air metagenome"))</f>
        <v>0</v>
      </c>
      <c r="AC891">
        <f>AND(IF(Metadata!J891="",FALSE,TRUE),exact(Metadata!J891,"655179"))</f>
        <v>0</v>
      </c>
    </row>
    <row r="892" spans="1:29">
      <c r="A892" s="5">
        <f>IF(B892=" "," ",HYPERLINK(CONCATENATE("#metadata!",ADDRESS(INDEX($P$2:$P$1001,MATCH(ROWS($N$2:N892),$N$2:$N$1001,0),0),1)),INDEX($S$2:$S$1001,MATCH(ROWS($N$2:N892),$N$2:$N$1001,0),0)))</f>
        <v>0</v>
      </c>
      <c r="B892" s="4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4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4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4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4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4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4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4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4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OR(AND(IF(Metadata!C892="",FALSE,TRUE),OR(exact(Metadata!C892,"not applicable"),exact(Metadata!C892,"not collected"),exact(Metadata!C892,"not provided"),exact(Metadata!C892,"restricted access"))),IF(Metadata!C892="",FALSE,ISNUMBER(VALUE(Metadata!C892))))</f>
        <v>0</v>
      </c>
      <c r="W892">
        <f>AND(IF(Metadata!D892="",FALSE,TRUE),exact(Metadata!D892,"m"))</f>
        <v>0</v>
      </c>
      <c r="X892">
        <f>AND(IF(Metadata!E892="",FALSE,TRUE),OR(exact(Metadata!E892,"aerosol (non-saline)"),exact(Metadata!E892,"aerosol (saline)")))</f>
        <v>0</v>
      </c>
      <c r="Y892">
        <f>AND(IF(Metadata!F892="",FALSE,TRUE),exact(Metadata!F892,"air"))</f>
        <v>0</v>
      </c>
      <c r="Z892">
        <f>AND(IF(Metadata!G892="",FALSE,TRUE),exact(Metadata!G892,"air"))</f>
        <v>0</v>
      </c>
      <c r="AA892">
        <f>AND(IF(Metadata!H892="",FALSE,TRUE),exact(Metadata!H892,"air"))</f>
        <v>0</v>
      </c>
      <c r="AB892">
        <f>AND(IF(Metadata!I892="",FALSE,TRUE),exact(Metadata!I892,"air metagenome"))</f>
        <v>0</v>
      </c>
      <c r="AC892">
        <f>AND(IF(Metadata!J892="",FALSE,TRUE),exact(Metadata!J892,"655179"))</f>
        <v>0</v>
      </c>
    </row>
    <row r="893" spans="1:29">
      <c r="A893" s="5">
        <f>IF(B893=" "," ",HYPERLINK(CONCATENATE("#metadata!",ADDRESS(INDEX($P$2:$P$1001,MATCH(ROWS($N$2:N893),$N$2:$N$1001,0),0),1)),INDEX($S$2:$S$1001,MATCH(ROWS($N$2:N893),$N$2:$N$1001,0),0)))</f>
        <v>0</v>
      </c>
      <c r="B893" s="4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4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4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4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4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4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4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4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4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OR(AND(IF(Metadata!C893="",FALSE,TRUE),OR(exact(Metadata!C893,"not applicable"),exact(Metadata!C893,"not collected"),exact(Metadata!C893,"not provided"),exact(Metadata!C893,"restricted access"))),IF(Metadata!C893="",FALSE,ISNUMBER(VALUE(Metadata!C893))))</f>
        <v>0</v>
      </c>
      <c r="W893">
        <f>AND(IF(Metadata!D893="",FALSE,TRUE),exact(Metadata!D893,"m"))</f>
        <v>0</v>
      </c>
      <c r="X893">
        <f>AND(IF(Metadata!E893="",FALSE,TRUE),OR(exact(Metadata!E893,"aerosol (non-saline)"),exact(Metadata!E893,"aerosol (saline)")))</f>
        <v>0</v>
      </c>
      <c r="Y893">
        <f>AND(IF(Metadata!F893="",FALSE,TRUE),exact(Metadata!F893,"air"))</f>
        <v>0</v>
      </c>
      <c r="Z893">
        <f>AND(IF(Metadata!G893="",FALSE,TRUE),exact(Metadata!G893,"air"))</f>
        <v>0</v>
      </c>
      <c r="AA893">
        <f>AND(IF(Metadata!H893="",FALSE,TRUE),exact(Metadata!H893,"air"))</f>
        <v>0</v>
      </c>
      <c r="AB893">
        <f>AND(IF(Metadata!I893="",FALSE,TRUE),exact(Metadata!I893,"air metagenome"))</f>
        <v>0</v>
      </c>
      <c r="AC893">
        <f>AND(IF(Metadata!J893="",FALSE,TRUE),exact(Metadata!J893,"655179"))</f>
        <v>0</v>
      </c>
    </row>
    <row r="894" spans="1:29">
      <c r="A894" s="5">
        <f>IF(B894=" "," ",HYPERLINK(CONCATENATE("#metadata!",ADDRESS(INDEX($P$2:$P$1001,MATCH(ROWS($N$2:N894),$N$2:$N$1001,0),0),1)),INDEX($S$2:$S$1001,MATCH(ROWS($N$2:N894),$N$2:$N$1001,0),0)))</f>
        <v>0</v>
      </c>
      <c r="B894" s="4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4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4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4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4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4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4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4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4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OR(AND(IF(Metadata!C894="",FALSE,TRUE),OR(exact(Metadata!C894,"not applicable"),exact(Metadata!C894,"not collected"),exact(Metadata!C894,"not provided"),exact(Metadata!C894,"restricted access"))),IF(Metadata!C894="",FALSE,ISNUMBER(VALUE(Metadata!C894))))</f>
        <v>0</v>
      </c>
      <c r="W894">
        <f>AND(IF(Metadata!D894="",FALSE,TRUE),exact(Metadata!D894,"m"))</f>
        <v>0</v>
      </c>
      <c r="X894">
        <f>AND(IF(Metadata!E894="",FALSE,TRUE),OR(exact(Metadata!E894,"aerosol (non-saline)"),exact(Metadata!E894,"aerosol (saline)")))</f>
        <v>0</v>
      </c>
      <c r="Y894">
        <f>AND(IF(Metadata!F894="",FALSE,TRUE),exact(Metadata!F894,"air"))</f>
        <v>0</v>
      </c>
      <c r="Z894">
        <f>AND(IF(Metadata!G894="",FALSE,TRUE),exact(Metadata!G894,"air"))</f>
        <v>0</v>
      </c>
      <c r="AA894">
        <f>AND(IF(Metadata!H894="",FALSE,TRUE),exact(Metadata!H894,"air"))</f>
        <v>0</v>
      </c>
      <c r="AB894">
        <f>AND(IF(Metadata!I894="",FALSE,TRUE),exact(Metadata!I894,"air metagenome"))</f>
        <v>0</v>
      </c>
      <c r="AC894">
        <f>AND(IF(Metadata!J894="",FALSE,TRUE),exact(Metadata!J894,"655179"))</f>
        <v>0</v>
      </c>
    </row>
    <row r="895" spans="1:29">
      <c r="A895" s="5">
        <f>IF(B895=" "," ",HYPERLINK(CONCATENATE("#metadata!",ADDRESS(INDEX($P$2:$P$1001,MATCH(ROWS($N$2:N895),$N$2:$N$1001,0),0),1)),INDEX($S$2:$S$1001,MATCH(ROWS($N$2:N895),$N$2:$N$1001,0),0)))</f>
        <v>0</v>
      </c>
      <c r="B895" s="4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4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4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4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4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4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4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4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4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OR(AND(IF(Metadata!C895="",FALSE,TRUE),OR(exact(Metadata!C895,"not applicable"),exact(Metadata!C895,"not collected"),exact(Metadata!C895,"not provided"),exact(Metadata!C895,"restricted access"))),IF(Metadata!C895="",FALSE,ISNUMBER(VALUE(Metadata!C895))))</f>
        <v>0</v>
      </c>
      <c r="W895">
        <f>AND(IF(Metadata!D895="",FALSE,TRUE),exact(Metadata!D895,"m"))</f>
        <v>0</v>
      </c>
      <c r="X895">
        <f>AND(IF(Metadata!E895="",FALSE,TRUE),OR(exact(Metadata!E895,"aerosol (non-saline)"),exact(Metadata!E895,"aerosol (saline)")))</f>
        <v>0</v>
      </c>
      <c r="Y895">
        <f>AND(IF(Metadata!F895="",FALSE,TRUE),exact(Metadata!F895,"air"))</f>
        <v>0</v>
      </c>
      <c r="Z895">
        <f>AND(IF(Metadata!G895="",FALSE,TRUE),exact(Metadata!G895,"air"))</f>
        <v>0</v>
      </c>
      <c r="AA895">
        <f>AND(IF(Metadata!H895="",FALSE,TRUE),exact(Metadata!H895,"air"))</f>
        <v>0</v>
      </c>
      <c r="AB895">
        <f>AND(IF(Metadata!I895="",FALSE,TRUE),exact(Metadata!I895,"air metagenome"))</f>
        <v>0</v>
      </c>
      <c r="AC895">
        <f>AND(IF(Metadata!J895="",FALSE,TRUE),exact(Metadata!J895,"655179"))</f>
        <v>0</v>
      </c>
    </row>
    <row r="896" spans="1:29">
      <c r="A896" s="5">
        <f>IF(B896=" "," ",HYPERLINK(CONCATENATE("#metadata!",ADDRESS(INDEX($P$2:$P$1001,MATCH(ROWS($N$2:N896),$N$2:$N$1001,0),0),1)),INDEX($S$2:$S$1001,MATCH(ROWS($N$2:N896),$N$2:$N$1001,0),0)))</f>
        <v>0</v>
      </c>
      <c r="B896" s="4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4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4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4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4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4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4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4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4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OR(AND(IF(Metadata!C896="",FALSE,TRUE),OR(exact(Metadata!C896,"not applicable"),exact(Metadata!C896,"not collected"),exact(Metadata!C896,"not provided"),exact(Metadata!C896,"restricted access"))),IF(Metadata!C896="",FALSE,ISNUMBER(VALUE(Metadata!C896))))</f>
        <v>0</v>
      </c>
      <c r="W896">
        <f>AND(IF(Metadata!D896="",FALSE,TRUE),exact(Metadata!D896,"m"))</f>
        <v>0</v>
      </c>
      <c r="X896">
        <f>AND(IF(Metadata!E896="",FALSE,TRUE),OR(exact(Metadata!E896,"aerosol (non-saline)"),exact(Metadata!E896,"aerosol (saline)")))</f>
        <v>0</v>
      </c>
      <c r="Y896">
        <f>AND(IF(Metadata!F896="",FALSE,TRUE),exact(Metadata!F896,"air"))</f>
        <v>0</v>
      </c>
      <c r="Z896">
        <f>AND(IF(Metadata!G896="",FALSE,TRUE),exact(Metadata!G896,"air"))</f>
        <v>0</v>
      </c>
      <c r="AA896">
        <f>AND(IF(Metadata!H896="",FALSE,TRUE),exact(Metadata!H896,"air"))</f>
        <v>0</v>
      </c>
      <c r="AB896">
        <f>AND(IF(Metadata!I896="",FALSE,TRUE),exact(Metadata!I896,"air metagenome"))</f>
        <v>0</v>
      </c>
      <c r="AC896">
        <f>AND(IF(Metadata!J896="",FALSE,TRUE),exact(Metadata!J896,"655179"))</f>
        <v>0</v>
      </c>
    </row>
    <row r="897" spans="1:29">
      <c r="A897" s="5">
        <f>IF(B897=" "," ",HYPERLINK(CONCATENATE("#metadata!",ADDRESS(INDEX($P$2:$P$1001,MATCH(ROWS($N$2:N897),$N$2:$N$1001,0),0),1)),INDEX($S$2:$S$1001,MATCH(ROWS($N$2:N897),$N$2:$N$1001,0),0)))</f>
        <v>0</v>
      </c>
      <c r="B897" s="4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4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4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4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4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4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4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4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4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OR(AND(IF(Metadata!C897="",FALSE,TRUE),OR(exact(Metadata!C897,"not applicable"),exact(Metadata!C897,"not collected"),exact(Metadata!C897,"not provided"),exact(Metadata!C897,"restricted access"))),IF(Metadata!C897="",FALSE,ISNUMBER(VALUE(Metadata!C897))))</f>
        <v>0</v>
      </c>
      <c r="W897">
        <f>AND(IF(Metadata!D897="",FALSE,TRUE),exact(Metadata!D897,"m"))</f>
        <v>0</v>
      </c>
      <c r="X897">
        <f>AND(IF(Metadata!E897="",FALSE,TRUE),OR(exact(Metadata!E897,"aerosol (non-saline)"),exact(Metadata!E897,"aerosol (saline)")))</f>
        <v>0</v>
      </c>
      <c r="Y897">
        <f>AND(IF(Metadata!F897="",FALSE,TRUE),exact(Metadata!F897,"air"))</f>
        <v>0</v>
      </c>
      <c r="Z897">
        <f>AND(IF(Metadata!G897="",FALSE,TRUE),exact(Metadata!G897,"air"))</f>
        <v>0</v>
      </c>
      <c r="AA897">
        <f>AND(IF(Metadata!H897="",FALSE,TRUE),exact(Metadata!H897,"air"))</f>
        <v>0</v>
      </c>
      <c r="AB897">
        <f>AND(IF(Metadata!I897="",FALSE,TRUE),exact(Metadata!I897,"air metagenome"))</f>
        <v>0</v>
      </c>
      <c r="AC897">
        <f>AND(IF(Metadata!J897="",FALSE,TRUE),exact(Metadata!J897,"655179"))</f>
        <v>0</v>
      </c>
    </row>
    <row r="898" spans="1:29">
      <c r="A898" s="5">
        <f>IF(B898=" "," ",HYPERLINK(CONCATENATE("#metadata!",ADDRESS(INDEX($P$2:$P$1001,MATCH(ROWS($N$2:N898),$N$2:$N$1001,0),0),1)),INDEX($S$2:$S$1001,MATCH(ROWS($N$2:N898),$N$2:$N$1001,0),0)))</f>
        <v>0</v>
      </c>
      <c r="B898" s="4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4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4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4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4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4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4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4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4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OR(AND(IF(Metadata!C898="",FALSE,TRUE),OR(exact(Metadata!C898,"not applicable"),exact(Metadata!C898,"not collected"),exact(Metadata!C898,"not provided"),exact(Metadata!C898,"restricted access"))),IF(Metadata!C898="",FALSE,ISNUMBER(VALUE(Metadata!C898))))</f>
        <v>0</v>
      </c>
      <c r="W898">
        <f>AND(IF(Metadata!D898="",FALSE,TRUE),exact(Metadata!D898,"m"))</f>
        <v>0</v>
      </c>
      <c r="X898">
        <f>AND(IF(Metadata!E898="",FALSE,TRUE),OR(exact(Metadata!E898,"aerosol (non-saline)"),exact(Metadata!E898,"aerosol (saline)")))</f>
        <v>0</v>
      </c>
      <c r="Y898">
        <f>AND(IF(Metadata!F898="",FALSE,TRUE),exact(Metadata!F898,"air"))</f>
        <v>0</v>
      </c>
      <c r="Z898">
        <f>AND(IF(Metadata!G898="",FALSE,TRUE),exact(Metadata!G898,"air"))</f>
        <v>0</v>
      </c>
      <c r="AA898">
        <f>AND(IF(Metadata!H898="",FALSE,TRUE),exact(Metadata!H898,"air"))</f>
        <v>0</v>
      </c>
      <c r="AB898">
        <f>AND(IF(Metadata!I898="",FALSE,TRUE),exact(Metadata!I898,"air metagenome"))</f>
        <v>0</v>
      </c>
      <c r="AC898">
        <f>AND(IF(Metadata!J898="",FALSE,TRUE),exact(Metadata!J898,"655179"))</f>
        <v>0</v>
      </c>
    </row>
    <row r="899" spans="1:29">
      <c r="A899" s="5">
        <f>IF(B899=" "," ",HYPERLINK(CONCATENATE("#metadata!",ADDRESS(INDEX($P$2:$P$1001,MATCH(ROWS($N$2:N899),$N$2:$N$1001,0),0),1)),INDEX($S$2:$S$1001,MATCH(ROWS($N$2:N899),$N$2:$N$1001,0),0)))</f>
        <v>0</v>
      </c>
      <c r="B899" s="4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4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4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4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4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4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4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4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4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OR(AND(IF(Metadata!C899="",FALSE,TRUE),OR(exact(Metadata!C899,"not applicable"),exact(Metadata!C899,"not collected"),exact(Metadata!C899,"not provided"),exact(Metadata!C899,"restricted access"))),IF(Metadata!C899="",FALSE,ISNUMBER(VALUE(Metadata!C899))))</f>
        <v>0</v>
      </c>
      <c r="W899">
        <f>AND(IF(Metadata!D899="",FALSE,TRUE),exact(Metadata!D899,"m"))</f>
        <v>0</v>
      </c>
      <c r="X899">
        <f>AND(IF(Metadata!E899="",FALSE,TRUE),OR(exact(Metadata!E899,"aerosol (non-saline)"),exact(Metadata!E899,"aerosol (saline)")))</f>
        <v>0</v>
      </c>
      <c r="Y899">
        <f>AND(IF(Metadata!F899="",FALSE,TRUE),exact(Metadata!F899,"air"))</f>
        <v>0</v>
      </c>
      <c r="Z899">
        <f>AND(IF(Metadata!G899="",FALSE,TRUE),exact(Metadata!G899,"air"))</f>
        <v>0</v>
      </c>
      <c r="AA899">
        <f>AND(IF(Metadata!H899="",FALSE,TRUE),exact(Metadata!H899,"air"))</f>
        <v>0</v>
      </c>
      <c r="AB899">
        <f>AND(IF(Metadata!I899="",FALSE,TRUE),exact(Metadata!I899,"air metagenome"))</f>
        <v>0</v>
      </c>
      <c r="AC899">
        <f>AND(IF(Metadata!J899="",FALSE,TRUE),exact(Metadata!J899,"655179"))</f>
        <v>0</v>
      </c>
    </row>
    <row r="900" spans="1:29">
      <c r="A900" s="5">
        <f>IF(B900=" "," ",HYPERLINK(CONCATENATE("#metadata!",ADDRESS(INDEX($P$2:$P$1001,MATCH(ROWS($N$2:N900),$N$2:$N$1001,0),0),1)),INDEX($S$2:$S$1001,MATCH(ROWS($N$2:N900),$N$2:$N$1001,0),0)))</f>
        <v>0</v>
      </c>
      <c r="B900" s="4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4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4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4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4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4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4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4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4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OR(AND(IF(Metadata!C900="",FALSE,TRUE),OR(exact(Metadata!C900,"not applicable"),exact(Metadata!C900,"not collected"),exact(Metadata!C900,"not provided"),exact(Metadata!C900,"restricted access"))),IF(Metadata!C900="",FALSE,ISNUMBER(VALUE(Metadata!C900))))</f>
        <v>0</v>
      </c>
      <c r="W900">
        <f>AND(IF(Metadata!D900="",FALSE,TRUE),exact(Metadata!D900,"m"))</f>
        <v>0</v>
      </c>
      <c r="X900">
        <f>AND(IF(Metadata!E900="",FALSE,TRUE),OR(exact(Metadata!E900,"aerosol (non-saline)"),exact(Metadata!E900,"aerosol (saline)")))</f>
        <v>0</v>
      </c>
      <c r="Y900">
        <f>AND(IF(Metadata!F900="",FALSE,TRUE),exact(Metadata!F900,"air"))</f>
        <v>0</v>
      </c>
      <c r="Z900">
        <f>AND(IF(Metadata!G900="",FALSE,TRUE),exact(Metadata!G900,"air"))</f>
        <v>0</v>
      </c>
      <c r="AA900">
        <f>AND(IF(Metadata!H900="",FALSE,TRUE),exact(Metadata!H900,"air"))</f>
        <v>0</v>
      </c>
      <c r="AB900">
        <f>AND(IF(Metadata!I900="",FALSE,TRUE),exact(Metadata!I900,"air metagenome"))</f>
        <v>0</v>
      </c>
      <c r="AC900">
        <f>AND(IF(Metadata!J900="",FALSE,TRUE),exact(Metadata!J900,"655179"))</f>
        <v>0</v>
      </c>
    </row>
    <row r="901" spans="1:29">
      <c r="A901" s="5">
        <f>IF(B901=" "," ",HYPERLINK(CONCATENATE("#metadata!",ADDRESS(INDEX($P$2:$P$1001,MATCH(ROWS($N$2:N901),$N$2:$N$1001,0),0),1)),INDEX($S$2:$S$1001,MATCH(ROWS($N$2:N901),$N$2:$N$1001,0),0)))</f>
        <v>0</v>
      </c>
      <c r="B901" s="4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4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4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4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4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4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4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4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4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OR(AND(IF(Metadata!C901="",FALSE,TRUE),OR(exact(Metadata!C901,"not applicable"),exact(Metadata!C901,"not collected"),exact(Metadata!C901,"not provided"),exact(Metadata!C901,"restricted access"))),IF(Metadata!C901="",FALSE,ISNUMBER(VALUE(Metadata!C901))))</f>
        <v>0</v>
      </c>
      <c r="W901">
        <f>AND(IF(Metadata!D901="",FALSE,TRUE),exact(Metadata!D901,"m"))</f>
        <v>0</v>
      </c>
      <c r="X901">
        <f>AND(IF(Metadata!E901="",FALSE,TRUE),OR(exact(Metadata!E901,"aerosol (non-saline)"),exact(Metadata!E901,"aerosol (saline)")))</f>
        <v>0</v>
      </c>
      <c r="Y901">
        <f>AND(IF(Metadata!F901="",FALSE,TRUE),exact(Metadata!F901,"air"))</f>
        <v>0</v>
      </c>
      <c r="Z901">
        <f>AND(IF(Metadata!G901="",FALSE,TRUE),exact(Metadata!G901,"air"))</f>
        <v>0</v>
      </c>
      <c r="AA901">
        <f>AND(IF(Metadata!H901="",FALSE,TRUE),exact(Metadata!H901,"air"))</f>
        <v>0</v>
      </c>
      <c r="AB901">
        <f>AND(IF(Metadata!I901="",FALSE,TRUE),exact(Metadata!I901,"air metagenome"))</f>
        <v>0</v>
      </c>
      <c r="AC901">
        <f>AND(IF(Metadata!J901="",FALSE,TRUE),exact(Metadata!J901,"655179"))</f>
        <v>0</v>
      </c>
    </row>
    <row r="902" spans="1:29">
      <c r="A902" s="5">
        <f>IF(B902=" "," ",HYPERLINK(CONCATENATE("#metadata!",ADDRESS(INDEX($P$2:$P$1001,MATCH(ROWS($N$2:N902),$N$2:$N$1001,0),0),1)),INDEX($S$2:$S$1001,MATCH(ROWS($N$2:N902),$N$2:$N$1001,0),0)))</f>
        <v>0</v>
      </c>
      <c r="B902" s="4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4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4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4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4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4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4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4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4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OR(AND(IF(Metadata!C902="",FALSE,TRUE),OR(exact(Metadata!C902,"not applicable"),exact(Metadata!C902,"not collected"),exact(Metadata!C902,"not provided"),exact(Metadata!C902,"restricted access"))),IF(Metadata!C902="",FALSE,ISNUMBER(VALUE(Metadata!C902))))</f>
        <v>0</v>
      </c>
      <c r="W902">
        <f>AND(IF(Metadata!D902="",FALSE,TRUE),exact(Metadata!D902,"m"))</f>
        <v>0</v>
      </c>
      <c r="X902">
        <f>AND(IF(Metadata!E902="",FALSE,TRUE),OR(exact(Metadata!E902,"aerosol (non-saline)"),exact(Metadata!E902,"aerosol (saline)")))</f>
        <v>0</v>
      </c>
      <c r="Y902">
        <f>AND(IF(Metadata!F902="",FALSE,TRUE),exact(Metadata!F902,"air"))</f>
        <v>0</v>
      </c>
      <c r="Z902">
        <f>AND(IF(Metadata!G902="",FALSE,TRUE),exact(Metadata!G902,"air"))</f>
        <v>0</v>
      </c>
      <c r="AA902">
        <f>AND(IF(Metadata!H902="",FALSE,TRUE),exact(Metadata!H902,"air"))</f>
        <v>0</v>
      </c>
      <c r="AB902">
        <f>AND(IF(Metadata!I902="",FALSE,TRUE),exact(Metadata!I902,"air metagenome"))</f>
        <v>0</v>
      </c>
      <c r="AC902">
        <f>AND(IF(Metadata!J902="",FALSE,TRUE),exact(Metadata!J902,"655179"))</f>
        <v>0</v>
      </c>
    </row>
    <row r="903" spans="1:29">
      <c r="A903" s="5">
        <f>IF(B903=" "," ",HYPERLINK(CONCATENATE("#metadata!",ADDRESS(INDEX($P$2:$P$1001,MATCH(ROWS($N$2:N903),$N$2:$N$1001,0),0),1)),INDEX($S$2:$S$1001,MATCH(ROWS($N$2:N903),$N$2:$N$1001,0),0)))</f>
        <v>0</v>
      </c>
      <c r="B903" s="4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4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4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4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4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4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4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4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4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OR(AND(IF(Metadata!C903="",FALSE,TRUE),OR(exact(Metadata!C903,"not applicable"),exact(Metadata!C903,"not collected"),exact(Metadata!C903,"not provided"),exact(Metadata!C903,"restricted access"))),IF(Metadata!C903="",FALSE,ISNUMBER(VALUE(Metadata!C903))))</f>
        <v>0</v>
      </c>
      <c r="W903">
        <f>AND(IF(Metadata!D903="",FALSE,TRUE),exact(Metadata!D903,"m"))</f>
        <v>0</v>
      </c>
      <c r="X903">
        <f>AND(IF(Metadata!E903="",FALSE,TRUE),OR(exact(Metadata!E903,"aerosol (non-saline)"),exact(Metadata!E903,"aerosol (saline)")))</f>
        <v>0</v>
      </c>
      <c r="Y903">
        <f>AND(IF(Metadata!F903="",FALSE,TRUE),exact(Metadata!F903,"air"))</f>
        <v>0</v>
      </c>
      <c r="Z903">
        <f>AND(IF(Metadata!G903="",FALSE,TRUE),exact(Metadata!G903,"air"))</f>
        <v>0</v>
      </c>
      <c r="AA903">
        <f>AND(IF(Metadata!H903="",FALSE,TRUE),exact(Metadata!H903,"air"))</f>
        <v>0</v>
      </c>
      <c r="AB903">
        <f>AND(IF(Metadata!I903="",FALSE,TRUE),exact(Metadata!I903,"air metagenome"))</f>
        <v>0</v>
      </c>
      <c r="AC903">
        <f>AND(IF(Metadata!J903="",FALSE,TRUE),exact(Metadata!J903,"655179"))</f>
        <v>0</v>
      </c>
    </row>
    <row r="904" spans="1:29">
      <c r="A904" s="5">
        <f>IF(B904=" "," ",HYPERLINK(CONCATENATE("#metadata!",ADDRESS(INDEX($P$2:$P$1001,MATCH(ROWS($N$2:N904),$N$2:$N$1001,0),0),1)),INDEX($S$2:$S$1001,MATCH(ROWS($N$2:N904),$N$2:$N$1001,0),0)))</f>
        <v>0</v>
      </c>
      <c r="B904" s="4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4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4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4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4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4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4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4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4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OR(AND(IF(Metadata!C904="",FALSE,TRUE),OR(exact(Metadata!C904,"not applicable"),exact(Metadata!C904,"not collected"),exact(Metadata!C904,"not provided"),exact(Metadata!C904,"restricted access"))),IF(Metadata!C904="",FALSE,ISNUMBER(VALUE(Metadata!C904))))</f>
        <v>0</v>
      </c>
      <c r="W904">
        <f>AND(IF(Metadata!D904="",FALSE,TRUE),exact(Metadata!D904,"m"))</f>
        <v>0</v>
      </c>
      <c r="X904">
        <f>AND(IF(Metadata!E904="",FALSE,TRUE),OR(exact(Metadata!E904,"aerosol (non-saline)"),exact(Metadata!E904,"aerosol (saline)")))</f>
        <v>0</v>
      </c>
      <c r="Y904">
        <f>AND(IF(Metadata!F904="",FALSE,TRUE),exact(Metadata!F904,"air"))</f>
        <v>0</v>
      </c>
      <c r="Z904">
        <f>AND(IF(Metadata!G904="",FALSE,TRUE),exact(Metadata!G904,"air"))</f>
        <v>0</v>
      </c>
      <c r="AA904">
        <f>AND(IF(Metadata!H904="",FALSE,TRUE),exact(Metadata!H904,"air"))</f>
        <v>0</v>
      </c>
      <c r="AB904">
        <f>AND(IF(Metadata!I904="",FALSE,TRUE),exact(Metadata!I904,"air metagenome"))</f>
        <v>0</v>
      </c>
      <c r="AC904">
        <f>AND(IF(Metadata!J904="",FALSE,TRUE),exact(Metadata!J904,"655179"))</f>
        <v>0</v>
      </c>
    </row>
    <row r="905" spans="1:29">
      <c r="A905" s="5">
        <f>IF(B905=" "," ",HYPERLINK(CONCATENATE("#metadata!",ADDRESS(INDEX($P$2:$P$1001,MATCH(ROWS($N$2:N905),$N$2:$N$1001,0),0),1)),INDEX($S$2:$S$1001,MATCH(ROWS($N$2:N905),$N$2:$N$1001,0),0)))</f>
        <v>0</v>
      </c>
      <c r="B905" s="4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4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4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4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4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4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4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4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4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OR(AND(IF(Metadata!C905="",FALSE,TRUE),OR(exact(Metadata!C905,"not applicable"),exact(Metadata!C905,"not collected"),exact(Metadata!C905,"not provided"),exact(Metadata!C905,"restricted access"))),IF(Metadata!C905="",FALSE,ISNUMBER(VALUE(Metadata!C905))))</f>
        <v>0</v>
      </c>
      <c r="W905">
        <f>AND(IF(Metadata!D905="",FALSE,TRUE),exact(Metadata!D905,"m"))</f>
        <v>0</v>
      </c>
      <c r="X905">
        <f>AND(IF(Metadata!E905="",FALSE,TRUE),OR(exact(Metadata!E905,"aerosol (non-saline)"),exact(Metadata!E905,"aerosol (saline)")))</f>
        <v>0</v>
      </c>
      <c r="Y905">
        <f>AND(IF(Metadata!F905="",FALSE,TRUE),exact(Metadata!F905,"air"))</f>
        <v>0</v>
      </c>
      <c r="Z905">
        <f>AND(IF(Metadata!G905="",FALSE,TRUE),exact(Metadata!G905,"air"))</f>
        <v>0</v>
      </c>
      <c r="AA905">
        <f>AND(IF(Metadata!H905="",FALSE,TRUE),exact(Metadata!H905,"air"))</f>
        <v>0</v>
      </c>
      <c r="AB905">
        <f>AND(IF(Metadata!I905="",FALSE,TRUE),exact(Metadata!I905,"air metagenome"))</f>
        <v>0</v>
      </c>
      <c r="AC905">
        <f>AND(IF(Metadata!J905="",FALSE,TRUE),exact(Metadata!J905,"655179"))</f>
        <v>0</v>
      </c>
    </row>
    <row r="906" spans="1:29">
      <c r="A906" s="5">
        <f>IF(B906=" "," ",HYPERLINK(CONCATENATE("#metadata!",ADDRESS(INDEX($P$2:$P$1001,MATCH(ROWS($N$2:N906),$N$2:$N$1001,0),0),1)),INDEX($S$2:$S$1001,MATCH(ROWS($N$2:N906),$N$2:$N$1001,0),0)))</f>
        <v>0</v>
      </c>
      <c r="B906" s="4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4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4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4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4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4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4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4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4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OR(AND(IF(Metadata!C906="",FALSE,TRUE),OR(exact(Metadata!C906,"not applicable"),exact(Metadata!C906,"not collected"),exact(Metadata!C906,"not provided"),exact(Metadata!C906,"restricted access"))),IF(Metadata!C906="",FALSE,ISNUMBER(VALUE(Metadata!C906))))</f>
        <v>0</v>
      </c>
      <c r="W906">
        <f>AND(IF(Metadata!D906="",FALSE,TRUE),exact(Metadata!D906,"m"))</f>
        <v>0</v>
      </c>
      <c r="X906">
        <f>AND(IF(Metadata!E906="",FALSE,TRUE),OR(exact(Metadata!E906,"aerosol (non-saline)"),exact(Metadata!E906,"aerosol (saline)")))</f>
        <v>0</v>
      </c>
      <c r="Y906">
        <f>AND(IF(Metadata!F906="",FALSE,TRUE),exact(Metadata!F906,"air"))</f>
        <v>0</v>
      </c>
      <c r="Z906">
        <f>AND(IF(Metadata!G906="",FALSE,TRUE),exact(Metadata!G906,"air"))</f>
        <v>0</v>
      </c>
      <c r="AA906">
        <f>AND(IF(Metadata!H906="",FALSE,TRUE),exact(Metadata!H906,"air"))</f>
        <v>0</v>
      </c>
      <c r="AB906">
        <f>AND(IF(Metadata!I906="",FALSE,TRUE),exact(Metadata!I906,"air metagenome"))</f>
        <v>0</v>
      </c>
      <c r="AC906">
        <f>AND(IF(Metadata!J906="",FALSE,TRUE),exact(Metadata!J906,"655179"))</f>
        <v>0</v>
      </c>
    </row>
    <row r="907" spans="1:29">
      <c r="A907" s="5">
        <f>IF(B907=" "," ",HYPERLINK(CONCATENATE("#metadata!",ADDRESS(INDEX($P$2:$P$1001,MATCH(ROWS($N$2:N907),$N$2:$N$1001,0),0),1)),INDEX($S$2:$S$1001,MATCH(ROWS($N$2:N907),$N$2:$N$1001,0),0)))</f>
        <v>0</v>
      </c>
      <c r="B907" s="4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4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4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4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4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4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4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4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4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OR(AND(IF(Metadata!C907="",FALSE,TRUE),OR(exact(Metadata!C907,"not applicable"),exact(Metadata!C907,"not collected"),exact(Metadata!C907,"not provided"),exact(Metadata!C907,"restricted access"))),IF(Metadata!C907="",FALSE,ISNUMBER(VALUE(Metadata!C907))))</f>
        <v>0</v>
      </c>
      <c r="W907">
        <f>AND(IF(Metadata!D907="",FALSE,TRUE),exact(Metadata!D907,"m"))</f>
        <v>0</v>
      </c>
      <c r="X907">
        <f>AND(IF(Metadata!E907="",FALSE,TRUE),OR(exact(Metadata!E907,"aerosol (non-saline)"),exact(Metadata!E907,"aerosol (saline)")))</f>
        <v>0</v>
      </c>
      <c r="Y907">
        <f>AND(IF(Metadata!F907="",FALSE,TRUE),exact(Metadata!F907,"air"))</f>
        <v>0</v>
      </c>
      <c r="Z907">
        <f>AND(IF(Metadata!G907="",FALSE,TRUE),exact(Metadata!G907,"air"))</f>
        <v>0</v>
      </c>
      <c r="AA907">
        <f>AND(IF(Metadata!H907="",FALSE,TRUE),exact(Metadata!H907,"air"))</f>
        <v>0</v>
      </c>
      <c r="AB907">
        <f>AND(IF(Metadata!I907="",FALSE,TRUE),exact(Metadata!I907,"air metagenome"))</f>
        <v>0</v>
      </c>
      <c r="AC907">
        <f>AND(IF(Metadata!J907="",FALSE,TRUE),exact(Metadata!J907,"655179"))</f>
        <v>0</v>
      </c>
    </row>
    <row r="908" spans="1:29">
      <c r="A908" s="5">
        <f>IF(B908=" "," ",HYPERLINK(CONCATENATE("#metadata!",ADDRESS(INDEX($P$2:$P$1001,MATCH(ROWS($N$2:N908),$N$2:$N$1001,0),0),1)),INDEX($S$2:$S$1001,MATCH(ROWS($N$2:N908),$N$2:$N$1001,0),0)))</f>
        <v>0</v>
      </c>
      <c r="B908" s="4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4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4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4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4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4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4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4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4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OR(AND(IF(Metadata!C908="",FALSE,TRUE),OR(exact(Metadata!C908,"not applicable"),exact(Metadata!C908,"not collected"),exact(Metadata!C908,"not provided"),exact(Metadata!C908,"restricted access"))),IF(Metadata!C908="",FALSE,ISNUMBER(VALUE(Metadata!C908))))</f>
        <v>0</v>
      </c>
      <c r="W908">
        <f>AND(IF(Metadata!D908="",FALSE,TRUE),exact(Metadata!D908,"m"))</f>
        <v>0</v>
      </c>
      <c r="X908">
        <f>AND(IF(Metadata!E908="",FALSE,TRUE),OR(exact(Metadata!E908,"aerosol (non-saline)"),exact(Metadata!E908,"aerosol (saline)")))</f>
        <v>0</v>
      </c>
      <c r="Y908">
        <f>AND(IF(Metadata!F908="",FALSE,TRUE),exact(Metadata!F908,"air"))</f>
        <v>0</v>
      </c>
      <c r="Z908">
        <f>AND(IF(Metadata!G908="",FALSE,TRUE),exact(Metadata!G908,"air"))</f>
        <v>0</v>
      </c>
      <c r="AA908">
        <f>AND(IF(Metadata!H908="",FALSE,TRUE),exact(Metadata!H908,"air"))</f>
        <v>0</v>
      </c>
      <c r="AB908">
        <f>AND(IF(Metadata!I908="",FALSE,TRUE),exact(Metadata!I908,"air metagenome"))</f>
        <v>0</v>
      </c>
      <c r="AC908">
        <f>AND(IF(Metadata!J908="",FALSE,TRUE),exact(Metadata!J908,"655179"))</f>
        <v>0</v>
      </c>
    </row>
    <row r="909" spans="1:29">
      <c r="A909" s="5">
        <f>IF(B909=" "," ",HYPERLINK(CONCATENATE("#metadata!",ADDRESS(INDEX($P$2:$P$1001,MATCH(ROWS($N$2:N909),$N$2:$N$1001,0),0),1)),INDEX($S$2:$S$1001,MATCH(ROWS($N$2:N909),$N$2:$N$1001,0),0)))</f>
        <v>0</v>
      </c>
      <c r="B909" s="4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4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4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4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4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4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4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4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4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OR(AND(IF(Metadata!C909="",FALSE,TRUE),OR(exact(Metadata!C909,"not applicable"),exact(Metadata!C909,"not collected"),exact(Metadata!C909,"not provided"),exact(Metadata!C909,"restricted access"))),IF(Metadata!C909="",FALSE,ISNUMBER(VALUE(Metadata!C909))))</f>
        <v>0</v>
      </c>
      <c r="W909">
        <f>AND(IF(Metadata!D909="",FALSE,TRUE),exact(Metadata!D909,"m"))</f>
        <v>0</v>
      </c>
      <c r="X909">
        <f>AND(IF(Metadata!E909="",FALSE,TRUE),OR(exact(Metadata!E909,"aerosol (non-saline)"),exact(Metadata!E909,"aerosol (saline)")))</f>
        <v>0</v>
      </c>
      <c r="Y909">
        <f>AND(IF(Metadata!F909="",FALSE,TRUE),exact(Metadata!F909,"air"))</f>
        <v>0</v>
      </c>
      <c r="Z909">
        <f>AND(IF(Metadata!G909="",FALSE,TRUE),exact(Metadata!G909,"air"))</f>
        <v>0</v>
      </c>
      <c r="AA909">
        <f>AND(IF(Metadata!H909="",FALSE,TRUE),exact(Metadata!H909,"air"))</f>
        <v>0</v>
      </c>
      <c r="AB909">
        <f>AND(IF(Metadata!I909="",FALSE,TRUE),exact(Metadata!I909,"air metagenome"))</f>
        <v>0</v>
      </c>
      <c r="AC909">
        <f>AND(IF(Metadata!J909="",FALSE,TRUE),exact(Metadata!J909,"655179"))</f>
        <v>0</v>
      </c>
    </row>
    <row r="910" spans="1:29">
      <c r="A910" s="5">
        <f>IF(B910=" "," ",HYPERLINK(CONCATENATE("#metadata!",ADDRESS(INDEX($P$2:$P$1001,MATCH(ROWS($N$2:N910),$N$2:$N$1001,0),0),1)),INDEX($S$2:$S$1001,MATCH(ROWS($N$2:N910),$N$2:$N$1001,0),0)))</f>
        <v>0</v>
      </c>
      <c r="B910" s="4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4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4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4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4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4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4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4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4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OR(AND(IF(Metadata!C910="",FALSE,TRUE),OR(exact(Metadata!C910,"not applicable"),exact(Metadata!C910,"not collected"),exact(Metadata!C910,"not provided"),exact(Metadata!C910,"restricted access"))),IF(Metadata!C910="",FALSE,ISNUMBER(VALUE(Metadata!C910))))</f>
        <v>0</v>
      </c>
      <c r="W910">
        <f>AND(IF(Metadata!D910="",FALSE,TRUE),exact(Metadata!D910,"m"))</f>
        <v>0</v>
      </c>
      <c r="X910">
        <f>AND(IF(Metadata!E910="",FALSE,TRUE),OR(exact(Metadata!E910,"aerosol (non-saline)"),exact(Metadata!E910,"aerosol (saline)")))</f>
        <v>0</v>
      </c>
      <c r="Y910">
        <f>AND(IF(Metadata!F910="",FALSE,TRUE),exact(Metadata!F910,"air"))</f>
        <v>0</v>
      </c>
      <c r="Z910">
        <f>AND(IF(Metadata!G910="",FALSE,TRUE),exact(Metadata!G910,"air"))</f>
        <v>0</v>
      </c>
      <c r="AA910">
        <f>AND(IF(Metadata!H910="",FALSE,TRUE),exact(Metadata!H910,"air"))</f>
        <v>0</v>
      </c>
      <c r="AB910">
        <f>AND(IF(Metadata!I910="",FALSE,TRUE),exact(Metadata!I910,"air metagenome"))</f>
        <v>0</v>
      </c>
      <c r="AC910">
        <f>AND(IF(Metadata!J910="",FALSE,TRUE),exact(Metadata!J910,"655179"))</f>
        <v>0</v>
      </c>
    </row>
    <row r="911" spans="1:29">
      <c r="A911" s="5">
        <f>IF(B911=" "," ",HYPERLINK(CONCATENATE("#metadata!",ADDRESS(INDEX($P$2:$P$1001,MATCH(ROWS($N$2:N911),$N$2:$N$1001,0),0),1)),INDEX($S$2:$S$1001,MATCH(ROWS($N$2:N911),$N$2:$N$1001,0),0)))</f>
        <v>0</v>
      </c>
      <c r="B911" s="4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4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4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4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4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4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4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4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4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OR(AND(IF(Metadata!C911="",FALSE,TRUE),OR(exact(Metadata!C911,"not applicable"),exact(Metadata!C911,"not collected"),exact(Metadata!C911,"not provided"),exact(Metadata!C911,"restricted access"))),IF(Metadata!C911="",FALSE,ISNUMBER(VALUE(Metadata!C911))))</f>
        <v>0</v>
      </c>
      <c r="W911">
        <f>AND(IF(Metadata!D911="",FALSE,TRUE),exact(Metadata!D911,"m"))</f>
        <v>0</v>
      </c>
      <c r="X911">
        <f>AND(IF(Metadata!E911="",FALSE,TRUE),OR(exact(Metadata!E911,"aerosol (non-saline)"),exact(Metadata!E911,"aerosol (saline)")))</f>
        <v>0</v>
      </c>
      <c r="Y911">
        <f>AND(IF(Metadata!F911="",FALSE,TRUE),exact(Metadata!F911,"air"))</f>
        <v>0</v>
      </c>
      <c r="Z911">
        <f>AND(IF(Metadata!G911="",FALSE,TRUE),exact(Metadata!G911,"air"))</f>
        <v>0</v>
      </c>
      <c r="AA911">
        <f>AND(IF(Metadata!H911="",FALSE,TRUE),exact(Metadata!H911,"air"))</f>
        <v>0</v>
      </c>
      <c r="AB911">
        <f>AND(IF(Metadata!I911="",FALSE,TRUE),exact(Metadata!I911,"air metagenome"))</f>
        <v>0</v>
      </c>
      <c r="AC911">
        <f>AND(IF(Metadata!J911="",FALSE,TRUE),exact(Metadata!J911,"655179"))</f>
        <v>0</v>
      </c>
    </row>
    <row r="912" spans="1:29">
      <c r="A912" s="5">
        <f>IF(B912=" "," ",HYPERLINK(CONCATENATE("#metadata!",ADDRESS(INDEX($P$2:$P$1001,MATCH(ROWS($N$2:N912),$N$2:$N$1001,0),0),1)),INDEX($S$2:$S$1001,MATCH(ROWS($N$2:N912),$N$2:$N$1001,0),0)))</f>
        <v>0</v>
      </c>
      <c r="B912" s="4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4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4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4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4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4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4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4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4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OR(AND(IF(Metadata!C912="",FALSE,TRUE),OR(exact(Metadata!C912,"not applicable"),exact(Metadata!C912,"not collected"),exact(Metadata!C912,"not provided"),exact(Metadata!C912,"restricted access"))),IF(Metadata!C912="",FALSE,ISNUMBER(VALUE(Metadata!C912))))</f>
        <v>0</v>
      </c>
      <c r="W912">
        <f>AND(IF(Metadata!D912="",FALSE,TRUE),exact(Metadata!D912,"m"))</f>
        <v>0</v>
      </c>
      <c r="X912">
        <f>AND(IF(Metadata!E912="",FALSE,TRUE),OR(exact(Metadata!E912,"aerosol (non-saline)"),exact(Metadata!E912,"aerosol (saline)")))</f>
        <v>0</v>
      </c>
      <c r="Y912">
        <f>AND(IF(Metadata!F912="",FALSE,TRUE),exact(Metadata!F912,"air"))</f>
        <v>0</v>
      </c>
      <c r="Z912">
        <f>AND(IF(Metadata!G912="",FALSE,TRUE),exact(Metadata!G912,"air"))</f>
        <v>0</v>
      </c>
      <c r="AA912">
        <f>AND(IF(Metadata!H912="",FALSE,TRUE),exact(Metadata!H912,"air"))</f>
        <v>0</v>
      </c>
      <c r="AB912">
        <f>AND(IF(Metadata!I912="",FALSE,TRUE),exact(Metadata!I912,"air metagenome"))</f>
        <v>0</v>
      </c>
      <c r="AC912">
        <f>AND(IF(Metadata!J912="",FALSE,TRUE),exact(Metadata!J912,"655179"))</f>
        <v>0</v>
      </c>
    </row>
    <row r="913" spans="1:29">
      <c r="A913" s="5">
        <f>IF(B913=" "," ",HYPERLINK(CONCATENATE("#metadata!",ADDRESS(INDEX($P$2:$P$1001,MATCH(ROWS($N$2:N913),$N$2:$N$1001,0),0),1)),INDEX($S$2:$S$1001,MATCH(ROWS($N$2:N913),$N$2:$N$1001,0),0)))</f>
        <v>0</v>
      </c>
      <c r="B913" s="4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4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4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4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4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4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4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4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4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OR(AND(IF(Metadata!C913="",FALSE,TRUE),OR(exact(Metadata!C913,"not applicable"),exact(Metadata!C913,"not collected"),exact(Metadata!C913,"not provided"),exact(Metadata!C913,"restricted access"))),IF(Metadata!C913="",FALSE,ISNUMBER(VALUE(Metadata!C913))))</f>
        <v>0</v>
      </c>
      <c r="W913">
        <f>AND(IF(Metadata!D913="",FALSE,TRUE),exact(Metadata!D913,"m"))</f>
        <v>0</v>
      </c>
      <c r="X913">
        <f>AND(IF(Metadata!E913="",FALSE,TRUE),OR(exact(Metadata!E913,"aerosol (non-saline)"),exact(Metadata!E913,"aerosol (saline)")))</f>
        <v>0</v>
      </c>
      <c r="Y913">
        <f>AND(IF(Metadata!F913="",FALSE,TRUE),exact(Metadata!F913,"air"))</f>
        <v>0</v>
      </c>
      <c r="Z913">
        <f>AND(IF(Metadata!G913="",FALSE,TRUE),exact(Metadata!G913,"air"))</f>
        <v>0</v>
      </c>
      <c r="AA913">
        <f>AND(IF(Metadata!H913="",FALSE,TRUE),exact(Metadata!H913,"air"))</f>
        <v>0</v>
      </c>
      <c r="AB913">
        <f>AND(IF(Metadata!I913="",FALSE,TRUE),exact(Metadata!I913,"air metagenome"))</f>
        <v>0</v>
      </c>
      <c r="AC913">
        <f>AND(IF(Metadata!J913="",FALSE,TRUE),exact(Metadata!J913,"655179"))</f>
        <v>0</v>
      </c>
    </row>
    <row r="914" spans="1:29">
      <c r="A914" s="5">
        <f>IF(B914=" "," ",HYPERLINK(CONCATENATE("#metadata!",ADDRESS(INDEX($P$2:$P$1001,MATCH(ROWS($N$2:N914),$N$2:$N$1001,0),0),1)),INDEX($S$2:$S$1001,MATCH(ROWS($N$2:N914),$N$2:$N$1001,0),0)))</f>
        <v>0</v>
      </c>
      <c r="B914" s="4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4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4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4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4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4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4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4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4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OR(AND(IF(Metadata!C914="",FALSE,TRUE),OR(exact(Metadata!C914,"not applicable"),exact(Metadata!C914,"not collected"),exact(Metadata!C914,"not provided"),exact(Metadata!C914,"restricted access"))),IF(Metadata!C914="",FALSE,ISNUMBER(VALUE(Metadata!C914))))</f>
        <v>0</v>
      </c>
      <c r="W914">
        <f>AND(IF(Metadata!D914="",FALSE,TRUE),exact(Metadata!D914,"m"))</f>
        <v>0</v>
      </c>
      <c r="X914">
        <f>AND(IF(Metadata!E914="",FALSE,TRUE),OR(exact(Metadata!E914,"aerosol (non-saline)"),exact(Metadata!E914,"aerosol (saline)")))</f>
        <v>0</v>
      </c>
      <c r="Y914">
        <f>AND(IF(Metadata!F914="",FALSE,TRUE),exact(Metadata!F914,"air"))</f>
        <v>0</v>
      </c>
      <c r="Z914">
        <f>AND(IF(Metadata!G914="",FALSE,TRUE),exact(Metadata!G914,"air"))</f>
        <v>0</v>
      </c>
      <c r="AA914">
        <f>AND(IF(Metadata!H914="",FALSE,TRUE),exact(Metadata!H914,"air"))</f>
        <v>0</v>
      </c>
      <c r="AB914">
        <f>AND(IF(Metadata!I914="",FALSE,TRUE),exact(Metadata!I914,"air metagenome"))</f>
        <v>0</v>
      </c>
      <c r="AC914">
        <f>AND(IF(Metadata!J914="",FALSE,TRUE),exact(Metadata!J914,"655179"))</f>
        <v>0</v>
      </c>
    </row>
    <row r="915" spans="1:29">
      <c r="A915" s="5">
        <f>IF(B915=" "," ",HYPERLINK(CONCATENATE("#metadata!",ADDRESS(INDEX($P$2:$P$1001,MATCH(ROWS($N$2:N915),$N$2:$N$1001,0),0),1)),INDEX($S$2:$S$1001,MATCH(ROWS($N$2:N915),$N$2:$N$1001,0),0)))</f>
        <v>0</v>
      </c>
      <c r="B915" s="4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4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4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4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4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4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4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4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4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OR(AND(IF(Metadata!C915="",FALSE,TRUE),OR(exact(Metadata!C915,"not applicable"),exact(Metadata!C915,"not collected"),exact(Metadata!C915,"not provided"),exact(Metadata!C915,"restricted access"))),IF(Metadata!C915="",FALSE,ISNUMBER(VALUE(Metadata!C915))))</f>
        <v>0</v>
      </c>
      <c r="W915">
        <f>AND(IF(Metadata!D915="",FALSE,TRUE),exact(Metadata!D915,"m"))</f>
        <v>0</v>
      </c>
      <c r="X915">
        <f>AND(IF(Metadata!E915="",FALSE,TRUE),OR(exact(Metadata!E915,"aerosol (non-saline)"),exact(Metadata!E915,"aerosol (saline)")))</f>
        <v>0</v>
      </c>
      <c r="Y915">
        <f>AND(IF(Metadata!F915="",FALSE,TRUE),exact(Metadata!F915,"air"))</f>
        <v>0</v>
      </c>
      <c r="Z915">
        <f>AND(IF(Metadata!G915="",FALSE,TRUE),exact(Metadata!G915,"air"))</f>
        <v>0</v>
      </c>
      <c r="AA915">
        <f>AND(IF(Metadata!H915="",FALSE,TRUE),exact(Metadata!H915,"air"))</f>
        <v>0</v>
      </c>
      <c r="AB915">
        <f>AND(IF(Metadata!I915="",FALSE,TRUE),exact(Metadata!I915,"air metagenome"))</f>
        <v>0</v>
      </c>
      <c r="AC915">
        <f>AND(IF(Metadata!J915="",FALSE,TRUE),exact(Metadata!J915,"655179"))</f>
        <v>0</v>
      </c>
    </row>
    <row r="916" spans="1:29">
      <c r="A916" s="5">
        <f>IF(B916=" "," ",HYPERLINK(CONCATENATE("#metadata!",ADDRESS(INDEX($P$2:$P$1001,MATCH(ROWS($N$2:N916),$N$2:$N$1001,0),0),1)),INDEX($S$2:$S$1001,MATCH(ROWS($N$2:N916),$N$2:$N$1001,0),0)))</f>
        <v>0</v>
      </c>
      <c r="B916" s="4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4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4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4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4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4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4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4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4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OR(AND(IF(Metadata!C916="",FALSE,TRUE),OR(exact(Metadata!C916,"not applicable"),exact(Metadata!C916,"not collected"),exact(Metadata!C916,"not provided"),exact(Metadata!C916,"restricted access"))),IF(Metadata!C916="",FALSE,ISNUMBER(VALUE(Metadata!C916))))</f>
        <v>0</v>
      </c>
      <c r="W916">
        <f>AND(IF(Metadata!D916="",FALSE,TRUE),exact(Metadata!D916,"m"))</f>
        <v>0</v>
      </c>
      <c r="X916">
        <f>AND(IF(Metadata!E916="",FALSE,TRUE),OR(exact(Metadata!E916,"aerosol (non-saline)"),exact(Metadata!E916,"aerosol (saline)")))</f>
        <v>0</v>
      </c>
      <c r="Y916">
        <f>AND(IF(Metadata!F916="",FALSE,TRUE),exact(Metadata!F916,"air"))</f>
        <v>0</v>
      </c>
      <c r="Z916">
        <f>AND(IF(Metadata!G916="",FALSE,TRUE),exact(Metadata!G916,"air"))</f>
        <v>0</v>
      </c>
      <c r="AA916">
        <f>AND(IF(Metadata!H916="",FALSE,TRUE),exact(Metadata!H916,"air"))</f>
        <v>0</v>
      </c>
      <c r="AB916">
        <f>AND(IF(Metadata!I916="",FALSE,TRUE),exact(Metadata!I916,"air metagenome"))</f>
        <v>0</v>
      </c>
      <c r="AC916">
        <f>AND(IF(Metadata!J916="",FALSE,TRUE),exact(Metadata!J916,"655179"))</f>
        <v>0</v>
      </c>
    </row>
    <row r="917" spans="1:29">
      <c r="A917" s="5">
        <f>IF(B917=" "," ",HYPERLINK(CONCATENATE("#metadata!",ADDRESS(INDEX($P$2:$P$1001,MATCH(ROWS($N$2:N917),$N$2:$N$1001,0),0),1)),INDEX($S$2:$S$1001,MATCH(ROWS($N$2:N917),$N$2:$N$1001,0),0)))</f>
        <v>0</v>
      </c>
      <c r="B917" s="4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4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4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4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4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4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4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4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4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OR(AND(IF(Metadata!C917="",FALSE,TRUE),OR(exact(Metadata!C917,"not applicable"),exact(Metadata!C917,"not collected"),exact(Metadata!C917,"not provided"),exact(Metadata!C917,"restricted access"))),IF(Metadata!C917="",FALSE,ISNUMBER(VALUE(Metadata!C917))))</f>
        <v>0</v>
      </c>
      <c r="W917">
        <f>AND(IF(Metadata!D917="",FALSE,TRUE),exact(Metadata!D917,"m"))</f>
        <v>0</v>
      </c>
      <c r="X917">
        <f>AND(IF(Metadata!E917="",FALSE,TRUE),OR(exact(Metadata!E917,"aerosol (non-saline)"),exact(Metadata!E917,"aerosol (saline)")))</f>
        <v>0</v>
      </c>
      <c r="Y917">
        <f>AND(IF(Metadata!F917="",FALSE,TRUE),exact(Metadata!F917,"air"))</f>
        <v>0</v>
      </c>
      <c r="Z917">
        <f>AND(IF(Metadata!G917="",FALSE,TRUE),exact(Metadata!G917,"air"))</f>
        <v>0</v>
      </c>
      <c r="AA917">
        <f>AND(IF(Metadata!H917="",FALSE,TRUE),exact(Metadata!H917,"air"))</f>
        <v>0</v>
      </c>
      <c r="AB917">
        <f>AND(IF(Metadata!I917="",FALSE,TRUE),exact(Metadata!I917,"air metagenome"))</f>
        <v>0</v>
      </c>
      <c r="AC917">
        <f>AND(IF(Metadata!J917="",FALSE,TRUE),exact(Metadata!J917,"655179"))</f>
        <v>0</v>
      </c>
    </row>
    <row r="918" spans="1:29">
      <c r="A918" s="5">
        <f>IF(B918=" "," ",HYPERLINK(CONCATENATE("#metadata!",ADDRESS(INDEX($P$2:$P$1001,MATCH(ROWS($N$2:N918),$N$2:$N$1001,0),0),1)),INDEX($S$2:$S$1001,MATCH(ROWS($N$2:N918),$N$2:$N$1001,0),0)))</f>
        <v>0</v>
      </c>
      <c r="B918" s="4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4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4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4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4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4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4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4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4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OR(AND(IF(Metadata!C918="",FALSE,TRUE),OR(exact(Metadata!C918,"not applicable"),exact(Metadata!C918,"not collected"),exact(Metadata!C918,"not provided"),exact(Metadata!C918,"restricted access"))),IF(Metadata!C918="",FALSE,ISNUMBER(VALUE(Metadata!C918))))</f>
        <v>0</v>
      </c>
      <c r="W918">
        <f>AND(IF(Metadata!D918="",FALSE,TRUE),exact(Metadata!D918,"m"))</f>
        <v>0</v>
      </c>
      <c r="X918">
        <f>AND(IF(Metadata!E918="",FALSE,TRUE),OR(exact(Metadata!E918,"aerosol (non-saline)"),exact(Metadata!E918,"aerosol (saline)")))</f>
        <v>0</v>
      </c>
      <c r="Y918">
        <f>AND(IF(Metadata!F918="",FALSE,TRUE),exact(Metadata!F918,"air"))</f>
        <v>0</v>
      </c>
      <c r="Z918">
        <f>AND(IF(Metadata!G918="",FALSE,TRUE),exact(Metadata!G918,"air"))</f>
        <v>0</v>
      </c>
      <c r="AA918">
        <f>AND(IF(Metadata!H918="",FALSE,TRUE),exact(Metadata!H918,"air"))</f>
        <v>0</v>
      </c>
      <c r="AB918">
        <f>AND(IF(Metadata!I918="",FALSE,TRUE),exact(Metadata!I918,"air metagenome"))</f>
        <v>0</v>
      </c>
      <c r="AC918">
        <f>AND(IF(Metadata!J918="",FALSE,TRUE),exact(Metadata!J918,"655179"))</f>
        <v>0</v>
      </c>
    </row>
    <row r="919" spans="1:29">
      <c r="A919" s="5">
        <f>IF(B919=" "," ",HYPERLINK(CONCATENATE("#metadata!",ADDRESS(INDEX($P$2:$P$1001,MATCH(ROWS($N$2:N919),$N$2:$N$1001,0),0),1)),INDEX($S$2:$S$1001,MATCH(ROWS($N$2:N919),$N$2:$N$1001,0),0)))</f>
        <v>0</v>
      </c>
      <c r="B919" s="4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4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4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4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4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4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4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4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4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OR(AND(IF(Metadata!C919="",FALSE,TRUE),OR(exact(Metadata!C919,"not applicable"),exact(Metadata!C919,"not collected"),exact(Metadata!C919,"not provided"),exact(Metadata!C919,"restricted access"))),IF(Metadata!C919="",FALSE,ISNUMBER(VALUE(Metadata!C919))))</f>
        <v>0</v>
      </c>
      <c r="W919">
        <f>AND(IF(Metadata!D919="",FALSE,TRUE),exact(Metadata!D919,"m"))</f>
        <v>0</v>
      </c>
      <c r="X919">
        <f>AND(IF(Metadata!E919="",FALSE,TRUE),OR(exact(Metadata!E919,"aerosol (non-saline)"),exact(Metadata!E919,"aerosol (saline)")))</f>
        <v>0</v>
      </c>
      <c r="Y919">
        <f>AND(IF(Metadata!F919="",FALSE,TRUE),exact(Metadata!F919,"air"))</f>
        <v>0</v>
      </c>
      <c r="Z919">
        <f>AND(IF(Metadata!G919="",FALSE,TRUE),exact(Metadata!G919,"air"))</f>
        <v>0</v>
      </c>
      <c r="AA919">
        <f>AND(IF(Metadata!H919="",FALSE,TRUE),exact(Metadata!H919,"air"))</f>
        <v>0</v>
      </c>
      <c r="AB919">
        <f>AND(IF(Metadata!I919="",FALSE,TRUE),exact(Metadata!I919,"air metagenome"))</f>
        <v>0</v>
      </c>
      <c r="AC919">
        <f>AND(IF(Metadata!J919="",FALSE,TRUE),exact(Metadata!J919,"655179"))</f>
        <v>0</v>
      </c>
    </row>
    <row r="920" spans="1:29">
      <c r="A920" s="5">
        <f>IF(B920=" "," ",HYPERLINK(CONCATENATE("#metadata!",ADDRESS(INDEX($P$2:$P$1001,MATCH(ROWS($N$2:N920),$N$2:$N$1001,0),0),1)),INDEX($S$2:$S$1001,MATCH(ROWS($N$2:N920),$N$2:$N$1001,0),0)))</f>
        <v>0</v>
      </c>
      <c r="B920" s="4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4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4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4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4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4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4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4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4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OR(AND(IF(Metadata!C920="",FALSE,TRUE),OR(exact(Metadata!C920,"not applicable"),exact(Metadata!C920,"not collected"),exact(Metadata!C920,"not provided"),exact(Metadata!C920,"restricted access"))),IF(Metadata!C920="",FALSE,ISNUMBER(VALUE(Metadata!C920))))</f>
        <v>0</v>
      </c>
      <c r="W920">
        <f>AND(IF(Metadata!D920="",FALSE,TRUE),exact(Metadata!D920,"m"))</f>
        <v>0</v>
      </c>
      <c r="X920">
        <f>AND(IF(Metadata!E920="",FALSE,TRUE),OR(exact(Metadata!E920,"aerosol (non-saline)"),exact(Metadata!E920,"aerosol (saline)")))</f>
        <v>0</v>
      </c>
      <c r="Y920">
        <f>AND(IF(Metadata!F920="",FALSE,TRUE),exact(Metadata!F920,"air"))</f>
        <v>0</v>
      </c>
      <c r="Z920">
        <f>AND(IF(Metadata!G920="",FALSE,TRUE),exact(Metadata!G920,"air"))</f>
        <v>0</v>
      </c>
      <c r="AA920">
        <f>AND(IF(Metadata!H920="",FALSE,TRUE),exact(Metadata!H920,"air"))</f>
        <v>0</v>
      </c>
      <c r="AB920">
        <f>AND(IF(Metadata!I920="",FALSE,TRUE),exact(Metadata!I920,"air metagenome"))</f>
        <v>0</v>
      </c>
      <c r="AC920">
        <f>AND(IF(Metadata!J920="",FALSE,TRUE),exact(Metadata!J920,"655179"))</f>
        <v>0</v>
      </c>
    </row>
    <row r="921" spans="1:29">
      <c r="A921" s="5">
        <f>IF(B921=" "," ",HYPERLINK(CONCATENATE("#metadata!",ADDRESS(INDEX($P$2:$P$1001,MATCH(ROWS($N$2:N921),$N$2:$N$1001,0),0),1)),INDEX($S$2:$S$1001,MATCH(ROWS($N$2:N921),$N$2:$N$1001,0),0)))</f>
        <v>0</v>
      </c>
      <c r="B921" s="4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4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4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4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4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4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4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4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4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OR(AND(IF(Metadata!C921="",FALSE,TRUE),OR(exact(Metadata!C921,"not applicable"),exact(Metadata!C921,"not collected"),exact(Metadata!C921,"not provided"),exact(Metadata!C921,"restricted access"))),IF(Metadata!C921="",FALSE,ISNUMBER(VALUE(Metadata!C921))))</f>
        <v>0</v>
      </c>
      <c r="W921">
        <f>AND(IF(Metadata!D921="",FALSE,TRUE),exact(Metadata!D921,"m"))</f>
        <v>0</v>
      </c>
      <c r="X921">
        <f>AND(IF(Metadata!E921="",FALSE,TRUE),OR(exact(Metadata!E921,"aerosol (non-saline)"),exact(Metadata!E921,"aerosol (saline)")))</f>
        <v>0</v>
      </c>
      <c r="Y921">
        <f>AND(IF(Metadata!F921="",FALSE,TRUE),exact(Metadata!F921,"air"))</f>
        <v>0</v>
      </c>
      <c r="Z921">
        <f>AND(IF(Metadata!G921="",FALSE,TRUE),exact(Metadata!G921,"air"))</f>
        <v>0</v>
      </c>
      <c r="AA921">
        <f>AND(IF(Metadata!H921="",FALSE,TRUE),exact(Metadata!H921,"air"))</f>
        <v>0</v>
      </c>
      <c r="AB921">
        <f>AND(IF(Metadata!I921="",FALSE,TRUE),exact(Metadata!I921,"air metagenome"))</f>
        <v>0</v>
      </c>
      <c r="AC921">
        <f>AND(IF(Metadata!J921="",FALSE,TRUE),exact(Metadata!J921,"655179"))</f>
        <v>0</v>
      </c>
    </row>
    <row r="922" spans="1:29">
      <c r="A922" s="5">
        <f>IF(B922=" "," ",HYPERLINK(CONCATENATE("#metadata!",ADDRESS(INDEX($P$2:$P$1001,MATCH(ROWS($N$2:N922),$N$2:$N$1001,0),0),1)),INDEX($S$2:$S$1001,MATCH(ROWS($N$2:N922),$N$2:$N$1001,0),0)))</f>
        <v>0</v>
      </c>
      <c r="B922" s="4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4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4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4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4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4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4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4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4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OR(AND(IF(Metadata!C922="",FALSE,TRUE),OR(exact(Metadata!C922,"not applicable"),exact(Metadata!C922,"not collected"),exact(Metadata!C922,"not provided"),exact(Metadata!C922,"restricted access"))),IF(Metadata!C922="",FALSE,ISNUMBER(VALUE(Metadata!C922))))</f>
        <v>0</v>
      </c>
      <c r="W922">
        <f>AND(IF(Metadata!D922="",FALSE,TRUE),exact(Metadata!D922,"m"))</f>
        <v>0</v>
      </c>
      <c r="X922">
        <f>AND(IF(Metadata!E922="",FALSE,TRUE),OR(exact(Metadata!E922,"aerosol (non-saline)"),exact(Metadata!E922,"aerosol (saline)")))</f>
        <v>0</v>
      </c>
      <c r="Y922">
        <f>AND(IF(Metadata!F922="",FALSE,TRUE),exact(Metadata!F922,"air"))</f>
        <v>0</v>
      </c>
      <c r="Z922">
        <f>AND(IF(Metadata!G922="",FALSE,TRUE),exact(Metadata!G922,"air"))</f>
        <v>0</v>
      </c>
      <c r="AA922">
        <f>AND(IF(Metadata!H922="",FALSE,TRUE),exact(Metadata!H922,"air"))</f>
        <v>0</v>
      </c>
      <c r="AB922">
        <f>AND(IF(Metadata!I922="",FALSE,TRUE),exact(Metadata!I922,"air metagenome"))</f>
        <v>0</v>
      </c>
      <c r="AC922">
        <f>AND(IF(Metadata!J922="",FALSE,TRUE),exact(Metadata!J922,"655179"))</f>
        <v>0</v>
      </c>
    </row>
    <row r="923" spans="1:29">
      <c r="A923" s="5">
        <f>IF(B923=" "," ",HYPERLINK(CONCATENATE("#metadata!",ADDRESS(INDEX($P$2:$P$1001,MATCH(ROWS($N$2:N923),$N$2:$N$1001,0),0),1)),INDEX($S$2:$S$1001,MATCH(ROWS($N$2:N923),$N$2:$N$1001,0),0)))</f>
        <v>0</v>
      </c>
      <c r="B923" s="4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4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4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4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4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4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4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4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4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OR(AND(IF(Metadata!C923="",FALSE,TRUE),OR(exact(Metadata!C923,"not applicable"),exact(Metadata!C923,"not collected"),exact(Metadata!C923,"not provided"),exact(Metadata!C923,"restricted access"))),IF(Metadata!C923="",FALSE,ISNUMBER(VALUE(Metadata!C923))))</f>
        <v>0</v>
      </c>
      <c r="W923">
        <f>AND(IF(Metadata!D923="",FALSE,TRUE),exact(Metadata!D923,"m"))</f>
        <v>0</v>
      </c>
      <c r="X923">
        <f>AND(IF(Metadata!E923="",FALSE,TRUE),OR(exact(Metadata!E923,"aerosol (non-saline)"),exact(Metadata!E923,"aerosol (saline)")))</f>
        <v>0</v>
      </c>
      <c r="Y923">
        <f>AND(IF(Metadata!F923="",FALSE,TRUE),exact(Metadata!F923,"air"))</f>
        <v>0</v>
      </c>
      <c r="Z923">
        <f>AND(IF(Metadata!G923="",FALSE,TRUE),exact(Metadata!G923,"air"))</f>
        <v>0</v>
      </c>
      <c r="AA923">
        <f>AND(IF(Metadata!H923="",FALSE,TRUE),exact(Metadata!H923,"air"))</f>
        <v>0</v>
      </c>
      <c r="AB923">
        <f>AND(IF(Metadata!I923="",FALSE,TRUE),exact(Metadata!I923,"air metagenome"))</f>
        <v>0</v>
      </c>
      <c r="AC923">
        <f>AND(IF(Metadata!J923="",FALSE,TRUE),exact(Metadata!J923,"655179"))</f>
        <v>0</v>
      </c>
    </row>
    <row r="924" spans="1:29">
      <c r="A924" s="5">
        <f>IF(B924=" "," ",HYPERLINK(CONCATENATE("#metadata!",ADDRESS(INDEX($P$2:$P$1001,MATCH(ROWS($N$2:N924),$N$2:$N$1001,0),0),1)),INDEX($S$2:$S$1001,MATCH(ROWS($N$2:N924),$N$2:$N$1001,0),0)))</f>
        <v>0</v>
      </c>
      <c r="B924" s="4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4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4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4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4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4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4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4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4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OR(AND(IF(Metadata!C924="",FALSE,TRUE),OR(exact(Metadata!C924,"not applicable"),exact(Metadata!C924,"not collected"),exact(Metadata!C924,"not provided"),exact(Metadata!C924,"restricted access"))),IF(Metadata!C924="",FALSE,ISNUMBER(VALUE(Metadata!C924))))</f>
        <v>0</v>
      </c>
      <c r="W924">
        <f>AND(IF(Metadata!D924="",FALSE,TRUE),exact(Metadata!D924,"m"))</f>
        <v>0</v>
      </c>
      <c r="X924">
        <f>AND(IF(Metadata!E924="",FALSE,TRUE),OR(exact(Metadata!E924,"aerosol (non-saline)"),exact(Metadata!E924,"aerosol (saline)")))</f>
        <v>0</v>
      </c>
      <c r="Y924">
        <f>AND(IF(Metadata!F924="",FALSE,TRUE),exact(Metadata!F924,"air"))</f>
        <v>0</v>
      </c>
      <c r="Z924">
        <f>AND(IF(Metadata!G924="",FALSE,TRUE),exact(Metadata!G924,"air"))</f>
        <v>0</v>
      </c>
      <c r="AA924">
        <f>AND(IF(Metadata!H924="",FALSE,TRUE),exact(Metadata!H924,"air"))</f>
        <v>0</v>
      </c>
      <c r="AB924">
        <f>AND(IF(Metadata!I924="",FALSE,TRUE),exact(Metadata!I924,"air metagenome"))</f>
        <v>0</v>
      </c>
      <c r="AC924">
        <f>AND(IF(Metadata!J924="",FALSE,TRUE),exact(Metadata!J924,"655179"))</f>
        <v>0</v>
      </c>
    </row>
    <row r="925" spans="1:29">
      <c r="A925" s="5">
        <f>IF(B925=" "," ",HYPERLINK(CONCATENATE("#metadata!",ADDRESS(INDEX($P$2:$P$1001,MATCH(ROWS($N$2:N925),$N$2:$N$1001,0),0),1)),INDEX($S$2:$S$1001,MATCH(ROWS($N$2:N925),$N$2:$N$1001,0),0)))</f>
        <v>0</v>
      </c>
      <c r="B925" s="4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4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4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4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4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4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4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4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4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OR(AND(IF(Metadata!C925="",FALSE,TRUE),OR(exact(Metadata!C925,"not applicable"),exact(Metadata!C925,"not collected"),exact(Metadata!C925,"not provided"),exact(Metadata!C925,"restricted access"))),IF(Metadata!C925="",FALSE,ISNUMBER(VALUE(Metadata!C925))))</f>
        <v>0</v>
      </c>
      <c r="W925">
        <f>AND(IF(Metadata!D925="",FALSE,TRUE),exact(Metadata!D925,"m"))</f>
        <v>0</v>
      </c>
      <c r="X925">
        <f>AND(IF(Metadata!E925="",FALSE,TRUE),OR(exact(Metadata!E925,"aerosol (non-saline)"),exact(Metadata!E925,"aerosol (saline)")))</f>
        <v>0</v>
      </c>
      <c r="Y925">
        <f>AND(IF(Metadata!F925="",FALSE,TRUE),exact(Metadata!F925,"air"))</f>
        <v>0</v>
      </c>
      <c r="Z925">
        <f>AND(IF(Metadata!G925="",FALSE,TRUE),exact(Metadata!G925,"air"))</f>
        <v>0</v>
      </c>
      <c r="AA925">
        <f>AND(IF(Metadata!H925="",FALSE,TRUE),exact(Metadata!H925,"air"))</f>
        <v>0</v>
      </c>
      <c r="AB925">
        <f>AND(IF(Metadata!I925="",FALSE,TRUE),exact(Metadata!I925,"air metagenome"))</f>
        <v>0</v>
      </c>
      <c r="AC925">
        <f>AND(IF(Metadata!J925="",FALSE,TRUE),exact(Metadata!J925,"655179"))</f>
        <v>0</v>
      </c>
    </row>
    <row r="926" spans="1:29">
      <c r="A926" s="5">
        <f>IF(B926=" "," ",HYPERLINK(CONCATENATE("#metadata!",ADDRESS(INDEX($P$2:$P$1001,MATCH(ROWS($N$2:N926),$N$2:$N$1001,0),0),1)),INDEX($S$2:$S$1001,MATCH(ROWS($N$2:N926),$N$2:$N$1001,0),0)))</f>
        <v>0</v>
      </c>
      <c r="B926" s="4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4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4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4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4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4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4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4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4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OR(AND(IF(Metadata!C926="",FALSE,TRUE),OR(exact(Metadata!C926,"not applicable"),exact(Metadata!C926,"not collected"),exact(Metadata!C926,"not provided"),exact(Metadata!C926,"restricted access"))),IF(Metadata!C926="",FALSE,ISNUMBER(VALUE(Metadata!C926))))</f>
        <v>0</v>
      </c>
      <c r="W926">
        <f>AND(IF(Metadata!D926="",FALSE,TRUE),exact(Metadata!D926,"m"))</f>
        <v>0</v>
      </c>
      <c r="X926">
        <f>AND(IF(Metadata!E926="",FALSE,TRUE),OR(exact(Metadata!E926,"aerosol (non-saline)"),exact(Metadata!E926,"aerosol (saline)")))</f>
        <v>0</v>
      </c>
      <c r="Y926">
        <f>AND(IF(Metadata!F926="",FALSE,TRUE),exact(Metadata!F926,"air"))</f>
        <v>0</v>
      </c>
      <c r="Z926">
        <f>AND(IF(Metadata!G926="",FALSE,TRUE),exact(Metadata!G926,"air"))</f>
        <v>0</v>
      </c>
      <c r="AA926">
        <f>AND(IF(Metadata!H926="",FALSE,TRUE),exact(Metadata!H926,"air"))</f>
        <v>0</v>
      </c>
      <c r="AB926">
        <f>AND(IF(Metadata!I926="",FALSE,TRUE),exact(Metadata!I926,"air metagenome"))</f>
        <v>0</v>
      </c>
      <c r="AC926">
        <f>AND(IF(Metadata!J926="",FALSE,TRUE),exact(Metadata!J926,"655179"))</f>
        <v>0</v>
      </c>
    </row>
    <row r="927" spans="1:29">
      <c r="A927" s="5">
        <f>IF(B927=" "," ",HYPERLINK(CONCATENATE("#metadata!",ADDRESS(INDEX($P$2:$P$1001,MATCH(ROWS($N$2:N927),$N$2:$N$1001,0),0),1)),INDEX($S$2:$S$1001,MATCH(ROWS($N$2:N927),$N$2:$N$1001,0),0)))</f>
        <v>0</v>
      </c>
      <c r="B927" s="4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4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4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4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4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4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4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4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4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OR(AND(IF(Metadata!C927="",FALSE,TRUE),OR(exact(Metadata!C927,"not applicable"),exact(Metadata!C927,"not collected"),exact(Metadata!C927,"not provided"),exact(Metadata!C927,"restricted access"))),IF(Metadata!C927="",FALSE,ISNUMBER(VALUE(Metadata!C927))))</f>
        <v>0</v>
      </c>
      <c r="W927">
        <f>AND(IF(Metadata!D927="",FALSE,TRUE),exact(Metadata!D927,"m"))</f>
        <v>0</v>
      </c>
      <c r="X927">
        <f>AND(IF(Metadata!E927="",FALSE,TRUE),OR(exact(Metadata!E927,"aerosol (non-saline)"),exact(Metadata!E927,"aerosol (saline)")))</f>
        <v>0</v>
      </c>
      <c r="Y927">
        <f>AND(IF(Metadata!F927="",FALSE,TRUE),exact(Metadata!F927,"air"))</f>
        <v>0</v>
      </c>
      <c r="Z927">
        <f>AND(IF(Metadata!G927="",FALSE,TRUE),exact(Metadata!G927,"air"))</f>
        <v>0</v>
      </c>
      <c r="AA927">
        <f>AND(IF(Metadata!H927="",FALSE,TRUE),exact(Metadata!H927,"air"))</f>
        <v>0</v>
      </c>
      <c r="AB927">
        <f>AND(IF(Metadata!I927="",FALSE,TRUE),exact(Metadata!I927,"air metagenome"))</f>
        <v>0</v>
      </c>
      <c r="AC927">
        <f>AND(IF(Metadata!J927="",FALSE,TRUE),exact(Metadata!J927,"655179"))</f>
        <v>0</v>
      </c>
    </row>
    <row r="928" spans="1:29">
      <c r="A928" s="5">
        <f>IF(B928=" "," ",HYPERLINK(CONCATENATE("#metadata!",ADDRESS(INDEX($P$2:$P$1001,MATCH(ROWS($N$2:N928),$N$2:$N$1001,0),0),1)),INDEX($S$2:$S$1001,MATCH(ROWS($N$2:N928),$N$2:$N$1001,0),0)))</f>
        <v>0</v>
      </c>
      <c r="B928" s="4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4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4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4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4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4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4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4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4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OR(AND(IF(Metadata!C928="",FALSE,TRUE),OR(exact(Metadata!C928,"not applicable"),exact(Metadata!C928,"not collected"),exact(Metadata!C928,"not provided"),exact(Metadata!C928,"restricted access"))),IF(Metadata!C928="",FALSE,ISNUMBER(VALUE(Metadata!C928))))</f>
        <v>0</v>
      </c>
      <c r="W928">
        <f>AND(IF(Metadata!D928="",FALSE,TRUE),exact(Metadata!D928,"m"))</f>
        <v>0</v>
      </c>
      <c r="X928">
        <f>AND(IF(Metadata!E928="",FALSE,TRUE),OR(exact(Metadata!E928,"aerosol (non-saline)"),exact(Metadata!E928,"aerosol (saline)")))</f>
        <v>0</v>
      </c>
      <c r="Y928">
        <f>AND(IF(Metadata!F928="",FALSE,TRUE),exact(Metadata!F928,"air"))</f>
        <v>0</v>
      </c>
      <c r="Z928">
        <f>AND(IF(Metadata!G928="",FALSE,TRUE),exact(Metadata!G928,"air"))</f>
        <v>0</v>
      </c>
      <c r="AA928">
        <f>AND(IF(Metadata!H928="",FALSE,TRUE),exact(Metadata!H928,"air"))</f>
        <v>0</v>
      </c>
      <c r="AB928">
        <f>AND(IF(Metadata!I928="",FALSE,TRUE),exact(Metadata!I928,"air metagenome"))</f>
        <v>0</v>
      </c>
      <c r="AC928">
        <f>AND(IF(Metadata!J928="",FALSE,TRUE),exact(Metadata!J928,"655179"))</f>
        <v>0</v>
      </c>
    </row>
    <row r="929" spans="1:29">
      <c r="A929" s="5">
        <f>IF(B929=" "," ",HYPERLINK(CONCATENATE("#metadata!",ADDRESS(INDEX($P$2:$P$1001,MATCH(ROWS($N$2:N929),$N$2:$N$1001,0),0),1)),INDEX($S$2:$S$1001,MATCH(ROWS($N$2:N929),$N$2:$N$1001,0),0)))</f>
        <v>0</v>
      </c>
      <c r="B929" s="4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4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4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4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4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4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4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4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4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OR(AND(IF(Metadata!C929="",FALSE,TRUE),OR(exact(Metadata!C929,"not applicable"),exact(Metadata!C929,"not collected"),exact(Metadata!C929,"not provided"),exact(Metadata!C929,"restricted access"))),IF(Metadata!C929="",FALSE,ISNUMBER(VALUE(Metadata!C929))))</f>
        <v>0</v>
      </c>
      <c r="W929">
        <f>AND(IF(Metadata!D929="",FALSE,TRUE),exact(Metadata!D929,"m"))</f>
        <v>0</v>
      </c>
      <c r="X929">
        <f>AND(IF(Metadata!E929="",FALSE,TRUE),OR(exact(Metadata!E929,"aerosol (non-saline)"),exact(Metadata!E929,"aerosol (saline)")))</f>
        <v>0</v>
      </c>
      <c r="Y929">
        <f>AND(IF(Metadata!F929="",FALSE,TRUE),exact(Metadata!F929,"air"))</f>
        <v>0</v>
      </c>
      <c r="Z929">
        <f>AND(IF(Metadata!G929="",FALSE,TRUE),exact(Metadata!G929,"air"))</f>
        <v>0</v>
      </c>
      <c r="AA929">
        <f>AND(IF(Metadata!H929="",FALSE,TRUE),exact(Metadata!H929,"air"))</f>
        <v>0</v>
      </c>
      <c r="AB929">
        <f>AND(IF(Metadata!I929="",FALSE,TRUE),exact(Metadata!I929,"air metagenome"))</f>
        <v>0</v>
      </c>
      <c r="AC929">
        <f>AND(IF(Metadata!J929="",FALSE,TRUE),exact(Metadata!J929,"655179"))</f>
        <v>0</v>
      </c>
    </row>
    <row r="930" spans="1:29">
      <c r="A930" s="5">
        <f>IF(B930=" "," ",HYPERLINK(CONCATENATE("#metadata!",ADDRESS(INDEX($P$2:$P$1001,MATCH(ROWS($N$2:N930),$N$2:$N$1001,0),0),1)),INDEX($S$2:$S$1001,MATCH(ROWS($N$2:N930),$N$2:$N$1001,0),0)))</f>
        <v>0</v>
      </c>
      <c r="B930" s="4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4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4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4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4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4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4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4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4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OR(AND(IF(Metadata!C930="",FALSE,TRUE),OR(exact(Metadata!C930,"not applicable"),exact(Metadata!C930,"not collected"),exact(Metadata!C930,"not provided"),exact(Metadata!C930,"restricted access"))),IF(Metadata!C930="",FALSE,ISNUMBER(VALUE(Metadata!C930))))</f>
        <v>0</v>
      </c>
      <c r="W930">
        <f>AND(IF(Metadata!D930="",FALSE,TRUE),exact(Metadata!D930,"m"))</f>
        <v>0</v>
      </c>
      <c r="X930">
        <f>AND(IF(Metadata!E930="",FALSE,TRUE),OR(exact(Metadata!E930,"aerosol (non-saline)"),exact(Metadata!E930,"aerosol (saline)")))</f>
        <v>0</v>
      </c>
      <c r="Y930">
        <f>AND(IF(Metadata!F930="",FALSE,TRUE),exact(Metadata!F930,"air"))</f>
        <v>0</v>
      </c>
      <c r="Z930">
        <f>AND(IF(Metadata!G930="",FALSE,TRUE),exact(Metadata!G930,"air"))</f>
        <v>0</v>
      </c>
      <c r="AA930">
        <f>AND(IF(Metadata!H930="",FALSE,TRUE),exact(Metadata!H930,"air"))</f>
        <v>0</v>
      </c>
      <c r="AB930">
        <f>AND(IF(Metadata!I930="",FALSE,TRUE),exact(Metadata!I930,"air metagenome"))</f>
        <v>0</v>
      </c>
      <c r="AC930">
        <f>AND(IF(Metadata!J930="",FALSE,TRUE),exact(Metadata!J930,"655179"))</f>
        <v>0</v>
      </c>
    </row>
    <row r="931" spans="1:29">
      <c r="A931" s="5">
        <f>IF(B931=" "," ",HYPERLINK(CONCATENATE("#metadata!",ADDRESS(INDEX($P$2:$P$1001,MATCH(ROWS($N$2:N931),$N$2:$N$1001,0),0),1)),INDEX($S$2:$S$1001,MATCH(ROWS($N$2:N931),$N$2:$N$1001,0),0)))</f>
        <v>0</v>
      </c>
      <c r="B931" s="4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4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4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4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4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4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4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4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4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OR(AND(IF(Metadata!C931="",FALSE,TRUE),OR(exact(Metadata!C931,"not applicable"),exact(Metadata!C931,"not collected"),exact(Metadata!C931,"not provided"),exact(Metadata!C931,"restricted access"))),IF(Metadata!C931="",FALSE,ISNUMBER(VALUE(Metadata!C931))))</f>
        <v>0</v>
      </c>
      <c r="W931">
        <f>AND(IF(Metadata!D931="",FALSE,TRUE),exact(Metadata!D931,"m"))</f>
        <v>0</v>
      </c>
      <c r="X931">
        <f>AND(IF(Metadata!E931="",FALSE,TRUE),OR(exact(Metadata!E931,"aerosol (non-saline)"),exact(Metadata!E931,"aerosol (saline)")))</f>
        <v>0</v>
      </c>
      <c r="Y931">
        <f>AND(IF(Metadata!F931="",FALSE,TRUE),exact(Metadata!F931,"air"))</f>
        <v>0</v>
      </c>
      <c r="Z931">
        <f>AND(IF(Metadata!G931="",FALSE,TRUE),exact(Metadata!G931,"air"))</f>
        <v>0</v>
      </c>
      <c r="AA931">
        <f>AND(IF(Metadata!H931="",FALSE,TRUE),exact(Metadata!H931,"air"))</f>
        <v>0</v>
      </c>
      <c r="AB931">
        <f>AND(IF(Metadata!I931="",FALSE,TRUE),exact(Metadata!I931,"air metagenome"))</f>
        <v>0</v>
      </c>
      <c r="AC931">
        <f>AND(IF(Metadata!J931="",FALSE,TRUE),exact(Metadata!J931,"655179"))</f>
        <v>0</v>
      </c>
    </row>
    <row r="932" spans="1:29">
      <c r="A932" s="5">
        <f>IF(B932=" "," ",HYPERLINK(CONCATENATE("#metadata!",ADDRESS(INDEX($P$2:$P$1001,MATCH(ROWS($N$2:N932),$N$2:$N$1001,0),0),1)),INDEX($S$2:$S$1001,MATCH(ROWS($N$2:N932),$N$2:$N$1001,0),0)))</f>
        <v>0</v>
      </c>
      <c r="B932" s="4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4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4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4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4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4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4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4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4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OR(AND(IF(Metadata!C932="",FALSE,TRUE),OR(exact(Metadata!C932,"not applicable"),exact(Metadata!C932,"not collected"),exact(Metadata!C932,"not provided"),exact(Metadata!C932,"restricted access"))),IF(Metadata!C932="",FALSE,ISNUMBER(VALUE(Metadata!C932))))</f>
        <v>0</v>
      </c>
      <c r="W932">
        <f>AND(IF(Metadata!D932="",FALSE,TRUE),exact(Metadata!D932,"m"))</f>
        <v>0</v>
      </c>
      <c r="X932">
        <f>AND(IF(Metadata!E932="",FALSE,TRUE),OR(exact(Metadata!E932,"aerosol (non-saline)"),exact(Metadata!E932,"aerosol (saline)")))</f>
        <v>0</v>
      </c>
      <c r="Y932">
        <f>AND(IF(Metadata!F932="",FALSE,TRUE),exact(Metadata!F932,"air"))</f>
        <v>0</v>
      </c>
      <c r="Z932">
        <f>AND(IF(Metadata!G932="",FALSE,TRUE),exact(Metadata!G932,"air"))</f>
        <v>0</v>
      </c>
      <c r="AA932">
        <f>AND(IF(Metadata!H932="",FALSE,TRUE),exact(Metadata!H932,"air"))</f>
        <v>0</v>
      </c>
      <c r="AB932">
        <f>AND(IF(Metadata!I932="",FALSE,TRUE),exact(Metadata!I932,"air metagenome"))</f>
        <v>0</v>
      </c>
      <c r="AC932">
        <f>AND(IF(Metadata!J932="",FALSE,TRUE),exact(Metadata!J932,"655179"))</f>
        <v>0</v>
      </c>
    </row>
    <row r="933" spans="1:29">
      <c r="A933" s="5">
        <f>IF(B933=" "," ",HYPERLINK(CONCATENATE("#metadata!",ADDRESS(INDEX($P$2:$P$1001,MATCH(ROWS($N$2:N933),$N$2:$N$1001,0),0),1)),INDEX($S$2:$S$1001,MATCH(ROWS($N$2:N933),$N$2:$N$1001,0),0)))</f>
        <v>0</v>
      </c>
      <c r="B933" s="4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4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4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4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4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4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4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4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4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OR(AND(IF(Metadata!C933="",FALSE,TRUE),OR(exact(Metadata!C933,"not applicable"),exact(Metadata!C933,"not collected"),exact(Metadata!C933,"not provided"),exact(Metadata!C933,"restricted access"))),IF(Metadata!C933="",FALSE,ISNUMBER(VALUE(Metadata!C933))))</f>
        <v>0</v>
      </c>
      <c r="W933">
        <f>AND(IF(Metadata!D933="",FALSE,TRUE),exact(Metadata!D933,"m"))</f>
        <v>0</v>
      </c>
      <c r="X933">
        <f>AND(IF(Metadata!E933="",FALSE,TRUE),OR(exact(Metadata!E933,"aerosol (non-saline)"),exact(Metadata!E933,"aerosol (saline)")))</f>
        <v>0</v>
      </c>
      <c r="Y933">
        <f>AND(IF(Metadata!F933="",FALSE,TRUE),exact(Metadata!F933,"air"))</f>
        <v>0</v>
      </c>
      <c r="Z933">
        <f>AND(IF(Metadata!G933="",FALSE,TRUE),exact(Metadata!G933,"air"))</f>
        <v>0</v>
      </c>
      <c r="AA933">
        <f>AND(IF(Metadata!H933="",FALSE,TRUE),exact(Metadata!H933,"air"))</f>
        <v>0</v>
      </c>
      <c r="AB933">
        <f>AND(IF(Metadata!I933="",FALSE,TRUE),exact(Metadata!I933,"air metagenome"))</f>
        <v>0</v>
      </c>
      <c r="AC933">
        <f>AND(IF(Metadata!J933="",FALSE,TRUE),exact(Metadata!J933,"655179"))</f>
        <v>0</v>
      </c>
    </row>
    <row r="934" spans="1:29">
      <c r="A934" s="5">
        <f>IF(B934=" "," ",HYPERLINK(CONCATENATE("#metadata!",ADDRESS(INDEX($P$2:$P$1001,MATCH(ROWS($N$2:N934),$N$2:$N$1001,0),0),1)),INDEX($S$2:$S$1001,MATCH(ROWS($N$2:N934),$N$2:$N$1001,0),0)))</f>
        <v>0</v>
      </c>
      <c r="B934" s="4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4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4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4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4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4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4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4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4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OR(AND(IF(Metadata!C934="",FALSE,TRUE),OR(exact(Metadata!C934,"not applicable"),exact(Metadata!C934,"not collected"),exact(Metadata!C934,"not provided"),exact(Metadata!C934,"restricted access"))),IF(Metadata!C934="",FALSE,ISNUMBER(VALUE(Metadata!C934))))</f>
        <v>0</v>
      </c>
      <c r="W934">
        <f>AND(IF(Metadata!D934="",FALSE,TRUE),exact(Metadata!D934,"m"))</f>
        <v>0</v>
      </c>
      <c r="X934">
        <f>AND(IF(Metadata!E934="",FALSE,TRUE),OR(exact(Metadata!E934,"aerosol (non-saline)"),exact(Metadata!E934,"aerosol (saline)")))</f>
        <v>0</v>
      </c>
      <c r="Y934">
        <f>AND(IF(Metadata!F934="",FALSE,TRUE),exact(Metadata!F934,"air"))</f>
        <v>0</v>
      </c>
      <c r="Z934">
        <f>AND(IF(Metadata!G934="",FALSE,TRUE),exact(Metadata!G934,"air"))</f>
        <v>0</v>
      </c>
      <c r="AA934">
        <f>AND(IF(Metadata!H934="",FALSE,TRUE),exact(Metadata!H934,"air"))</f>
        <v>0</v>
      </c>
      <c r="AB934">
        <f>AND(IF(Metadata!I934="",FALSE,TRUE),exact(Metadata!I934,"air metagenome"))</f>
        <v>0</v>
      </c>
      <c r="AC934">
        <f>AND(IF(Metadata!J934="",FALSE,TRUE),exact(Metadata!J934,"655179"))</f>
        <v>0</v>
      </c>
    </row>
    <row r="935" spans="1:29">
      <c r="A935" s="5">
        <f>IF(B935=" "," ",HYPERLINK(CONCATENATE("#metadata!",ADDRESS(INDEX($P$2:$P$1001,MATCH(ROWS($N$2:N935),$N$2:$N$1001,0),0),1)),INDEX($S$2:$S$1001,MATCH(ROWS($N$2:N935),$N$2:$N$1001,0),0)))</f>
        <v>0</v>
      </c>
      <c r="B935" s="4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4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4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4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4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4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4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4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4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OR(AND(IF(Metadata!C935="",FALSE,TRUE),OR(exact(Metadata!C935,"not applicable"),exact(Metadata!C935,"not collected"),exact(Metadata!C935,"not provided"),exact(Metadata!C935,"restricted access"))),IF(Metadata!C935="",FALSE,ISNUMBER(VALUE(Metadata!C935))))</f>
        <v>0</v>
      </c>
      <c r="W935">
        <f>AND(IF(Metadata!D935="",FALSE,TRUE),exact(Metadata!D935,"m"))</f>
        <v>0</v>
      </c>
      <c r="X935">
        <f>AND(IF(Metadata!E935="",FALSE,TRUE),OR(exact(Metadata!E935,"aerosol (non-saline)"),exact(Metadata!E935,"aerosol (saline)")))</f>
        <v>0</v>
      </c>
      <c r="Y935">
        <f>AND(IF(Metadata!F935="",FALSE,TRUE),exact(Metadata!F935,"air"))</f>
        <v>0</v>
      </c>
      <c r="Z935">
        <f>AND(IF(Metadata!G935="",FALSE,TRUE),exact(Metadata!G935,"air"))</f>
        <v>0</v>
      </c>
      <c r="AA935">
        <f>AND(IF(Metadata!H935="",FALSE,TRUE),exact(Metadata!H935,"air"))</f>
        <v>0</v>
      </c>
      <c r="AB935">
        <f>AND(IF(Metadata!I935="",FALSE,TRUE),exact(Metadata!I935,"air metagenome"))</f>
        <v>0</v>
      </c>
      <c r="AC935">
        <f>AND(IF(Metadata!J935="",FALSE,TRUE),exact(Metadata!J935,"655179"))</f>
        <v>0</v>
      </c>
    </row>
    <row r="936" spans="1:29">
      <c r="A936" s="5">
        <f>IF(B936=" "," ",HYPERLINK(CONCATENATE("#metadata!",ADDRESS(INDEX($P$2:$P$1001,MATCH(ROWS($N$2:N936),$N$2:$N$1001,0),0),1)),INDEX($S$2:$S$1001,MATCH(ROWS($N$2:N936),$N$2:$N$1001,0),0)))</f>
        <v>0</v>
      </c>
      <c r="B936" s="4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4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4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4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4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4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4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4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4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OR(AND(IF(Metadata!C936="",FALSE,TRUE),OR(exact(Metadata!C936,"not applicable"),exact(Metadata!C936,"not collected"),exact(Metadata!C936,"not provided"),exact(Metadata!C936,"restricted access"))),IF(Metadata!C936="",FALSE,ISNUMBER(VALUE(Metadata!C936))))</f>
        <v>0</v>
      </c>
      <c r="W936">
        <f>AND(IF(Metadata!D936="",FALSE,TRUE),exact(Metadata!D936,"m"))</f>
        <v>0</v>
      </c>
      <c r="X936">
        <f>AND(IF(Metadata!E936="",FALSE,TRUE),OR(exact(Metadata!E936,"aerosol (non-saline)"),exact(Metadata!E936,"aerosol (saline)")))</f>
        <v>0</v>
      </c>
      <c r="Y936">
        <f>AND(IF(Metadata!F936="",FALSE,TRUE),exact(Metadata!F936,"air"))</f>
        <v>0</v>
      </c>
      <c r="Z936">
        <f>AND(IF(Metadata!G936="",FALSE,TRUE),exact(Metadata!G936,"air"))</f>
        <v>0</v>
      </c>
      <c r="AA936">
        <f>AND(IF(Metadata!H936="",FALSE,TRUE),exact(Metadata!H936,"air"))</f>
        <v>0</v>
      </c>
      <c r="AB936">
        <f>AND(IF(Metadata!I936="",FALSE,TRUE),exact(Metadata!I936,"air metagenome"))</f>
        <v>0</v>
      </c>
      <c r="AC936">
        <f>AND(IF(Metadata!J936="",FALSE,TRUE),exact(Metadata!J936,"655179"))</f>
        <v>0</v>
      </c>
    </row>
    <row r="937" spans="1:29">
      <c r="A937" s="5">
        <f>IF(B937=" "," ",HYPERLINK(CONCATENATE("#metadata!",ADDRESS(INDEX($P$2:$P$1001,MATCH(ROWS($N$2:N937),$N$2:$N$1001,0),0),1)),INDEX($S$2:$S$1001,MATCH(ROWS($N$2:N937),$N$2:$N$1001,0),0)))</f>
        <v>0</v>
      </c>
      <c r="B937" s="4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4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4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4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4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4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4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4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4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OR(AND(IF(Metadata!C937="",FALSE,TRUE),OR(exact(Metadata!C937,"not applicable"),exact(Metadata!C937,"not collected"),exact(Metadata!C937,"not provided"),exact(Metadata!C937,"restricted access"))),IF(Metadata!C937="",FALSE,ISNUMBER(VALUE(Metadata!C937))))</f>
        <v>0</v>
      </c>
      <c r="W937">
        <f>AND(IF(Metadata!D937="",FALSE,TRUE),exact(Metadata!D937,"m"))</f>
        <v>0</v>
      </c>
      <c r="X937">
        <f>AND(IF(Metadata!E937="",FALSE,TRUE),OR(exact(Metadata!E937,"aerosol (non-saline)"),exact(Metadata!E937,"aerosol (saline)")))</f>
        <v>0</v>
      </c>
      <c r="Y937">
        <f>AND(IF(Metadata!F937="",FALSE,TRUE),exact(Metadata!F937,"air"))</f>
        <v>0</v>
      </c>
      <c r="Z937">
        <f>AND(IF(Metadata!G937="",FALSE,TRUE),exact(Metadata!G937,"air"))</f>
        <v>0</v>
      </c>
      <c r="AA937">
        <f>AND(IF(Metadata!H937="",FALSE,TRUE),exact(Metadata!H937,"air"))</f>
        <v>0</v>
      </c>
      <c r="AB937">
        <f>AND(IF(Metadata!I937="",FALSE,TRUE),exact(Metadata!I937,"air metagenome"))</f>
        <v>0</v>
      </c>
      <c r="AC937">
        <f>AND(IF(Metadata!J937="",FALSE,TRUE),exact(Metadata!J937,"655179"))</f>
        <v>0</v>
      </c>
    </row>
    <row r="938" spans="1:29">
      <c r="A938" s="5">
        <f>IF(B938=" "," ",HYPERLINK(CONCATENATE("#metadata!",ADDRESS(INDEX($P$2:$P$1001,MATCH(ROWS($N$2:N938),$N$2:$N$1001,0),0),1)),INDEX($S$2:$S$1001,MATCH(ROWS($N$2:N938),$N$2:$N$1001,0),0)))</f>
        <v>0</v>
      </c>
      <c r="B938" s="4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4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4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4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4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4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4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4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4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OR(AND(IF(Metadata!C938="",FALSE,TRUE),OR(exact(Metadata!C938,"not applicable"),exact(Metadata!C938,"not collected"),exact(Metadata!C938,"not provided"),exact(Metadata!C938,"restricted access"))),IF(Metadata!C938="",FALSE,ISNUMBER(VALUE(Metadata!C938))))</f>
        <v>0</v>
      </c>
      <c r="W938">
        <f>AND(IF(Metadata!D938="",FALSE,TRUE),exact(Metadata!D938,"m"))</f>
        <v>0</v>
      </c>
      <c r="X938">
        <f>AND(IF(Metadata!E938="",FALSE,TRUE),OR(exact(Metadata!E938,"aerosol (non-saline)"),exact(Metadata!E938,"aerosol (saline)")))</f>
        <v>0</v>
      </c>
      <c r="Y938">
        <f>AND(IF(Metadata!F938="",FALSE,TRUE),exact(Metadata!F938,"air"))</f>
        <v>0</v>
      </c>
      <c r="Z938">
        <f>AND(IF(Metadata!G938="",FALSE,TRUE),exact(Metadata!G938,"air"))</f>
        <v>0</v>
      </c>
      <c r="AA938">
        <f>AND(IF(Metadata!H938="",FALSE,TRUE),exact(Metadata!H938,"air"))</f>
        <v>0</v>
      </c>
      <c r="AB938">
        <f>AND(IF(Metadata!I938="",FALSE,TRUE),exact(Metadata!I938,"air metagenome"))</f>
        <v>0</v>
      </c>
      <c r="AC938">
        <f>AND(IF(Metadata!J938="",FALSE,TRUE),exact(Metadata!J938,"655179"))</f>
        <v>0</v>
      </c>
    </row>
    <row r="939" spans="1:29">
      <c r="A939" s="5">
        <f>IF(B939=" "," ",HYPERLINK(CONCATENATE("#metadata!",ADDRESS(INDEX($P$2:$P$1001,MATCH(ROWS($N$2:N939),$N$2:$N$1001,0),0),1)),INDEX($S$2:$S$1001,MATCH(ROWS($N$2:N939),$N$2:$N$1001,0),0)))</f>
        <v>0</v>
      </c>
      <c r="B939" s="4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4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4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4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4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4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4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4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4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OR(AND(IF(Metadata!C939="",FALSE,TRUE),OR(exact(Metadata!C939,"not applicable"),exact(Metadata!C939,"not collected"),exact(Metadata!C939,"not provided"),exact(Metadata!C939,"restricted access"))),IF(Metadata!C939="",FALSE,ISNUMBER(VALUE(Metadata!C939))))</f>
        <v>0</v>
      </c>
      <c r="W939">
        <f>AND(IF(Metadata!D939="",FALSE,TRUE),exact(Metadata!D939,"m"))</f>
        <v>0</v>
      </c>
      <c r="X939">
        <f>AND(IF(Metadata!E939="",FALSE,TRUE),OR(exact(Metadata!E939,"aerosol (non-saline)"),exact(Metadata!E939,"aerosol (saline)")))</f>
        <v>0</v>
      </c>
      <c r="Y939">
        <f>AND(IF(Metadata!F939="",FALSE,TRUE),exact(Metadata!F939,"air"))</f>
        <v>0</v>
      </c>
      <c r="Z939">
        <f>AND(IF(Metadata!G939="",FALSE,TRUE),exact(Metadata!G939,"air"))</f>
        <v>0</v>
      </c>
      <c r="AA939">
        <f>AND(IF(Metadata!H939="",FALSE,TRUE),exact(Metadata!H939,"air"))</f>
        <v>0</v>
      </c>
      <c r="AB939">
        <f>AND(IF(Metadata!I939="",FALSE,TRUE),exact(Metadata!I939,"air metagenome"))</f>
        <v>0</v>
      </c>
      <c r="AC939">
        <f>AND(IF(Metadata!J939="",FALSE,TRUE),exact(Metadata!J939,"655179"))</f>
        <v>0</v>
      </c>
    </row>
    <row r="940" spans="1:29">
      <c r="A940" s="5">
        <f>IF(B940=" "," ",HYPERLINK(CONCATENATE("#metadata!",ADDRESS(INDEX($P$2:$P$1001,MATCH(ROWS($N$2:N940),$N$2:$N$1001,0),0),1)),INDEX($S$2:$S$1001,MATCH(ROWS($N$2:N940),$N$2:$N$1001,0),0)))</f>
        <v>0</v>
      </c>
      <c r="B940" s="4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4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4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4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4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4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4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4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4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OR(AND(IF(Metadata!C940="",FALSE,TRUE),OR(exact(Metadata!C940,"not applicable"),exact(Metadata!C940,"not collected"),exact(Metadata!C940,"not provided"),exact(Metadata!C940,"restricted access"))),IF(Metadata!C940="",FALSE,ISNUMBER(VALUE(Metadata!C940))))</f>
        <v>0</v>
      </c>
      <c r="W940">
        <f>AND(IF(Metadata!D940="",FALSE,TRUE),exact(Metadata!D940,"m"))</f>
        <v>0</v>
      </c>
      <c r="X940">
        <f>AND(IF(Metadata!E940="",FALSE,TRUE),OR(exact(Metadata!E940,"aerosol (non-saline)"),exact(Metadata!E940,"aerosol (saline)")))</f>
        <v>0</v>
      </c>
      <c r="Y940">
        <f>AND(IF(Metadata!F940="",FALSE,TRUE),exact(Metadata!F940,"air"))</f>
        <v>0</v>
      </c>
      <c r="Z940">
        <f>AND(IF(Metadata!G940="",FALSE,TRUE),exact(Metadata!G940,"air"))</f>
        <v>0</v>
      </c>
      <c r="AA940">
        <f>AND(IF(Metadata!H940="",FALSE,TRUE),exact(Metadata!H940,"air"))</f>
        <v>0</v>
      </c>
      <c r="AB940">
        <f>AND(IF(Metadata!I940="",FALSE,TRUE),exact(Metadata!I940,"air metagenome"))</f>
        <v>0</v>
      </c>
      <c r="AC940">
        <f>AND(IF(Metadata!J940="",FALSE,TRUE),exact(Metadata!J940,"655179"))</f>
        <v>0</v>
      </c>
    </row>
    <row r="941" spans="1:29">
      <c r="A941" s="5">
        <f>IF(B941=" "," ",HYPERLINK(CONCATENATE("#metadata!",ADDRESS(INDEX($P$2:$P$1001,MATCH(ROWS($N$2:N941),$N$2:$N$1001,0),0),1)),INDEX($S$2:$S$1001,MATCH(ROWS($N$2:N941),$N$2:$N$1001,0),0)))</f>
        <v>0</v>
      </c>
      <c r="B941" s="4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4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4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4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4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4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4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4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4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OR(AND(IF(Metadata!C941="",FALSE,TRUE),OR(exact(Metadata!C941,"not applicable"),exact(Metadata!C941,"not collected"),exact(Metadata!C941,"not provided"),exact(Metadata!C941,"restricted access"))),IF(Metadata!C941="",FALSE,ISNUMBER(VALUE(Metadata!C941))))</f>
        <v>0</v>
      </c>
      <c r="W941">
        <f>AND(IF(Metadata!D941="",FALSE,TRUE),exact(Metadata!D941,"m"))</f>
        <v>0</v>
      </c>
      <c r="X941">
        <f>AND(IF(Metadata!E941="",FALSE,TRUE),OR(exact(Metadata!E941,"aerosol (non-saline)"),exact(Metadata!E941,"aerosol (saline)")))</f>
        <v>0</v>
      </c>
      <c r="Y941">
        <f>AND(IF(Metadata!F941="",FALSE,TRUE),exact(Metadata!F941,"air"))</f>
        <v>0</v>
      </c>
      <c r="Z941">
        <f>AND(IF(Metadata!G941="",FALSE,TRUE),exact(Metadata!G941,"air"))</f>
        <v>0</v>
      </c>
      <c r="AA941">
        <f>AND(IF(Metadata!H941="",FALSE,TRUE),exact(Metadata!H941,"air"))</f>
        <v>0</v>
      </c>
      <c r="AB941">
        <f>AND(IF(Metadata!I941="",FALSE,TRUE),exact(Metadata!I941,"air metagenome"))</f>
        <v>0</v>
      </c>
      <c r="AC941">
        <f>AND(IF(Metadata!J941="",FALSE,TRUE),exact(Metadata!J941,"655179"))</f>
        <v>0</v>
      </c>
    </row>
    <row r="942" spans="1:29">
      <c r="A942" s="5">
        <f>IF(B942=" "," ",HYPERLINK(CONCATENATE("#metadata!",ADDRESS(INDEX($P$2:$P$1001,MATCH(ROWS($N$2:N942),$N$2:$N$1001,0),0),1)),INDEX($S$2:$S$1001,MATCH(ROWS($N$2:N942),$N$2:$N$1001,0),0)))</f>
        <v>0</v>
      </c>
      <c r="B942" s="4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4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4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4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4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4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4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4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4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OR(AND(IF(Metadata!C942="",FALSE,TRUE),OR(exact(Metadata!C942,"not applicable"),exact(Metadata!C942,"not collected"),exact(Metadata!C942,"not provided"),exact(Metadata!C942,"restricted access"))),IF(Metadata!C942="",FALSE,ISNUMBER(VALUE(Metadata!C942))))</f>
        <v>0</v>
      </c>
      <c r="W942">
        <f>AND(IF(Metadata!D942="",FALSE,TRUE),exact(Metadata!D942,"m"))</f>
        <v>0</v>
      </c>
      <c r="X942">
        <f>AND(IF(Metadata!E942="",FALSE,TRUE),OR(exact(Metadata!E942,"aerosol (non-saline)"),exact(Metadata!E942,"aerosol (saline)")))</f>
        <v>0</v>
      </c>
      <c r="Y942">
        <f>AND(IF(Metadata!F942="",FALSE,TRUE),exact(Metadata!F942,"air"))</f>
        <v>0</v>
      </c>
      <c r="Z942">
        <f>AND(IF(Metadata!G942="",FALSE,TRUE),exact(Metadata!G942,"air"))</f>
        <v>0</v>
      </c>
      <c r="AA942">
        <f>AND(IF(Metadata!H942="",FALSE,TRUE),exact(Metadata!H942,"air"))</f>
        <v>0</v>
      </c>
      <c r="AB942">
        <f>AND(IF(Metadata!I942="",FALSE,TRUE),exact(Metadata!I942,"air metagenome"))</f>
        <v>0</v>
      </c>
      <c r="AC942">
        <f>AND(IF(Metadata!J942="",FALSE,TRUE),exact(Metadata!J942,"655179"))</f>
        <v>0</v>
      </c>
    </row>
    <row r="943" spans="1:29">
      <c r="A943" s="5">
        <f>IF(B943=" "," ",HYPERLINK(CONCATENATE("#metadata!",ADDRESS(INDEX($P$2:$P$1001,MATCH(ROWS($N$2:N943),$N$2:$N$1001,0),0),1)),INDEX($S$2:$S$1001,MATCH(ROWS($N$2:N943),$N$2:$N$1001,0),0)))</f>
        <v>0</v>
      </c>
      <c r="B943" s="4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4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4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4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4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4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4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4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4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OR(AND(IF(Metadata!C943="",FALSE,TRUE),OR(exact(Metadata!C943,"not applicable"),exact(Metadata!C943,"not collected"),exact(Metadata!C943,"not provided"),exact(Metadata!C943,"restricted access"))),IF(Metadata!C943="",FALSE,ISNUMBER(VALUE(Metadata!C943))))</f>
        <v>0</v>
      </c>
      <c r="W943">
        <f>AND(IF(Metadata!D943="",FALSE,TRUE),exact(Metadata!D943,"m"))</f>
        <v>0</v>
      </c>
      <c r="X943">
        <f>AND(IF(Metadata!E943="",FALSE,TRUE),OR(exact(Metadata!E943,"aerosol (non-saline)"),exact(Metadata!E943,"aerosol (saline)")))</f>
        <v>0</v>
      </c>
      <c r="Y943">
        <f>AND(IF(Metadata!F943="",FALSE,TRUE),exact(Metadata!F943,"air"))</f>
        <v>0</v>
      </c>
      <c r="Z943">
        <f>AND(IF(Metadata!G943="",FALSE,TRUE),exact(Metadata!G943,"air"))</f>
        <v>0</v>
      </c>
      <c r="AA943">
        <f>AND(IF(Metadata!H943="",FALSE,TRUE),exact(Metadata!H943,"air"))</f>
        <v>0</v>
      </c>
      <c r="AB943">
        <f>AND(IF(Metadata!I943="",FALSE,TRUE),exact(Metadata!I943,"air metagenome"))</f>
        <v>0</v>
      </c>
      <c r="AC943">
        <f>AND(IF(Metadata!J943="",FALSE,TRUE),exact(Metadata!J943,"655179"))</f>
        <v>0</v>
      </c>
    </row>
    <row r="944" spans="1:29">
      <c r="A944" s="5">
        <f>IF(B944=" "," ",HYPERLINK(CONCATENATE("#metadata!",ADDRESS(INDEX($P$2:$P$1001,MATCH(ROWS($N$2:N944),$N$2:$N$1001,0),0),1)),INDEX($S$2:$S$1001,MATCH(ROWS($N$2:N944),$N$2:$N$1001,0),0)))</f>
        <v>0</v>
      </c>
      <c r="B944" s="4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4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4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4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4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4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4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4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4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OR(AND(IF(Metadata!C944="",FALSE,TRUE),OR(exact(Metadata!C944,"not applicable"),exact(Metadata!C944,"not collected"),exact(Metadata!C944,"not provided"),exact(Metadata!C944,"restricted access"))),IF(Metadata!C944="",FALSE,ISNUMBER(VALUE(Metadata!C944))))</f>
        <v>0</v>
      </c>
      <c r="W944">
        <f>AND(IF(Metadata!D944="",FALSE,TRUE),exact(Metadata!D944,"m"))</f>
        <v>0</v>
      </c>
      <c r="X944">
        <f>AND(IF(Metadata!E944="",FALSE,TRUE),OR(exact(Metadata!E944,"aerosol (non-saline)"),exact(Metadata!E944,"aerosol (saline)")))</f>
        <v>0</v>
      </c>
      <c r="Y944">
        <f>AND(IF(Metadata!F944="",FALSE,TRUE),exact(Metadata!F944,"air"))</f>
        <v>0</v>
      </c>
      <c r="Z944">
        <f>AND(IF(Metadata!G944="",FALSE,TRUE),exact(Metadata!G944,"air"))</f>
        <v>0</v>
      </c>
      <c r="AA944">
        <f>AND(IF(Metadata!H944="",FALSE,TRUE),exact(Metadata!H944,"air"))</f>
        <v>0</v>
      </c>
      <c r="AB944">
        <f>AND(IF(Metadata!I944="",FALSE,TRUE),exact(Metadata!I944,"air metagenome"))</f>
        <v>0</v>
      </c>
      <c r="AC944">
        <f>AND(IF(Metadata!J944="",FALSE,TRUE),exact(Metadata!J944,"655179"))</f>
        <v>0</v>
      </c>
    </row>
    <row r="945" spans="1:29">
      <c r="A945" s="5">
        <f>IF(B945=" "," ",HYPERLINK(CONCATENATE("#metadata!",ADDRESS(INDEX($P$2:$P$1001,MATCH(ROWS($N$2:N945),$N$2:$N$1001,0),0),1)),INDEX($S$2:$S$1001,MATCH(ROWS($N$2:N945),$N$2:$N$1001,0),0)))</f>
        <v>0</v>
      </c>
      <c r="B945" s="4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4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4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4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4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4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4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4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4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OR(AND(IF(Metadata!C945="",FALSE,TRUE),OR(exact(Metadata!C945,"not applicable"),exact(Metadata!C945,"not collected"),exact(Metadata!C945,"not provided"),exact(Metadata!C945,"restricted access"))),IF(Metadata!C945="",FALSE,ISNUMBER(VALUE(Metadata!C945))))</f>
        <v>0</v>
      </c>
      <c r="W945">
        <f>AND(IF(Metadata!D945="",FALSE,TRUE),exact(Metadata!D945,"m"))</f>
        <v>0</v>
      </c>
      <c r="X945">
        <f>AND(IF(Metadata!E945="",FALSE,TRUE),OR(exact(Metadata!E945,"aerosol (non-saline)"),exact(Metadata!E945,"aerosol (saline)")))</f>
        <v>0</v>
      </c>
      <c r="Y945">
        <f>AND(IF(Metadata!F945="",FALSE,TRUE),exact(Metadata!F945,"air"))</f>
        <v>0</v>
      </c>
      <c r="Z945">
        <f>AND(IF(Metadata!G945="",FALSE,TRUE),exact(Metadata!G945,"air"))</f>
        <v>0</v>
      </c>
      <c r="AA945">
        <f>AND(IF(Metadata!H945="",FALSE,TRUE),exact(Metadata!H945,"air"))</f>
        <v>0</v>
      </c>
      <c r="AB945">
        <f>AND(IF(Metadata!I945="",FALSE,TRUE),exact(Metadata!I945,"air metagenome"))</f>
        <v>0</v>
      </c>
      <c r="AC945">
        <f>AND(IF(Metadata!J945="",FALSE,TRUE),exact(Metadata!J945,"655179"))</f>
        <v>0</v>
      </c>
    </row>
    <row r="946" spans="1:29">
      <c r="A946" s="5">
        <f>IF(B946=" "," ",HYPERLINK(CONCATENATE("#metadata!",ADDRESS(INDEX($P$2:$P$1001,MATCH(ROWS($N$2:N946),$N$2:$N$1001,0),0),1)),INDEX($S$2:$S$1001,MATCH(ROWS($N$2:N946),$N$2:$N$1001,0),0)))</f>
        <v>0</v>
      </c>
      <c r="B946" s="4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4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4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4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4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4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4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4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4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OR(AND(IF(Metadata!C946="",FALSE,TRUE),OR(exact(Metadata!C946,"not applicable"),exact(Metadata!C946,"not collected"),exact(Metadata!C946,"not provided"),exact(Metadata!C946,"restricted access"))),IF(Metadata!C946="",FALSE,ISNUMBER(VALUE(Metadata!C946))))</f>
        <v>0</v>
      </c>
      <c r="W946">
        <f>AND(IF(Metadata!D946="",FALSE,TRUE),exact(Metadata!D946,"m"))</f>
        <v>0</v>
      </c>
      <c r="X946">
        <f>AND(IF(Metadata!E946="",FALSE,TRUE),OR(exact(Metadata!E946,"aerosol (non-saline)"),exact(Metadata!E946,"aerosol (saline)")))</f>
        <v>0</v>
      </c>
      <c r="Y946">
        <f>AND(IF(Metadata!F946="",FALSE,TRUE),exact(Metadata!F946,"air"))</f>
        <v>0</v>
      </c>
      <c r="Z946">
        <f>AND(IF(Metadata!G946="",FALSE,TRUE),exact(Metadata!G946,"air"))</f>
        <v>0</v>
      </c>
      <c r="AA946">
        <f>AND(IF(Metadata!H946="",FALSE,TRUE),exact(Metadata!H946,"air"))</f>
        <v>0</v>
      </c>
      <c r="AB946">
        <f>AND(IF(Metadata!I946="",FALSE,TRUE),exact(Metadata!I946,"air metagenome"))</f>
        <v>0</v>
      </c>
      <c r="AC946">
        <f>AND(IF(Metadata!J946="",FALSE,TRUE),exact(Metadata!J946,"655179"))</f>
        <v>0</v>
      </c>
    </row>
    <row r="947" spans="1:29">
      <c r="A947" s="5">
        <f>IF(B947=" "," ",HYPERLINK(CONCATENATE("#metadata!",ADDRESS(INDEX($P$2:$P$1001,MATCH(ROWS($N$2:N947),$N$2:$N$1001,0),0),1)),INDEX($S$2:$S$1001,MATCH(ROWS($N$2:N947),$N$2:$N$1001,0),0)))</f>
        <v>0</v>
      </c>
      <c r="B947" s="4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4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4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4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4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4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4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4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4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OR(AND(IF(Metadata!C947="",FALSE,TRUE),OR(exact(Metadata!C947,"not applicable"),exact(Metadata!C947,"not collected"),exact(Metadata!C947,"not provided"),exact(Metadata!C947,"restricted access"))),IF(Metadata!C947="",FALSE,ISNUMBER(VALUE(Metadata!C947))))</f>
        <v>0</v>
      </c>
      <c r="W947">
        <f>AND(IF(Metadata!D947="",FALSE,TRUE),exact(Metadata!D947,"m"))</f>
        <v>0</v>
      </c>
      <c r="X947">
        <f>AND(IF(Metadata!E947="",FALSE,TRUE),OR(exact(Metadata!E947,"aerosol (non-saline)"),exact(Metadata!E947,"aerosol (saline)")))</f>
        <v>0</v>
      </c>
      <c r="Y947">
        <f>AND(IF(Metadata!F947="",FALSE,TRUE),exact(Metadata!F947,"air"))</f>
        <v>0</v>
      </c>
      <c r="Z947">
        <f>AND(IF(Metadata!G947="",FALSE,TRUE),exact(Metadata!G947,"air"))</f>
        <v>0</v>
      </c>
      <c r="AA947">
        <f>AND(IF(Metadata!H947="",FALSE,TRUE),exact(Metadata!H947,"air"))</f>
        <v>0</v>
      </c>
      <c r="AB947">
        <f>AND(IF(Metadata!I947="",FALSE,TRUE),exact(Metadata!I947,"air metagenome"))</f>
        <v>0</v>
      </c>
      <c r="AC947">
        <f>AND(IF(Metadata!J947="",FALSE,TRUE),exact(Metadata!J947,"655179"))</f>
        <v>0</v>
      </c>
    </row>
    <row r="948" spans="1:29">
      <c r="A948" s="5">
        <f>IF(B948=" "," ",HYPERLINK(CONCATENATE("#metadata!",ADDRESS(INDEX($P$2:$P$1001,MATCH(ROWS($N$2:N948),$N$2:$N$1001,0),0),1)),INDEX($S$2:$S$1001,MATCH(ROWS($N$2:N948),$N$2:$N$1001,0),0)))</f>
        <v>0</v>
      </c>
      <c r="B948" s="4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4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4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4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4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4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4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4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4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OR(AND(IF(Metadata!C948="",FALSE,TRUE),OR(exact(Metadata!C948,"not applicable"),exact(Metadata!C948,"not collected"),exact(Metadata!C948,"not provided"),exact(Metadata!C948,"restricted access"))),IF(Metadata!C948="",FALSE,ISNUMBER(VALUE(Metadata!C948))))</f>
        <v>0</v>
      </c>
      <c r="W948">
        <f>AND(IF(Metadata!D948="",FALSE,TRUE),exact(Metadata!D948,"m"))</f>
        <v>0</v>
      </c>
      <c r="X948">
        <f>AND(IF(Metadata!E948="",FALSE,TRUE),OR(exact(Metadata!E948,"aerosol (non-saline)"),exact(Metadata!E948,"aerosol (saline)")))</f>
        <v>0</v>
      </c>
      <c r="Y948">
        <f>AND(IF(Metadata!F948="",FALSE,TRUE),exact(Metadata!F948,"air"))</f>
        <v>0</v>
      </c>
      <c r="Z948">
        <f>AND(IF(Metadata!G948="",FALSE,TRUE),exact(Metadata!G948,"air"))</f>
        <v>0</v>
      </c>
      <c r="AA948">
        <f>AND(IF(Metadata!H948="",FALSE,TRUE),exact(Metadata!H948,"air"))</f>
        <v>0</v>
      </c>
      <c r="AB948">
        <f>AND(IF(Metadata!I948="",FALSE,TRUE),exact(Metadata!I948,"air metagenome"))</f>
        <v>0</v>
      </c>
      <c r="AC948">
        <f>AND(IF(Metadata!J948="",FALSE,TRUE),exact(Metadata!J948,"655179"))</f>
        <v>0</v>
      </c>
    </row>
    <row r="949" spans="1:29">
      <c r="A949" s="5">
        <f>IF(B949=" "," ",HYPERLINK(CONCATENATE("#metadata!",ADDRESS(INDEX($P$2:$P$1001,MATCH(ROWS($N$2:N949),$N$2:$N$1001,0),0),1)),INDEX($S$2:$S$1001,MATCH(ROWS($N$2:N949),$N$2:$N$1001,0),0)))</f>
        <v>0</v>
      </c>
      <c r="B949" s="4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4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4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4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4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4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4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4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4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OR(AND(IF(Metadata!C949="",FALSE,TRUE),OR(exact(Metadata!C949,"not applicable"),exact(Metadata!C949,"not collected"),exact(Metadata!C949,"not provided"),exact(Metadata!C949,"restricted access"))),IF(Metadata!C949="",FALSE,ISNUMBER(VALUE(Metadata!C949))))</f>
        <v>0</v>
      </c>
      <c r="W949">
        <f>AND(IF(Metadata!D949="",FALSE,TRUE),exact(Metadata!D949,"m"))</f>
        <v>0</v>
      </c>
      <c r="X949">
        <f>AND(IF(Metadata!E949="",FALSE,TRUE),OR(exact(Metadata!E949,"aerosol (non-saline)"),exact(Metadata!E949,"aerosol (saline)")))</f>
        <v>0</v>
      </c>
      <c r="Y949">
        <f>AND(IF(Metadata!F949="",FALSE,TRUE),exact(Metadata!F949,"air"))</f>
        <v>0</v>
      </c>
      <c r="Z949">
        <f>AND(IF(Metadata!G949="",FALSE,TRUE),exact(Metadata!G949,"air"))</f>
        <v>0</v>
      </c>
      <c r="AA949">
        <f>AND(IF(Metadata!H949="",FALSE,TRUE),exact(Metadata!H949,"air"))</f>
        <v>0</v>
      </c>
      <c r="AB949">
        <f>AND(IF(Metadata!I949="",FALSE,TRUE),exact(Metadata!I949,"air metagenome"))</f>
        <v>0</v>
      </c>
      <c r="AC949">
        <f>AND(IF(Metadata!J949="",FALSE,TRUE),exact(Metadata!J949,"655179"))</f>
        <v>0</v>
      </c>
    </row>
    <row r="950" spans="1:29">
      <c r="A950" s="5">
        <f>IF(B950=" "," ",HYPERLINK(CONCATENATE("#metadata!",ADDRESS(INDEX($P$2:$P$1001,MATCH(ROWS($N$2:N950),$N$2:$N$1001,0),0),1)),INDEX($S$2:$S$1001,MATCH(ROWS($N$2:N950),$N$2:$N$1001,0),0)))</f>
        <v>0</v>
      </c>
      <c r="B950" s="4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4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4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4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4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4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4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4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4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OR(AND(IF(Metadata!C950="",FALSE,TRUE),OR(exact(Metadata!C950,"not applicable"),exact(Metadata!C950,"not collected"),exact(Metadata!C950,"not provided"),exact(Metadata!C950,"restricted access"))),IF(Metadata!C950="",FALSE,ISNUMBER(VALUE(Metadata!C950))))</f>
        <v>0</v>
      </c>
      <c r="W950">
        <f>AND(IF(Metadata!D950="",FALSE,TRUE),exact(Metadata!D950,"m"))</f>
        <v>0</v>
      </c>
      <c r="X950">
        <f>AND(IF(Metadata!E950="",FALSE,TRUE),OR(exact(Metadata!E950,"aerosol (non-saline)"),exact(Metadata!E950,"aerosol (saline)")))</f>
        <v>0</v>
      </c>
      <c r="Y950">
        <f>AND(IF(Metadata!F950="",FALSE,TRUE),exact(Metadata!F950,"air"))</f>
        <v>0</v>
      </c>
      <c r="Z950">
        <f>AND(IF(Metadata!G950="",FALSE,TRUE),exact(Metadata!G950,"air"))</f>
        <v>0</v>
      </c>
      <c r="AA950">
        <f>AND(IF(Metadata!H950="",FALSE,TRUE),exact(Metadata!H950,"air"))</f>
        <v>0</v>
      </c>
      <c r="AB950">
        <f>AND(IF(Metadata!I950="",FALSE,TRUE),exact(Metadata!I950,"air metagenome"))</f>
        <v>0</v>
      </c>
      <c r="AC950">
        <f>AND(IF(Metadata!J950="",FALSE,TRUE),exact(Metadata!J950,"655179"))</f>
        <v>0</v>
      </c>
    </row>
    <row r="951" spans="1:29">
      <c r="A951" s="5">
        <f>IF(B951=" "," ",HYPERLINK(CONCATENATE("#metadata!",ADDRESS(INDEX($P$2:$P$1001,MATCH(ROWS($N$2:N951),$N$2:$N$1001,0),0),1)),INDEX($S$2:$S$1001,MATCH(ROWS($N$2:N951),$N$2:$N$1001,0),0)))</f>
        <v>0</v>
      </c>
      <c r="B951" s="4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4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4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4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4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4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4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4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4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OR(AND(IF(Metadata!C951="",FALSE,TRUE),OR(exact(Metadata!C951,"not applicable"),exact(Metadata!C951,"not collected"),exact(Metadata!C951,"not provided"),exact(Metadata!C951,"restricted access"))),IF(Metadata!C951="",FALSE,ISNUMBER(VALUE(Metadata!C951))))</f>
        <v>0</v>
      </c>
      <c r="W951">
        <f>AND(IF(Metadata!D951="",FALSE,TRUE),exact(Metadata!D951,"m"))</f>
        <v>0</v>
      </c>
      <c r="X951">
        <f>AND(IF(Metadata!E951="",FALSE,TRUE),OR(exact(Metadata!E951,"aerosol (non-saline)"),exact(Metadata!E951,"aerosol (saline)")))</f>
        <v>0</v>
      </c>
      <c r="Y951">
        <f>AND(IF(Metadata!F951="",FALSE,TRUE),exact(Metadata!F951,"air"))</f>
        <v>0</v>
      </c>
      <c r="Z951">
        <f>AND(IF(Metadata!G951="",FALSE,TRUE),exact(Metadata!G951,"air"))</f>
        <v>0</v>
      </c>
      <c r="AA951">
        <f>AND(IF(Metadata!H951="",FALSE,TRUE),exact(Metadata!H951,"air"))</f>
        <v>0</v>
      </c>
      <c r="AB951">
        <f>AND(IF(Metadata!I951="",FALSE,TRUE),exact(Metadata!I951,"air metagenome"))</f>
        <v>0</v>
      </c>
      <c r="AC951">
        <f>AND(IF(Metadata!J951="",FALSE,TRUE),exact(Metadata!J951,"655179"))</f>
        <v>0</v>
      </c>
    </row>
    <row r="952" spans="1:29">
      <c r="A952" s="5">
        <f>IF(B952=" "," ",HYPERLINK(CONCATENATE("#metadata!",ADDRESS(INDEX($P$2:$P$1001,MATCH(ROWS($N$2:N952),$N$2:$N$1001,0),0),1)),INDEX($S$2:$S$1001,MATCH(ROWS($N$2:N952),$N$2:$N$1001,0),0)))</f>
        <v>0</v>
      </c>
      <c r="B952" s="4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4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4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4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4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4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4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4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4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OR(AND(IF(Metadata!C952="",FALSE,TRUE),OR(exact(Metadata!C952,"not applicable"),exact(Metadata!C952,"not collected"),exact(Metadata!C952,"not provided"),exact(Metadata!C952,"restricted access"))),IF(Metadata!C952="",FALSE,ISNUMBER(VALUE(Metadata!C952))))</f>
        <v>0</v>
      </c>
      <c r="W952">
        <f>AND(IF(Metadata!D952="",FALSE,TRUE),exact(Metadata!D952,"m"))</f>
        <v>0</v>
      </c>
      <c r="X952">
        <f>AND(IF(Metadata!E952="",FALSE,TRUE),OR(exact(Metadata!E952,"aerosol (non-saline)"),exact(Metadata!E952,"aerosol (saline)")))</f>
        <v>0</v>
      </c>
      <c r="Y952">
        <f>AND(IF(Metadata!F952="",FALSE,TRUE),exact(Metadata!F952,"air"))</f>
        <v>0</v>
      </c>
      <c r="Z952">
        <f>AND(IF(Metadata!G952="",FALSE,TRUE),exact(Metadata!G952,"air"))</f>
        <v>0</v>
      </c>
      <c r="AA952">
        <f>AND(IF(Metadata!H952="",FALSE,TRUE),exact(Metadata!H952,"air"))</f>
        <v>0</v>
      </c>
      <c r="AB952">
        <f>AND(IF(Metadata!I952="",FALSE,TRUE),exact(Metadata!I952,"air metagenome"))</f>
        <v>0</v>
      </c>
      <c r="AC952">
        <f>AND(IF(Metadata!J952="",FALSE,TRUE),exact(Metadata!J952,"655179"))</f>
        <v>0</v>
      </c>
    </row>
    <row r="953" spans="1:29">
      <c r="A953" s="5">
        <f>IF(B953=" "," ",HYPERLINK(CONCATENATE("#metadata!",ADDRESS(INDEX($P$2:$P$1001,MATCH(ROWS($N$2:N953),$N$2:$N$1001,0),0),1)),INDEX($S$2:$S$1001,MATCH(ROWS($N$2:N953),$N$2:$N$1001,0),0)))</f>
        <v>0</v>
      </c>
      <c r="B953" s="4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4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4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4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4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4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4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4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4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OR(AND(IF(Metadata!C953="",FALSE,TRUE),OR(exact(Metadata!C953,"not applicable"),exact(Metadata!C953,"not collected"),exact(Metadata!C953,"not provided"),exact(Metadata!C953,"restricted access"))),IF(Metadata!C953="",FALSE,ISNUMBER(VALUE(Metadata!C953))))</f>
        <v>0</v>
      </c>
      <c r="W953">
        <f>AND(IF(Metadata!D953="",FALSE,TRUE),exact(Metadata!D953,"m"))</f>
        <v>0</v>
      </c>
      <c r="X953">
        <f>AND(IF(Metadata!E953="",FALSE,TRUE),OR(exact(Metadata!E953,"aerosol (non-saline)"),exact(Metadata!E953,"aerosol (saline)")))</f>
        <v>0</v>
      </c>
      <c r="Y953">
        <f>AND(IF(Metadata!F953="",FALSE,TRUE),exact(Metadata!F953,"air"))</f>
        <v>0</v>
      </c>
      <c r="Z953">
        <f>AND(IF(Metadata!G953="",FALSE,TRUE),exact(Metadata!G953,"air"))</f>
        <v>0</v>
      </c>
      <c r="AA953">
        <f>AND(IF(Metadata!H953="",FALSE,TRUE),exact(Metadata!H953,"air"))</f>
        <v>0</v>
      </c>
      <c r="AB953">
        <f>AND(IF(Metadata!I953="",FALSE,TRUE),exact(Metadata!I953,"air metagenome"))</f>
        <v>0</v>
      </c>
      <c r="AC953">
        <f>AND(IF(Metadata!J953="",FALSE,TRUE),exact(Metadata!J953,"655179"))</f>
        <v>0</v>
      </c>
    </row>
    <row r="954" spans="1:29">
      <c r="A954" s="5">
        <f>IF(B954=" "," ",HYPERLINK(CONCATENATE("#metadata!",ADDRESS(INDEX($P$2:$P$1001,MATCH(ROWS($N$2:N954),$N$2:$N$1001,0),0),1)),INDEX($S$2:$S$1001,MATCH(ROWS($N$2:N954),$N$2:$N$1001,0),0)))</f>
        <v>0</v>
      </c>
      <c r="B954" s="4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4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4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4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4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4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4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4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4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OR(AND(IF(Metadata!C954="",FALSE,TRUE),OR(exact(Metadata!C954,"not applicable"),exact(Metadata!C954,"not collected"),exact(Metadata!C954,"not provided"),exact(Metadata!C954,"restricted access"))),IF(Metadata!C954="",FALSE,ISNUMBER(VALUE(Metadata!C954))))</f>
        <v>0</v>
      </c>
      <c r="W954">
        <f>AND(IF(Metadata!D954="",FALSE,TRUE),exact(Metadata!D954,"m"))</f>
        <v>0</v>
      </c>
      <c r="X954">
        <f>AND(IF(Metadata!E954="",FALSE,TRUE),OR(exact(Metadata!E954,"aerosol (non-saline)"),exact(Metadata!E954,"aerosol (saline)")))</f>
        <v>0</v>
      </c>
      <c r="Y954">
        <f>AND(IF(Metadata!F954="",FALSE,TRUE),exact(Metadata!F954,"air"))</f>
        <v>0</v>
      </c>
      <c r="Z954">
        <f>AND(IF(Metadata!G954="",FALSE,TRUE),exact(Metadata!G954,"air"))</f>
        <v>0</v>
      </c>
      <c r="AA954">
        <f>AND(IF(Metadata!H954="",FALSE,TRUE),exact(Metadata!H954,"air"))</f>
        <v>0</v>
      </c>
      <c r="AB954">
        <f>AND(IF(Metadata!I954="",FALSE,TRUE),exact(Metadata!I954,"air metagenome"))</f>
        <v>0</v>
      </c>
      <c r="AC954">
        <f>AND(IF(Metadata!J954="",FALSE,TRUE),exact(Metadata!J954,"655179"))</f>
        <v>0</v>
      </c>
    </row>
    <row r="955" spans="1:29">
      <c r="A955" s="5">
        <f>IF(B955=" "," ",HYPERLINK(CONCATENATE("#metadata!",ADDRESS(INDEX($P$2:$P$1001,MATCH(ROWS($N$2:N955),$N$2:$N$1001,0),0),1)),INDEX($S$2:$S$1001,MATCH(ROWS($N$2:N955),$N$2:$N$1001,0),0)))</f>
        <v>0</v>
      </c>
      <c r="B955" s="4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4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4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4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4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4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4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4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4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OR(AND(IF(Metadata!C955="",FALSE,TRUE),OR(exact(Metadata!C955,"not applicable"),exact(Metadata!C955,"not collected"),exact(Metadata!C955,"not provided"),exact(Metadata!C955,"restricted access"))),IF(Metadata!C955="",FALSE,ISNUMBER(VALUE(Metadata!C955))))</f>
        <v>0</v>
      </c>
      <c r="W955">
        <f>AND(IF(Metadata!D955="",FALSE,TRUE),exact(Metadata!D955,"m"))</f>
        <v>0</v>
      </c>
      <c r="X955">
        <f>AND(IF(Metadata!E955="",FALSE,TRUE),OR(exact(Metadata!E955,"aerosol (non-saline)"),exact(Metadata!E955,"aerosol (saline)")))</f>
        <v>0</v>
      </c>
      <c r="Y955">
        <f>AND(IF(Metadata!F955="",FALSE,TRUE),exact(Metadata!F955,"air"))</f>
        <v>0</v>
      </c>
      <c r="Z955">
        <f>AND(IF(Metadata!G955="",FALSE,TRUE),exact(Metadata!G955,"air"))</f>
        <v>0</v>
      </c>
      <c r="AA955">
        <f>AND(IF(Metadata!H955="",FALSE,TRUE),exact(Metadata!H955,"air"))</f>
        <v>0</v>
      </c>
      <c r="AB955">
        <f>AND(IF(Metadata!I955="",FALSE,TRUE),exact(Metadata!I955,"air metagenome"))</f>
        <v>0</v>
      </c>
      <c r="AC955">
        <f>AND(IF(Metadata!J955="",FALSE,TRUE),exact(Metadata!J955,"655179"))</f>
        <v>0</v>
      </c>
    </row>
    <row r="956" spans="1:29">
      <c r="A956" s="5">
        <f>IF(B956=" "," ",HYPERLINK(CONCATENATE("#metadata!",ADDRESS(INDEX($P$2:$P$1001,MATCH(ROWS($N$2:N956),$N$2:$N$1001,0),0),1)),INDEX($S$2:$S$1001,MATCH(ROWS($N$2:N956),$N$2:$N$1001,0),0)))</f>
        <v>0</v>
      </c>
      <c r="B956" s="4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4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4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4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4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4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4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4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4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OR(AND(IF(Metadata!C956="",FALSE,TRUE),OR(exact(Metadata!C956,"not applicable"),exact(Metadata!C956,"not collected"),exact(Metadata!C956,"not provided"),exact(Metadata!C956,"restricted access"))),IF(Metadata!C956="",FALSE,ISNUMBER(VALUE(Metadata!C956))))</f>
        <v>0</v>
      </c>
      <c r="W956">
        <f>AND(IF(Metadata!D956="",FALSE,TRUE),exact(Metadata!D956,"m"))</f>
        <v>0</v>
      </c>
      <c r="X956">
        <f>AND(IF(Metadata!E956="",FALSE,TRUE),OR(exact(Metadata!E956,"aerosol (non-saline)"),exact(Metadata!E956,"aerosol (saline)")))</f>
        <v>0</v>
      </c>
      <c r="Y956">
        <f>AND(IF(Metadata!F956="",FALSE,TRUE),exact(Metadata!F956,"air"))</f>
        <v>0</v>
      </c>
      <c r="Z956">
        <f>AND(IF(Metadata!G956="",FALSE,TRUE),exact(Metadata!G956,"air"))</f>
        <v>0</v>
      </c>
      <c r="AA956">
        <f>AND(IF(Metadata!H956="",FALSE,TRUE),exact(Metadata!H956,"air"))</f>
        <v>0</v>
      </c>
      <c r="AB956">
        <f>AND(IF(Metadata!I956="",FALSE,TRUE),exact(Metadata!I956,"air metagenome"))</f>
        <v>0</v>
      </c>
      <c r="AC956">
        <f>AND(IF(Metadata!J956="",FALSE,TRUE),exact(Metadata!J956,"655179"))</f>
        <v>0</v>
      </c>
    </row>
    <row r="957" spans="1:29">
      <c r="A957" s="5">
        <f>IF(B957=" "," ",HYPERLINK(CONCATENATE("#metadata!",ADDRESS(INDEX($P$2:$P$1001,MATCH(ROWS($N$2:N957),$N$2:$N$1001,0),0),1)),INDEX($S$2:$S$1001,MATCH(ROWS($N$2:N957),$N$2:$N$1001,0),0)))</f>
        <v>0</v>
      </c>
      <c r="B957" s="4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4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4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4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4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4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4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4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4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OR(AND(IF(Metadata!C957="",FALSE,TRUE),OR(exact(Metadata!C957,"not applicable"),exact(Metadata!C957,"not collected"),exact(Metadata!C957,"not provided"),exact(Metadata!C957,"restricted access"))),IF(Metadata!C957="",FALSE,ISNUMBER(VALUE(Metadata!C957))))</f>
        <v>0</v>
      </c>
      <c r="W957">
        <f>AND(IF(Metadata!D957="",FALSE,TRUE),exact(Metadata!D957,"m"))</f>
        <v>0</v>
      </c>
      <c r="X957">
        <f>AND(IF(Metadata!E957="",FALSE,TRUE),OR(exact(Metadata!E957,"aerosol (non-saline)"),exact(Metadata!E957,"aerosol (saline)")))</f>
        <v>0</v>
      </c>
      <c r="Y957">
        <f>AND(IF(Metadata!F957="",FALSE,TRUE),exact(Metadata!F957,"air"))</f>
        <v>0</v>
      </c>
      <c r="Z957">
        <f>AND(IF(Metadata!G957="",FALSE,TRUE),exact(Metadata!G957,"air"))</f>
        <v>0</v>
      </c>
      <c r="AA957">
        <f>AND(IF(Metadata!H957="",FALSE,TRUE),exact(Metadata!H957,"air"))</f>
        <v>0</v>
      </c>
      <c r="AB957">
        <f>AND(IF(Metadata!I957="",FALSE,TRUE),exact(Metadata!I957,"air metagenome"))</f>
        <v>0</v>
      </c>
      <c r="AC957">
        <f>AND(IF(Metadata!J957="",FALSE,TRUE),exact(Metadata!J957,"655179"))</f>
        <v>0</v>
      </c>
    </row>
    <row r="958" spans="1:29">
      <c r="A958" s="5">
        <f>IF(B958=" "," ",HYPERLINK(CONCATENATE("#metadata!",ADDRESS(INDEX($P$2:$P$1001,MATCH(ROWS($N$2:N958),$N$2:$N$1001,0),0),1)),INDEX($S$2:$S$1001,MATCH(ROWS($N$2:N958),$N$2:$N$1001,0),0)))</f>
        <v>0</v>
      </c>
      <c r="B958" s="4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4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4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4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4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4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4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4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4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OR(AND(IF(Metadata!C958="",FALSE,TRUE),OR(exact(Metadata!C958,"not applicable"),exact(Metadata!C958,"not collected"),exact(Metadata!C958,"not provided"),exact(Metadata!C958,"restricted access"))),IF(Metadata!C958="",FALSE,ISNUMBER(VALUE(Metadata!C958))))</f>
        <v>0</v>
      </c>
      <c r="W958">
        <f>AND(IF(Metadata!D958="",FALSE,TRUE),exact(Metadata!D958,"m"))</f>
        <v>0</v>
      </c>
      <c r="X958">
        <f>AND(IF(Metadata!E958="",FALSE,TRUE),OR(exact(Metadata!E958,"aerosol (non-saline)"),exact(Metadata!E958,"aerosol (saline)")))</f>
        <v>0</v>
      </c>
      <c r="Y958">
        <f>AND(IF(Metadata!F958="",FALSE,TRUE),exact(Metadata!F958,"air"))</f>
        <v>0</v>
      </c>
      <c r="Z958">
        <f>AND(IF(Metadata!G958="",FALSE,TRUE),exact(Metadata!G958,"air"))</f>
        <v>0</v>
      </c>
      <c r="AA958">
        <f>AND(IF(Metadata!H958="",FALSE,TRUE),exact(Metadata!H958,"air"))</f>
        <v>0</v>
      </c>
      <c r="AB958">
        <f>AND(IF(Metadata!I958="",FALSE,TRUE),exact(Metadata!I958,"air metagenome"))</f>
        <v>0</v>
      </c>
      <c r="AC958">
        <f>AND(IF(Metadata!J958="",FALSE,TRUE),exact(Metadata!J958,"655179"))</f>
        <v>0</v>
      </c>
    </row>
    <row r="959" spans="1:29">
      <c r="A959" s="5">
        <f>IF(B959=" "," ",HYPERLINK(CONCATENATE("#metadata!",ADDRESS(INDEX($P$2:$P$1001,MATCH(ROWS($N$2:N959),$N$2:$N$1001,0),0),1)),INDEX($S$2:$S$1001,MATCH(ROWS($N$2:N959),$N$2:$N$1001,0),0)))</f>
        <v>0</v>
      </c>
      <c r="B959" s="4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4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4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4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4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4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4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4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4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OR(AND(IF(Metadata!C959="",FALSE,TRUE),OR(exact(Metadata!C959,"not applicable"),exact(Metadata!C959,"not collected"),exact(Metadata!C959,"not provided"),exact(Metadata!C959,"restricted access"))),IF(Metadata!C959="",FALSE,ISNUMBER(VALUE(Metadata!C959))))</f>
        <v>0</v>
      </c>
      <c r="W959">
        <f>AND(IF(Metadata!D959="",FALSE,TRUE),exact(Metadata!D959,"m"))</f>
        <v>0</v>
      </c>
      <c r="X959">
        <f>AND(IF(Metadata!E959="",FALSE,TRUE),OR(exact(Metadata!E959,"aerosol (non-saline)"),exact(Metadata!E959,"aerosol (saline)")))</f>
        <v>0</v>
      </c>
      <c r="Y959">
        <f>AND(IF(Metadata!F959="",FALSE,TRUE),exact(Metadata!F959,"air"))</f>
        <v>0</v>
      </c>
      <c r="Z959">
        <f>AND(IF(Metadata!G959="",FALSE,TRUE),exact(Metadata!G959,"air"))</f>
        <v>0</v>
      </c>
      <c r="AA959">
        <f>AND(IF(Metadata!H959="",FALSE,TRUE),exact(Metadata!H959,"air"))</f>
        <v>0</v>
      </c>
      <c r="AB959">
        <f>AND(IF(Metadata!I959="",FALSE,TRUE),exact(Metadata!I959,"air metagenome"))</f>
        <v>0</v>
      </c>
      <c r="AC959">
        <f>AND(IF(Metadata!J959="",FALSE,TRUE),exact(Metadata!J959,"655179"))</f>
        <v>0</v>
      </c>
    </row>
    <row r="960" spans="1:29">
      <c r="A960" s="5">
        <f>IF(B960=" "," ",HYPERLINK(CONCATENATE("#metadata!",ADDRESS(INDEX($P$2:$P$1001,MATCH(ROWS($N$2:N960),$N$2:$N$1001,0),0),1)),INDEX($S$2:$S$1001,MATCH(ROWS($N$2:N960),$N$2:$N$1001,0),0)))</f>
        <v>0</v>
      </c>
      <c r="B960" s="4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4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4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4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4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4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4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4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4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OR(AND(IF(Metadata!C960="",FALSE,TRUE),OR(exact(Metadata!C960,"not applicable"),exact(Metadata!C960,"not collected"),exact(Metadata!C960,"not provided"),exact(Metadata!C960,"restricted access"))),IF(Metadata!C960="",FALSE,ISNUMBER(VALUE(Metadata!C960))))</f>
        <v>0</v>
      </c>
      <c r="W960">
        <f>AND(IF(Metadata!D960="",FALSE,TRUE),exact(Metadata!D960,"m"))</f>
        <v>0</v>
      </c>
      <c r="X960">
        <f>AND(IF(Metadata!E960="",FALSE,TRUE),OR(exact(Metadata!E960,"aerosol (non-saline)"),exact(Metadata!E960,"aerosol (saline)")))</f>
        <v>0</v>
      </c>
      <c r="Y960">
        <f>AND(IF(Metadata!F960="",FALSE,TRUE),exact(Metadata!F960,"air"))</f>
        <v>0</v>
      </c>
      <c r="Z960">
        <f>AND(IF(Metadata!G960="",FALSE,TRUE),exact(Metadata!G960,"air"))</f>
        <v>0</v>
      </c>
      <c r="AA960">
        <f>AND(IF(Metadata!H960="",FALSE,TRUE),exact(Metadata!H960,"air"))</f>
        <v>0</v>
      </c>
      <c r="AB960">
        <f>AND(IF(Metadata!I960="",FALSE,TRUE),exact(Metadata!I960,"air metagenome"))</f>
        <v>0</v>
      </c>
      <c r="AC960">
        <f>AND(IF(Metadata!J960="",FALSE,TRUE),exact(Metadata!J960,"655179"))</f>
        <v>0</v>
      </c>
    </row>
    <row r="961" spans="1:29">
      <c r="A961" s="5">
        <f>IF(B961=" "," ",HYPERLINK(CONCATENATE("#metadata!",ADDRESS(INDEX($P$2:$P$1001,MATCH(ROWS($N$2:N961),$N$2:$N$1001,0),0),1)),INDEX($S$2:$S$1001,MATCH(ROWS($N$2:N961),$N$2:$N$1001,0),0)))</f>
        <v>0</v>
      </c>
      <c r="B961" s="4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4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4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4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4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4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4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4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4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OR(AND(IF(Metadata!C961="",FALSE,TRUE),OR(exact(Metadata!C961,"not applicable"),exact(Metadata!C961,"not collected"),exact(Metadata!C961,"not provided"),exact(Metadata!C961,"restricted access"))),IF(Metadata!C961="",FALSE,ISNUMBER(VALUE(Metadata!C961))))</f>
        <v>0</v>
      </c>
      <c r="W961">
        <f>AND(IF(Metadata!D961="",FALSE,TRUE),exact(Metadata!D961,"m"))</f>
        <v>0</v>
      </c>
      <c r="X961">
        <f>AND(IF(Metadata!E961="",FALSE,TRUE),OR(exact(Metadata!E961,"aerosol (non-saline)"),exact(Metadata!E961,"aerosol (saline)")))</f>
        <v>0</v>
      </c>
      <c r="Y961">
        <f>AND(IF(Metadata!F961="",FALSE,TRUE),exact(Metadata!F961,"air"))</f>
        <v>0</v>
      </c>
      <c r="Z961">
        <f>AND(IF(Metadata!G961="",FALSE,TRUE),exact(Metadata!G961,"air"))</f>
        <v>0</v>
      </c>
      <c r="AA961">
        <f>AND(IF(Metadata!H961="",FALSE,TRUE),exact(Metadata!H961,"air"))</f>
        <v>0</v>
      </c>
      <c r="AB961">
        <f>AND(IF(Metadata!I961="",FALSE,TRUE),exact(Metadata!I961,"air metagenome"))</f>
        <v>0</v>
      </c>
      <c r="AC961">
        <f>AND(IF(Metadata!J961="",FALSE,TRUE),exact(Metadata!J961,"655179"))</f>
        <v>0</v>
      </c>
    </row>
    <row r="962" spans="1:29">
      <c r="A962" s="5">
        <f>IF(B962=" "," ",HYPERLINK(CONCATENATE("#metadata!",ADDRESS(INDEX($P$2:$P$1001,MATCH(ROWS($N$2:N962),$N$2:$N$1001,0),0),1)),INDEX($S$2:$S$1001,MATCH(ROWS($N$2:N962),$N$2:$N$1001,0),0)))</f>
        <v>0</v>
      </c>
      <c r="B962" s="4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4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4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4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4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4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4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4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4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OR(AND(IF(Metadata!C962="",FALSE,TRUE),OR(exact(Metadata!C962,"not applicable"),exact(Metadata!C962,"not collected"),exact(Metadata!C962,"not provided"),exact(Metadata!C962,"restricted access"))),IF(Metadata!C962="",FALSE,ISNUMBER(VALUE(Metadata!C962))))</f>
        <v>0</v>
      </c>
      <c r="W962">
        <f>AND(IF(Metadata!D962="",FALSE,TRUE),exact(Metadata!D962,"m"))</f>
        <v>0</v>
      </c>
      <c r="X962">
        <f>AND(IF(Metadata!E962="",FALSE,TRUE),OR(exact(Metadata!E962,"aerosol (non-saline)"),exact(Metadata!E962,"aerosol (saline)")))</f>
        <v>0</v>
      </c>
      <c r="Y962">
        <f>AND(IF(Metadata!F962="",FALSE,TRUE),exact(Metadata!F962,"air"))</f>
        <v>0</v>
      </c>
      <c r="Z962">
        <f>AND(IF(Metadata!G962="",FALSE,TRUE),exact(Metadata!G962,"air"))</f>
        <v>0</v>
      </c>
      <c r="AA962">
        <f>AND(IF(Metadata!H962="",FALSE,TRUE),exact(Metadata!H962,"air"))</f>
        <v>0</v>
      </c>
      <c r="AB962">
        <f>AND(IF(Metadata!I962="",FALSE,TRUE),exact(Metadata!I962,"air metagenome"))</f>
        <v>0</v>
      </c>
      <c r="AC962">
        <f>AND(IF(Metadata!J962="",FALSE,TRUE),exact(Metadata!J962,"655179"))</f>
        <v>0</v>
      </c>
    </row>
    <row r="963" spans="1:29">
      <c r="A963" s="5">
        <f>IF(B963=" "," ",HYPERLINK(CONCATENATE("#metadata!",ADDRESS(INDEX($P$2:$P$1001,MATCH(ROWS($N$2:N963),$N$2:$N$1001,0),0),1)),INDEX($S$2:$S$1001,MATCH(ROWS($N$2:N963),$N$2:$N$1001,0),0)))</f>
        <v>0</v>
      </c>
      <c r="B963" s="4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4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4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4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4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4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4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4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4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OR(AND(IF(Metadata!C963="",FALSE,TRUE),OR(exact(Metadata!C963,"not applicable"),exact(Metadata!C963,"not collected"),exact(Metadata!C963,"not provided"),exact(Metadata!C963,"restricted access"))),IF(Metadata!C963="",FALSE,ISNUMBER(VALUE(Metadata!C963))))</f>
        <v>0</v>
      </c>
      <c r="W963">
        <f>AND(IF(Metadata!D963="",FALSE,TRUE),exact(Metadata!D963,"m"))</f>
        <v>0</v>
      </c>
      <c r="X963">
        <f>AND(IF(Metadata!E963="",FALSE,TRUE),OR(exact(Metadata!E963,"aerosol (non-saline)"),exact(Metadata!E963,"aerosol (saline)")))</f>
        <v>0</v>
      </c>
      <c r="Y963">
        <f>AND(IF(Metadata!F963="",FALSE,TRUE),exact(Metadata!F963,"air"))</f>
        <v>0</v>
      </c>
      <c r="Z963">
        <f>AND(IF(Metadata!G963="",FALSE,TRUE),exact(Metadata!G963,"air"))</f>
        <v>0</v>
      </c>
      <c r="AA963">
        <f>AND(IF(Metadata!H963="",FALSE,TRUE),exact(Metadata!H963,"air"))</f>
        <v>0</v>
      </c>
      <c r="AB963">
        <f>AND(IF(Metadata!I963="",FALSE,TRUE),exact(Metadata!I963,"air metagenome"))</f>
        <v>0</v>
      </c>
      <c r="AC963">
        <f>AND(IF(Metadata!J963="",FALSE,TRUE),exact(Metadata!J963,"655179"))</f>
        <v>0</v>
      </c>
    </row>
    <row r="964" spans="1:29">
      <c r="A964" s="5">
        <f>IF(B964=" "," ",HYPERLINK(CONCATENATE("#metadata!",ADDRESS(INDEX($P$2:$P$1001,MATCH(ROWS($N$2:N964),$N$2:$N$1001,0),0),1)),INDEX($S$2:$S$1001,MATCH(ROWS($N$2:N964),$N$2:$N$1001,0),0)))</f>
        <v>0</v>
      </c>
      <c r="B964" s="4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4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4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4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4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4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4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4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4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OR(AND(IF(Metadata!C964="",FALSE,TRUE),OR(exact(Metadata!C964,"not applicable"),exact(Metadata!C964,"not collected"),exact(Metadata!C964,"not provided"),exact(Metadata!C964,"restricted access"))),IF(Metadata!C964="",FALSE,ISNUMBER(VALUE(Metadata!C964))))</f>
        <v>0</v>
      </c>
      <c r="W964">
        <f>AND(IF(Metadata!D964="",FALSE,TRUE),exact(Metadata!D964,"m"))</f>
        <v>0</v>
      </c>
      <c r="X964">
        <f>AND(IF(Metadata!E964="",FALSE,TRUE),OR(exact(Metadata!E964,"aerosol (non-saline)"),exact(Metadata!E964,"aerosol (saline)")))</f>
        <v>0</v>
      </c>
      <c r="Y964">
        <f>AND(IF(Metadata!F964="",FALSE,TRUE),exact(Metadata!F964,"air"))</f>
        <v>0</v>
      </c>
      <c r="Z964">
        <f>AND(IF(Metadata!G964="",FALSE,TRUE),exact(Metadata!G964,"air"))</f>
        <v>0</v>
      </c>
      <c r="AA964">
        <f>AND(IF(Metadata!H964="",FALSE,TRUE),exact(Metadata!H964,"air"))</f>
        <v>0</v>
      </c>
      <c r="AB964">
        <f>AND(IF(Metadata!I964="",FALSE,TRUE),exact(Metadata!I964,"air metagenome"))</f>
        <v>0</v>
      </c>
      <c r="AC964">
        <f>AND(IF(Metadata!J964="",FALSE,TRUE),exact(Metadata!J964,"655179"))</f>
        <v>0</v>
      </c>
    </row>
    <row r="965" spans="1:29">
      <c r="A965" s="5">
        <f>IF(B965=" "," ",HYPERLINK(CONCATENATE("#metadata!",ADDRESS(INDEX($P$2:$P$1001,MATCH(ROWS($N$2:N965),$N$2:$N$1001,0),0),1)),INDEX($S$2:$S$1001,MATCH(ROWS($N$2:N965),$N$2:$N$1001,0),0)))</f>
        <v>0</v>
      </c>
      <c r="B965" s="4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4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4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4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4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4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4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4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4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OR(AND(IF(Metadata!C965="",FALSE,TRUE),OR(exact(Metadata!C965,"not applicable"),exact(Metadata!C965,"not collected"),exact(Metadata!C965,"not provided"),exact(Metadata!C965,"restricted access"))),IF(Metadata!C965="",FALSE,ISNUMBER(VALUE(Metadata!C965))))</f>
        <v>0</v>
      </c>
      <c r="W965">
        <f>AND(IF(Metadata!D965="",FALSE,TRUE),exact(Metadata!D965,"m"))</f>
        <v>0</v>
      </c>
      <c r="X965">
        <f>AND(IF(Metadata!E965="",FALSE,TRUE),OR(exact(Metadata!E965,"aerosol (non-saline)"),exact(Metadata!E965,"aerosol (saline)")))</f>
        <v>0</v>
      </c>
      <c r="Y965">
        <f>AND(IF(Metadata!F965="",FALSE,TRUE),exact(Metadata!F965,"air"))</f>
        <v>0</v>
      </c>
      <c r="Z965">
        <f>AND(IF(Metadata!G965="",FALSE,TRUE),exact(Metadata!G965,"air"))</f>
        <v>0</v>
      </c>
      <c r="AA965">
        <f>AND(IF(Metadata!H965="",FALSE,TRUE),exact(Metadata!H965,"air"))</f>
        <v>0</v>
      </c>
      <c r="AB965">
        <f>AND(IF(Metadata!I965="",FALSE,TRUE),exact(Metadata!I965,"air metagenome"))</f>
        <v>0</v>
      </c>
      <c r="AC965">
        <f>AND(IF(Metadata!J965="",FALSE,TRUE),exact(Metadata!J965,"655179"))</f>
        <v>0</v>
      </c>
    </row>
    <row r="966" spans="1:29">
      <c r="A966" s="5">
        <f>IF(B966=" "," ",HYPERLINK(CONCATENATE("#metadata!",ADDRESS(INDEX($P$2:$P$1001,MATCH(ROWS($N$2:N966),$N$2:$N$1001,0),0),1)),INDEX($S$2:$S$1001,MATCH(ROWS($N$2:N966),$N$2:$N$1001,0),0)))</f>
        <v>0</v>
      </c>
      <c r="B966" s="4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4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4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4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4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4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4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4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4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OR(AND(IF(Metadata!C966="",FALSE,TRUE),OR(exact(Metadata!C966,"not applicable"),exact(Metadata!C966,"not collected"),exact(Metadata!C966,"not provided"),exact(Metadata!C966,"restricted access"))),IF(Metadata!C966="",FALSE,ISNUMBER(VALUE(Metadata!C966))))</f>
        <v>0</v>
      </c>
      <c r="W966">
        <f>AND(IF(Metadata!D966="",FALSE,TRUE),exact(Metadata!D966,"m"))</f>
        <v>0</v>
      </c>
      <c r="X966">
        <f>AND(IF(Metadata!E966="",FALSE,TRUE),OR(exact(Metadata!E966,"aerosol (non-saline)"),exact(Metadata!E966,"aerosol (saline)")))</f>
        <v>0</v>
      </c>
      <c r="Y966">
        <f>AND(IF(Metadata!F966="",FALSE,TRUE),exact(Metadata!F966,"air"))</f>
        <v>0</v>
      </c>
      <c r="Z966">
        <f>AND(IF(Metadata!G966="",FALSE,TRUE),exact(Metadata!G966,"air"))</f>
        <v>0</v>
      </c>
      <c r="AA966">
        <f>AND(IF(Metadata!H966="",FALSE,TRUE),exact(Metadata!H966,"air"))</f>
        <v>0</v>
      </c>
      <c r="AB966">
        <f>AND(IF(Metadata!I966="",FALSE,TRUE),exact(Metadata!I966,"air metagenome"))</f>
        <v>0</v>
      </c>
      <c r="AC966">
        <f>AND(IF(Metadata!J966="",FALSE,TRUE),exact(Metadata!J966,"655179"))</f>
        <v>0</v>
      </c>
    </row>
    <row r="967" spans="1:29">
      <c r="A967" s="5">
        <f>IF(B967=" "," ",HYPERLINK(CONCATENATE("#metadata!",ADDRESS(INDEX($P$2:$P$1001,MATCH(ROWS($N$2:N967),$N$2:$N$1001,0),0),1)),INDEX($S$2:$S$1001,MATCH(ROWS($N$2:N967),$N$2:$N$1001,0),0)))</f>
        <v>0</v>
      </c>
      <c r="B967" s="4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4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4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4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4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4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4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4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4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OR(AND(IF(Metadata!C967="",FALSE,TRUE),OR(exact(Metadata!C967,"not applicable"),exact(Metadata!C967,"not collected"),exact(Metadata!C967,"not provided"),exact(Metadata!C967,"restricted access"))),IF(Metadata!C967="",FALSE,ISNUMBER(VALUE(Metadata!C967))))</f>
        <v>0</v>
      </c>
      <c r="W967">
        <f>AND(IF(Metadata!D967="",FALSE,TRUE),exact(Metadata!D967,"m"))</f>
        <v>0</v>
      </c>
      <c r="X967">
        <f>AND(IF(Metadata!E967="",FALSE,TRUE),OR(exact(Metadata!E967,"aerosol (non-saline)"),exact(Metadata!E967,"aerosol (saline)")))</f>
        <v>0</v>
      </c>
      <c r="Y967">
        <f>AND(IF(Metadata!F967="",FALSE,TRUE),exact(Metadata!F967,"air"))</f>
        <v>0</v>
      </c>
      <c r="Z967">
        <f>AND(IF(Metadata!G967="",FALSE,TRUE),exact(Metadata!G967,"air"))</f>
        <v>0</v>
      </c>
      <c r="AA967">
        <f>AND(IF(Metadata!H967="",FALSE,TRUE),exact(Metadata!H967,"air"))</f>
        <v>0</v>
      </c>
      <c r="AB967">
        <f>AND(IF(Metadata!I967="",FALSE,TRUE),exact(Metadata!I967,"air metagenome"))</f>
        <v>0</v>
      </c>
      <c r="AC967">
        <f>AND(IF(Metadata!J967="",FALSE,TRUE),exact(Metadata!J967,"655179"))</f>
        <v>0</v>
      </c>
    </row>
    <row r="968" spans="1:29">
      <c r="A968" s="5">
        <f>IF(B968=" "," ",HYPERLINK(CONCATENATE("#metadata!",ADDRESS(INDEX($P$2:$P$1001,MATCH(ROWS($N$2:N968),$N$2:$N$1001,0),0),1)),INDEX($S$2:$S$1001,MATCH(ROWS($N$2:N968),$N$2:$N$1001,0),0)))</f>
        <v>0</v>
      </c>
      <c r="B968" s="4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4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4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4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4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4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4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4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4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OR(AND(IF(Metadata!C968="",FALSE,TRUE),OR(exact(Metadata!C968,"not applicable"),exact(Metadata!C968,"not collected"),exact(Metadata!C968,"not provided"),exact(Metadata!C968,"restricted access"))),IF(Metadata!C968="",FALSE,ISNUMBER(VALUE(Metadata!C968))))</f>
        <v>0</v>
      </c>
      <c r="W968">
        <f>AND(IF(Metadata!D968="",FALSE,TRUE),exact(Metadata!D968,"m"))</f>
        <v>0</v>
      </c>
      <c r="X968">
        <f>AND(IF(Metadata!E968="",FALSE,TRUE),OR(exact(Metadata!E968,"aerosol (non-saline)"),exact(Metadata!E968,"aerosol (saline)")))</f>
        <v>0</v>
      </c>
      <c r="Y968">
        <f>AND(IF(Metadata!F968="",FALSE,TRUE),exact(Metadata!F968,"air"))</f>
        <v>0</v>
      </c>
      <c r="Z968">
        <f>AND(IF(Metadata!G968="",FALSE,TRUE),exact(Metadata!G968,"air"))</f>
        <v>0</v>
      </c>
      <c r="AA968">
        <f>AND(IF(Metadata!H968="",FALSE,TRUE),exact(Metadata!H968,"air"))</f>
        <v>0</v>
      </c>
      <c r="AB968">
        <f>AND(IF(Metadata!I968="",FALSE,TRUE),exact(Metadata!I968,"air metagenome"))</f>
        <v>0</v>
      </c>
      <c r="AC968">
        <f>AND(IF(Metadata!J968="",FALSE,TRUE),exact(Metadata!J968,"655179"))</f>
        <v>0</v>
      </c>
    </row>
    <row r="969" spans="1:29">
      <c r="A969" s="5">
        <f>IF(B969=" "," ",HYPERLINK(CONCATENATE("#metadata!",ADDRESS(INDEX($P$2:$P$1001,MATCH(ROWS($N$2:N969),$N$2:$N$1001,0),0),1)),INDEX($S$2:$S$1001,MATCH(ROWS($N$2:N969),$N$2:$N$1001,0),0)))</f>
        <v>0</v>
      </c>
      <c r="B969" s="4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4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4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4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4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4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4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4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4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OR(AND(IF(Metadata!C969="",FALSE,TRUE),OR(exact(Metadata!C969,"not applicable"),exact(Metadata!C969,"not collected"),exact(Metadata!C969,"not provided"),exact(Metadata!C969,"restricted access"))),IF(Metadata!C969="",FALSE,ISNUMBER(VALUE(Metadata!C969))))</f>
        <v>0</v>
      </c>
      <c r="W969">
        <f>AND(IF(Metadata!D969="",FALSE,TRUE),exact(Metadata!D969,"m"))</f>
        <v>0</v>
      </c>
      <c r="X969">
        <f>AND(IF(Metadata!E969="",FALSE,TRUE),OR(exact(Metadata!E969,"aerosol (non-saline)"),exact(Metadata!E969,"aerosol (saline)")))</f>
        <v>0</v>
      </c>
      <c r="Y969">
        <f>AND(IF(Metadata!F969="",FALSE,TRUE),exact(Metadata!F969,"air"))</f>
        <v>0</v>
      </c>
      <c r="Z969">
        <f>AND(IF(Metadata!G969="",FALSE,TRUE),exact(Metadata!G969,"air"))</f>
        <v>0</v>
      </c>
      <c r="AA969">
        <f>AND(IF(Metadata!H969="",FALSE,TRUE),exact(Metadata!H969,"air"))</f>
        <v>0</v>
      </c>
      <c r="AB969">
        <f>AND(IF(Metadata!I969="",FALSE,TRUE),exact(Metadata!I969,"air metagenome"))</f>
        <v>0</v>
      </c>
      <c r="AC969">
        <f>AND(IF(Metadata!J969="",FALSE,TRUE),exact(Metadata!J969,"655179"))</f>
        <v>0</v>
      </c>
    </row>
    <row r="970" spans="1:29">
      <c r="A970" s="5">
        <f>IF(B970=" "," ",HYPERLINK(CONCATENATE("#metadata!",ADDRESS(INDEX($P$2:$P$1001,MATCH(ROWS($N$2:N970),$N$2:$N$1001,0),0),1)),INDEX($S$2:$S$1001,MATCH(ROWS($N$2:N970),$N$2:$N$1001,0),0)))</f>
        <v>0</v>
      </c>
      <c r="B970" s="4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4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4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4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4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4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4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4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4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OR(AND(IF(Metadata!C970="",FALSE,TRUE),OR(exact(Metadata!C970,"not applicable"),exact(Metadata!C970,"not collected"),exact(Metadata!C970,"not provided"),exact(Metadata!C970,"restricted access"))),IF(Metadata!C970="",FALSE,ISNUMBER(VALUE(Metadata!C970))))</f>
        <v>0</v>
      </c>
      <c r="W970">
        <f>AND(IF(Metadata!D970="",FALSE,TRUE),exact(Metadata!D970,"m"))</f>
        <v>0</v>
      </c>
      <c r="X970">
        <f>AND(IF(Metadata!E970="",FALSE,TRUE),OR(exact(Metadata!E970,"aerosol (non-saline)"),exact(Metadata!E970,"aerosol (saline)")))</f>
        <v>0</v>
      </c>
      <c r="Y970">
        <f>AND(IF(Metadata!F970="",FALSE,TRUE),exact(Metadata!F970,"air"))</f>
        <v>0</v>
      </c>
      <c r="Z970">
        <f>AND(IF(Metadata!G970="",FALSE,TRUE),exact(Metadata!G970,"air"))</f>
        <v>0</v>
      </c>
      <c r="AA970">
        <f>AND(IF(Metadata!H970="",FALSE,TRUE),exact(Metadata!H970,"air"))</f>
        <v>0</v>
      </c>
      <c r="AB970">
        <f>AND(IF(Metadata!I970="",FALSE,TRUE),exact(Metadata!I970,"air metagenome"))</f>
        <v>0</v>
      </c>
      <c r="AC970">
        <f>AND(IF(Metadata!J970="",FALSE,TRUE),exact(Metadata!J970,"655179"))</f>
        <v>0</v>
      </c>
    </row>
    <row r="971" spans="1:29">
      <c r="A971" s="5">
        <f>IF(B971=" "," ",HYPERLINK(CONCATENATE("#metadata!",ADDRESS(INDEX($P$2:$P$1001,MATCH(ROWS($N$2:N971),$N$2:$N$1001,0),0),1)),INDEX($S$2:$S$1001,MATCH(ROWS($N$2:N971),$N$2:$N$1001,0),0)))</f>
        <v>0</v>
      </c>
      <c r="B971" s="4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4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4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4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4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4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4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4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4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OR(AND(IF(Metadata!C971="",FALSE,TRUE),OR(exact(Metadata!C971,"not applicable"),exact(Metadata!C971,"not collected"),exact(Metadata!C971,"not provided"),exact(Metadata!C971,"restricted access"))),IF(Metadata!C971="",FALSE,ISNUMBER(VALUE(Metadata!C971))))</f>
        <v>0</v>
      </c>
      <c r="W971">
        <f>AND(IF(Metadata!D971="",FALSE,TRUE),exact(Metadata!D971,"m"))</f>
        <v>0</v>
      </c>
      <c r="X971">
        <f>AND(IF(Metadata!E971="",FALSE,TRUE),OR(exact(Metadata!E971,"aerosol (non-saline)"),exact(Metadata!E971,"aerosol (saline)")))</f>
        <v>0</v>
      </c>
      <c r="Y971">
        <f>AND(IF(Metadata!F971="",FALSE,TRUE),exact(Metadata!F971,"air"))</f>
        <v>0</v>
      </c>
      <c r="Z971">
        <f>AND(IF(Metadata!G971="",FALSE,TRUE),exact(Metadata!G971,"air"))</f>
        <v>0</v>
      </c>
      <c r="AA971">
        <f>AND(IF(Metadata!H971="",FALSE,TRUE),exact(Metadata!H971,"air"))</f>
        <v>0</v>
      </c>
      <c r="AB971">
        <f>AND(IF(Metadata!I971="",FALSE,TRUE),exact(Metadata!I971,"air metagenome"))</f>
        <v>0</v>
      </c>
      <c r="AC971">
        <f>AND(IF(Metadata!J971="",FALSE,TRUE),exact(Metadata!J971,"655179"))</f>
        <v>0</v>
      </c>
    </row>
    <row r="972" spans="1:29">
      <c r="A972" s="5">
        <f>IF(B972=" "," ",HYPERLINK(CONCATENATE("#metadata!",ADDRESS(INDEX($P$2:$P$1001,MATCH(ROWS($N$2:N972),$N$2:$N$1001,0),0),1)),INDEX($S$2:$S$1001,MATCH(ROWS($N$2:N972),$N$2:$N$1001,0),0)))</f>
        <v>0</v>
      </c>
      <c r="B972" s="4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4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4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4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4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4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4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4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4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OR(AND(IF(Metadata!C972="",FALSE,TRUE),OR(exact(Metadata!C972,"not applicable"),exact(Metadata!C972,"not collected"),exact(Metadata!C972,"not provided"),exact(Metadata!C972,"restricted access"))),IF(Metadata!C972="",FALSE,ISNUMBER(VALUE(Metadata!C972))))</f>
        <v>0</v>
      </c>
      <c r="W972">
        <f>AND(IF(Metadata!D972="",FALSE,TRUE),exact(Metadata!D972,"m"))</f>
        <v>0</v>
      </c>
      <c r="X972">
        <f>AND(IF(Metadata!E972="",FALSE,TRUE),OR(exact(Metadata!E972,"aerosol (non-saline)"),exact(Metadata!E972,"aerosol (saline)")))</f>
        <v>0</v>
      </c>
      <c r="Y972">
        <f>AND(IF(Metadata!F972="",FALSE,TRUE),exact(Metadata!F972,"air"))</f>
        <v>0</v>
      </c>
      <c r="Z972">
        <f>AND(IF(Metadata!G972="",FALSE,TRUE),exact(Metadata!G972,"air"))</f>
        <v>0</v>
      </c>
      <c r="AA972">
        <f>AND(IF(Metadata!H972="",FALSE,TRUE),exact(Metadata!H972,"air"))</f>
        <v>0</v>
      </c>
      <c r="AB972">
        <f>AND(IF(Metadata!I972="",FALSE,TRUE),exact(Metadata!I972,"air metagenome"))</f>
        <v>0</v>
      </c>
      <c r="AC972">
        <f>AND(IF(Metadata!J972="",FALSE,TRUE),exact(Metadata!J972,"655179"))</f>
        <v>0</v>
      </c>
    </row>
    <row r="973" spans="1:29">
      <c r="A973" s="5">
        <f>IF(B973=" "," ",HYPERLINK(CONCATENATE("#metadata!",ADDRESS(INDEX($P$2:$P$1001,MATCH(ROWS($N$2:N973),$N$2:$N$1001,0),0),1)),INDEX($S$2:$S$1001,MATCH(ROWS($N$2:N973),$N$2:$N$1001,0),0)))</f>
        <v>0</v>
      </c>
      <c r="B973" s="4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4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4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4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4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4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4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4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4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OR(AND(IF(Metadata!C973="",FALSE,TRUE),OR(exact(Metadata!C973,"not applicable"),exact(Metadata!C973,"not collected"),exact(Metadata!C973,"not provided"),exact(Metadata!C973,"restricted access"))),IF(Metadata!C973="",FALSE,ISNUMBER(VALUE(Metadata!C973))))</f>
        <v>0</v>
      </c>
      <c r="W973">
        <f>AND(IF(Metadata!D973="",FALSE,TRUE),exact(Metadata!D973,"m"))</f>
        <v>0</v>
      </c>
      <c r="X973">
        <f>AND(IF(Metadata!E973="",FALSE,TRUE),OR(exact(Metadata!E973,"aerosol (non-saline)"),exact(Metadata!E973,"aerosol (saline)")))</f>
        <v>0</v>
      </c>
      <c r="Y973">
        <f>AND(IF(Metadata!F973="",FALSE,TRUE),exact(Metadata!F973,"air"))</f>
        <v>0</v>
      </c>
      <c r="Z973">
        <f>AND(IF(Metadata!G973="",FALSE,TRUE),exact(Metadata!G973,"air"))</f>
        <v>0</v>
      </c>
      <c r="AA973">
        <f>AND(IF(Metadata!H973="",FALSE,TRUE),exact(Metadata!H973,"air"))</f>
        <v>0</v>
      </c>
      <c r="AB973">
        <f>AND(IF(Metadata!I973="",FALSE,TRUE),exact(Metadata!I973,"air metagenome"))</f>
        <v>0</v>
      </c>
      <c r="AC973">
        <f>AND(IF(Metadata!J973="",FALSE,TRUE),exact(Metadata!J973,"655179"))</f>
        <v>0</v>
      </c>
    </row>
    <row r="974" spans="1:29">
      <c r="A974" s="5">
        <f>IF(B974=" "," ",HYPERLINK(CONCATENATE("#metadata!",ADDRESS(INDEX($P$2:$P$1001,MATCH(ROWS($N$2:N974),$N$2:$N$1001,0),0),1)),INDEX($S$2:$S$1001,MATCH(ROWS($N$2:N974),$N$2:$N$1001,0),0)))</f>
        <v>0</v>
      </c>
      <c r="B974" s="4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4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4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4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4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4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4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4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4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OR(AND(IF(Metadata!C974="",FALSE,TRUE),OR(exact(Metadata!C974,"not applicable"),exact(Metadata!C974,"not collected"),exact(Metadata!C974,"not provided"),exact(Metadata!C974,"restricted access"))),IF(Metadata!C974="",FALSE,ISNUMBER(VALUE(Metadata!C974))))</f>
        <v>0</v>
      </c>
      <c r="W974">
        <f>AND(IF(Metadata!D974="",FALSE,TRUE),exact(Metadata!D974,"m"))</f>
        <v>0</v>
      </c>
      <c r="X974">
        <f>AND(IF(Metadata!E974="",FALSE,TRUE),OR(exact(Metadata!E974,"aerosol (non-saline)"),exact(Metadata!E974,"aerosol (saline)")))</f>
        <v>0</v>
      </c>
      <c r="Y974">
        <f>AND(IF(Metadata!F974="",FALSE,TRUE),exact(Metadata!F974,"air"))</f>
        <v>0</v>
      </c>
      <c r="Z974">
        <f>AND(IF(Metadata!G974="",FALSE,TRUE),exact(Metadata!G974,"air"))</f>
        <v>0</v>
      </c>
      <c r="AA974">
        <f>AND(IF(Metadata!H974="",FALSE,TRUE),exact(Metadata!H974,"air"))</f>
        <v>0</v>
      </c>
      <c r="AB974">
        <f>AND(IF(Metadata!I974="",FALSE,TRUE),exact(Metadata!I974,"air metagenome"))</f>
        <v>0</v>
      </c>
      <c r="AC974">
        <f>AND(IF(Metadata!J974="",FALSE,TRUE),exact(Metadata!J974,"655179"))</f>
        <v>0</v>
      </c>
    </row>
    <row r="975" spans="1:29">
      <c r="A975" s="5">
        <f>IF(B975=" "," ",HYPERLINK(CONCATENATE("#metadata!",ADDRESS(INDEX($P$2:$P$1001,MATCH(ROWS($N$2:N975),$N$2:$N$1001,0),0),1)),INDEX($S$2:$S$1001,MATCH(ROWS($N$2:N975),$N$2:$N$1001,0),0)))</f>
        <v>0</v>
      </c>
      <c r="B975" s="4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4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4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4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4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4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4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4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4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OR(AND(IF(Metadata!C975="",FALSE,TRUE),OR(exact(Metadata!C975,"not applicable"),exact(Metadata!C975,"not collected"),exact(Metadata!C975,"not provided"),exact(Metadata!C975,"restricted access"))),IF(Metadata!C975="",FALSE,ISNUMBER(VALUE(Metadata!C975))))</f>
        <v>0</v>
      </c>
      <c r="W975">
        <f>AND(IF(Metadata!D975="",FALSE,TRUE),exact(Metadata!D975,"m"))</f>
        <v>0</v>
      </c>
      <c r="X975">
        <f>AND(IF(Metadata!E975="",FALSE,TRUE),OR(exact(Metadata!E975,"aerosol (non-saline)"),exact(Metadata!E975,"aerosol (saline)")))</f>
        <v>0</v>
      </c>
      <c r="Y975">
        <f>AND(IF(Metadata!F975="",FALSE,TRUE),exact(Metadata!F975,"air"))</f>
        <v>0</v>
      </c>
      <c r="Z975">
        <f>AND(IF(Metadata!G975="",FALSE,TRUE),exact(Metadata!G975,"air"))</f>
        <v>0</v>
      </c>
      <c r="AA975">
        <f>AND(IF(Metadata!H975="",FALSE,TRUE),exact(Metadata!H975,"air"))</f>
        <v>0</v>
      </c>
      <c r="AB975">
        <f>AND(IF(Metadata!I975="",FALSE,TRUE),exact(Metadata!I975,"air metagenome"))</f>
        <v>0</v>
      </c>
      <c r="AC975">
        <f>AND(IF(Metadata!J975="",FALSE,TRUE),exact(Metadata!J975,"655179"))</f>
        <v>0</v>
      </c>
    </row>
    <row r="976" spans="1:29">
      <c r="A976" s="5">
        <f>IF(B976=" "," ",HYPERLINK(CONCATENATE("#metadata!",ADDRESS(INDEX($P$2:$P$1001,MATCH(ROWS($N$2:N976),$N$2:$N$1001,0),0),1)),INDEX($S$2:$S$1001,MATCH(ROWS($N$2:N976),$N$2:$N$1001,0),0)))</f>
        <v>0</v>
      </c>
      <c r="B976" s="4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4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4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4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4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4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4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4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4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OR(AND(IF(Metadata!C976="",FALSE,TRUE),OR(exact(Metadata!C976,"not applicable"),exact(Metadata!C976,"not collected"),exact(Metadata!C976,"not provided"),exact(Metadata!C976,"restricted access"))),IF(Metadata!C976="",FALSE,ISNUMBER(VALUE(Metadata!C976))))</f>
        <v>0</v>
      </c>
      <c r="W976">
        <f>AND(IF(Metadata!D976="",FALSE,TRUE),exact(Metadata!D976,"m"))</f>
        <v>0</v>
      </c>
      <c r="X976">
        <f>AND(IF(Metadata!E976="",FALSE,TRUE),OR(exact(Metadata!E976,"aerosol (non-saline)"),exact(Metadata!E976,"aerosol (saline)")))</f>
        <v>0</v>
      </c>
      <c r="Y976">
        <f>AND(IF(Metadata!F976="",FALSE,TRUE),exact(Metadata!F976,"air"))</f>
        <v>0</v>
      </c>
      <c r="Z976">
        <f>AND(IF(Metadata!G976="",FALSE,TRUE),exact(Metadata!G976,"air"))</f>
        <v>0</v>
      </c>
      <c r="AA976">
        <f>AND(IF(Metadata!H976="",FALSE,TRUE),exact(Metadata!H976,"air"))</f>
        <v>0</v>
      </c>
      <c r="AB976">
        <f>AND(IF(Metadata!I976="",FALSE,TRUE),exact(Metadata!I976,"air metagenome"))</f>
        <v>0</v>
      </c>
      <c r="AC976">
        <f>AND(IF(Metadata!J976="",FALSE,TRUE),exact(Metadata!J976,"655179"))</f>
        <v>0</v>
      </c>
    </row>
    <row r="977" spans="1:29">
      <c r="A977" s="5">
        <f>IF(B977=" "," ",HYPERLINK(CONCATENATE("#metadata!",ADDRESS(INDEX($P$2:$P$1001,MATCH(ROWS($N$2:N977),$N$2:$N$1001,0),0),1)),INDEX($S$2:$S$1001,MATCH(ROWS($N$2:N977),$N$2:$N$1001,0),0)))</f>
        <v>0</v>
      </c>
      <c r="B977" s="4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4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4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4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4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4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4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4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4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OR(AND(IF(Metadata!C977="",FALSE,TRUE),OR(exact(Metadata!C977,"not applicable"),exact(Metadata!C977,"not collected"),exact(Metadata!C977,"not provided"),exact(Metadata!C977,"restricted access"))),IF(Metadata!C977="",FALSE,ISNUMBER(VALUE(Metadata!C977))))</f>
        <v>0</v>
      </c>
      <c r="W977">
        <f>AND(IF(Metadata!D977="",FALSE,TRUE),exact(Metadata!D977,"m"))</f>
        <v>0</v>
      </c>
      <c r="X977">
        <f>AND(IF(Metadata!E977="",FALSE,TRUE),OR(exact(Metadata!E977,"aerosol (non-saline)"),exact(Metadata!E977,"aerosol (saline)")))</f>
        <v>0</v>
      </c>
      <c r="Y977">
        <f>AND(IF(Metadata!F977="",FALSE,TRUE),exact(Metadata!F977,"air"))</f>
        <v>0</v>
      </c>
      <c r="Z977">
        <f>AND(IF(Metadata!G977="",FALSE,TRUE),exact(Metadata!G977,"air"))</f>
        <v>0</v>
      </c>
      <c r="AA977">
        <f>AND(IF(Metadata!H977="",FALSE,TRUE),exact(Metadata!H977,"air"))</f>
        <v>0</v>
      </c>
      <c r="AB977">
        <f>AND(IF(Metadata!I977="",FALSE,TRUE),exact(Metadata!I977,"air metagenome"))</f>
        <v>0</v>
      </c>
      <c r="AC977">
        <f>AND(IF(Metadata!J977="",FALSE,TRUE),exact(Metadata!J977,"655179"))</f>
        <v>0</v>
      </c>
    </row>
    <row r="978" spans="1:29">
      <c r="A978" s="5">
        <f>IF(B978=" "," ",HYPERLINK(CONCATENATE("#metadata!",ADDRESS(INDEX($P$2:$P$1001,MATCH(ROWS($N$2:N978),$N$2:$N$1001,0),0),1)),INDEX($S$2:$S$1001,MATCH(ROWS($N$2:N978),$N$2:$N$1001,0),0)))</f>
        <v>0</v>
      </c>
      <c r="B978" s="4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4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4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4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4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4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4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4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4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OR(AND(IF(Metadata!C978="",FALSE,TRUE),OR(exact(Metadata!C978,"not applicable"),exact(Metadata!C978,"not collected"),exact(Metadata!C978,"not provided"),exact(Metadata!C978,"restricted access"))),IF(Metadata!C978="",FALSE,ISNUMBER(VALUE(Metadata!C978))))</f>
        <v>0</v>
      </c>
      <c r="W978">
        <f>AND(IF(Metadata!D978="",FALSE,TRUE),exact(Metadata!D978,"m"))</f>
        <v>0</v>
      </c>
      <c r="X978">
        <f>AND(IF(Metadata!E978="",FALSE,TRUE),OR(exact(Metadata!E978,"aerosol (non-saline)"),exact(Metadata!E978,"aerosol (saline)")))</f>
        <v>0</v>
      </c>
      <c r="Y978">
        <f>AND(IF(Metadata!F978="",FALSE,TRUE),exact(Metadata!F978,"air"))</f>
        <v>0</v>
      </c>
      <c r="Z978">
        <f>AND(IF(Metadata!G978="",FALSE,TRUE),exact(Metadata!G978,"air"))</f>
        <v>0</v>
      </c>
      <c r="AA978">
        <f>AND(IF(Metadata!H978="",FALSE,TRUE),exact(Metadata!H978,"air"))</f>
        <v>0</v>
      </c>
      <c r="AB978">
        <f>AND(IF(Metadata!I978="",FALSE,TRUE),exact(Metadata!I978,"air metagenome"))</f>
        <v>0</v>
      </c>
      <c r="AC978">
        <f>AND(IF(Metadata!J978="",FALSE,TRUE),exact(Metadata!J978,"655179"))</f>
        <v>0</v>
      </c>
    </row>
    <row r="979" spans="1:29">
      <c r="A979" s="5">
        <f>IF(B979=" "," ",HYPERLINK(CONCATENATE("#metadata!",ADDRESS(INDEX($P$2:$P$1001,MATCH(ROWS($N$2:N979),$N$2:$N$1001,0),0),1)),INDEX($S$2:$S$1001,MATCH(ROWS($N$2:N979),$N$2:$N$1001,0),0)))</f>
        <v>0</v>
      </c>
      <c r="B979" s="4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4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4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4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4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4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4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4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4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OR(AND(IF(Metadata!C979="",FALSE,TRUE),OR(exact(Metadata!C979,"not applicable"),exact(Metadata!C979,"not collected"),exact(Metadata!C979,"not provided"),exact(Metadata!C979,"restricted access"))),IF(Metadata!C979="",FALSE,ISNUMBER(VALUE(Metadata!C979))))</f>
        <v>0</v>
      </c>
      <c r="W979">
        <f>AND(IF(Metadata!D979="",FALSE,TRUE),exact(Metadata!D979,"m"))</f>
        <v>0</v>
      </c>
      <c r="X979">
        <f>AND(IF(Metadata!E979="",FALSE,TRUE),OR(exact(Metadata!E979,"aerosol (non-saline)"),exact(Metadata!E979,"aerosol (saline)")))</f>
        <v>0</v>
      </c>
      <c r="Y979">
        <f>AND(IF(Metadata!F979="",FALSE,TRUE),exact(Metadata!F979,"air"))</f>
        <v>0</v>
      </c>
      <c r="Z979">
        <f>AND(IF(Metadata!G979="",FALSE,TRUE),exact(Metadata!G979,"air"))</f>
        <v>0</v>
      </c>
      <c r="AA979">
        <f>AND(IF(Metadata!H979="",FALSE,TRUE),exact(Metadata!H979,"air"))</f>
        <v>0</v>
      </c>
      <c r="AB979">
        <f>AND(IF(Metadata!I979="",FALSE,TRUE),exact(Metadata!I979,"air metagenome"))</f>
        <v>0</v>
      </c>
      <c r="AC979">
        <f>AND(IF(Metadata!J979="",FALSE,TRUE),exact(Metadata!J979,"655179"))</f>
        <v>0</v>
      </c>
    </row>
    <row r="980" spans="1:29">
      <c r="A980" s="5">
        <f>IF(B980=" "," ",HYPERLINK(CONCATENATE("#metadata!",ADDRESS(INDEX($P$2:$P$1001,MATCH(ROWS($N$2:N980),$N$2:$N$1001,0),0),1)),INDEX($S$2:$S$1001,MATCH(ROWS($N$2:N980),$N$2:$N$1001,0),0)))</f>
        <v>0</v>
      </c>
      <c r="B980" s="4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4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4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4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4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4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4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4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4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OR(AND(IF(Metadata!C980="",FALSE,TRUE),OR(exact(Metadata!C980,"not applicable"),exact(Metadata!C980,"not collected"),exact(Metadata!C980,"not provided"),exact(Metadata!C980,"restricted access"))),IF(Metadata!C980="",FALSE,ISNUMBER(VALUE(Metadata!C980))))</f>
        <v>0</v>
      </c>
      <c r="W980">
        <f>AND(IF(Metadata!D980="",FALSE,TRUE),exact(Metadata!D980,"m"))</f>
        <v>0</v>
      </c>
      <c r="X980">
        <f>AND(IF(Metadata!E980="",FALSE,TRUE),OR(exact(Metadata!E980,"aerosol (non-saline)"),exact(Metadata!E980,"aerosol (saline)")))</f>
        <v>0</v>
      </c>
      <c r="Y980">
        <f>AND(IF(Metadata!F980="",FALSE,TRUE),exact(Metadata!F980,"air"))</f>
        <v>0</v>
      </c>
      <c r="Z980">
        <f>AND(IF(Metadata!G980="",FALSE,TRUE),exact(Metadata!G980,"air"))</f>
        <v>0</v>
      </c>
      <c r="AA980">
        <f>AND(IF(Metadata!H980="",FALSE,TRUE),exact(Metadata!H980,"air"))</f>
        <v>0</v>
      </c>
      <c r="AB980">
        <f>AND(IF(Metadata!I980="",FALSE,TRUE),exact(Metadata!I980,"air metagenome"))</f>
        <v>0</v>
      </c>
      <c r="AC980">
        <f>AND(IF(Metadata!J980="",FALSE,TRUE),exact(Metadata!J980,"655179"))</f>
        <v>0</v>
      </c>
    </row>
    <row r="981" spans="1:29">
      <c r="A981" s="5">
        <f>IF(B981=" "," ",HYPERLINK(CONCATENATE("#metadata!",ADDRESS(INDEX($P$2:$P$1001,MATCH(ROWS($N$2:N981),$N$2:$N$1001,0),0),1)),INDEX($S$2:$S$1001,MATCH(ROWS($N$2:N981),$N$2:$N$1001,0),0)))</f>
        <v>0</v>
      </c>
      <c r="B981" s="4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4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4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4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4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4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4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4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4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OR(AND(IF(Metadata!C981="",FALSE,TRUE),OR(exact(Metadata!C981,"not applicable"),exact(Metadata!C981,"not collected"),exact(Metadata!C981,"not provided"),exact(Metadata!C981,"restricted access"))),IF(Metadata!C981="",FALSE,ISNUMBER(VALUE(Metadata!C981))))</f>
        <v>0</v>
      </c>
      <c r="W981">
        <f>AND(IF(Metadata!D981="",FALSE,TRUE),exact(Metadata!D981,"m"))</f>
        <v>0</v>
      </c>
      <c r="X981">
        <f>AND(IF(Metadata!E981="",FALSE,TRUE),OR(exact(Metadata!E981,"aerosol (non-saline)"),exact(Metadata!E981,"aerosol (saline)")))</f>
        <v>0</v>
      </c>
      <c r="Y981">
        <f>AND(IF(Metadata!F981="",FALSE,TRUE),exact(Metadata!F981,"air"))</f>
        <v>0</v>
      </c>
      <c r="Z981">
        <f>AND(IF(Metadata!G981="",FALSE,TRUE),exact(Metadata!G981,"air"))</f>
        <v>0</v>
      </c>
      <c r="AA981">
        <f>AND(IF(Metadata!H981="",FALSE,TRUE),exact(Metadata!H981,"air"))</f>
        <v>0</v>
      </c>
      <c r="AB981">
        <f>AND(IF(Metadata!I981="",FALSE,TRUE),exact(Metadata!I981,"air metagenome"))</f>
        <v>0</v>
      </c>
      <c r="AC981">
        <f>AND(IF(Metadata!J981="",FALSE,TRUE),exact(Metadata!J981,"655179"))</f>
        <v>0</v>
      </c>
    </row>
    <row r="982" spans="1:29">
      <c r="A982" s="5">
        <f>IF(B982=" "," ",HYPERLINK(CONCATENATE("#metadata!",ADDRESS(INDEX($P$2:$P$1001,MATCH(ROWS($N$2:N982),$N$2:$N$1001,0),0),1)),INDEX($S$2:$S$1001,MATCH(ROWS($N$2:N982),$N$2:$N$1001,0),0)))</f>
        <v>0</v>
      </c>
      <c r="B982" s="4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4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4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4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4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4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4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4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4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OR(AND(IF(Metadata!C982="",FALSE,TRUE),OR(exact(Metadata!C982,"not applicable"),exact(Metadata!C982,"not collected"),exact(Metadata!C982,"not provided"),exact(Metadata!C982,"restricted access"))),IF(Metadata!C982="",FALSE,ISNUMBER(VALUE(Metadata!C982))))</f>
        <v>0</v>
      </c>
      <c r="W982">
        <f>AND(IF(Metadata!D982="",FALSE,TRUE),exact(Metadata!D982,"m"))</f>
        <v>0</v>
      </c>
      <c r="X982">
        <f>AND(IF(Metadata!E982="",FALSE,TRUE),OR(exact(Metadata!E982,"aerosol (non-saline)"),exact(Metadata!E982,"aerosol (saline)")))</f>
        <v>0</v>
      </c>
      <c r="Y982">
        <f>AND(IF(Metadata!F982="",FALSE,TRUE),exact(Metadata!F982,"air"))</f>
        <v>0</v>
      </c>
      <c r="Z982">
        <f>AND(IF(Metadata!G982="",FALSE,TRUE),exact(Metadata!G982,"air"))</f>
        <v>0</v>
      </c>
      <c r="AA982">
        <f>AND(IF(Metadata!H982="",FALSE,TRUE),exact(Metadata!H982,"air"))</f>
        <v>0</v>
      </c>
      <c r="AB982">
        <f>AND(IF(Metadata!I982="",FALSE,TRUE),exact(Metadata!I982,"air metagenome"))</f>
        <v>0</v>
      </c>
      <c r="AC982">
        <f>AND(IF(Metadata!J982="",FALSE,TRUE),exact(Metadata!J982,"655179"))</f>
        <v>0</v>
      </c>
    </row>
    <row r="983" spans="1:29">
      <c r="A983" s="5">
        <f>IF(B983=" "," ",HYPERLINK(CONCATENATE("#metadata!",ADDRESS(INDEX($P$2:$P$1001,MATCH(ROWS($N$2:N983),$N$2:$N$1001,0),0),1)),INDEX($S$2:$S$1001,MATCH(ROWS($N$2:N983),$N$2:$N$1001,0),0)))</f>
        <v>0</v>
      </c>
      <c r="B983" s="4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4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4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4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4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4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4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4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4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OR(AND(IF(Metadata!C983="",FALSE,TRUE),OR(exact(Metadata!C983,"not applicable"),exact(Metadata!C983,"not collected"),exact(Metadata!C983,"not provided"),exact(Metadata!C983,"restricted access"))),IF(Metadata!C983="",FALSE,ISNUMBER(VALUE(Metadata!C983))))</f>
        <v>0</v>
      </c>
      <c r="W983">
        <f>AND(IF(Metadata!D983="",FALSE,TRUE),exact(Metadata!D983,"m"))</f>
        <v>0</v>
      </c>
      <c r="X983">
        <f>AND(IF(Metadata!E983="",FALSE,TRUE),OR(exact(Metadata!E983,"aerosol (non-saline)"),exact(Metadata!E983,"aerosol (saline)")))</f>
        <v>0</v>
      </c>
      <c r="Y983">
        <f>AND(IF(Metadata!F983="",FALSE,TRUE),exact(Metadata!F983,"air"))</f>
        <v>0</v>
      </c>
      <c r="Z983">
        <f>AND(IF(Metadata!G983="",FALSE,TRUE),exact(Metadata!G983,"air"))</f>
        <v>0</v>
      </c>
      <c r="AA983">
        <f>AND(IF(Metadata!H983="",FALSE,TRUE),exact(Metadata!H983,"air"))</f>
        <v>0</v>
      </c>
      <c r="AB983">
        <f>AND(IF(Metadata!I983="",FALSE,TRUE),exact(Metadata!I983,"air metagenome"))</f>
        <v>0</v>
      </c>
      <c r="AC983">
        <f>AND(IF(Metadata!J983="",FALSE,TRUE),exact(Metadata!J983,"655179"))</f>
        <v>0</v>
      </c>
    </row>
    <row r="984" spans="1:29">
      <c r="A984" s="5">
        <f>IF(B984=" "," ",HYPERLINK(CONCATENATE("#metadata!",ADDRESS(INDEX($P$2:$P$1001,MATCH(ROWS($N$2:N984),$N$2:$N$1001,0),0),1)),INDEX($S$2:$S$1001,MATCH(ROWS($N$2:N984),$N$2:$N$1001,0),0)))</f>
        <v>0</v>
      </c>
      <c r="B984" s="4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4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4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4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4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4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4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4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4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OR(AND(IF(Metadata!C984="",FALSE,TRUE),OR(exact(Metadata!C984,"not applicable"),exact(Metadata!C984,"not collected"),exact(Metadata!C984,"not provided"),exact(Metadata!C984,"restricted access"))),IF(Metadata!C984="",FALSE,ISNUMBER(VALUE(Metadata!C984))))</f>
        <v>0</v>
      </c>
      <c r="W984">
        <f>AND(IF(Metadata!D984="",FALSE,TRUE),exact(Metadata!D984,"m"))</f>
        <v>0</v>
      </c>
      <c r="X984">
        <f>AND(IF(Metadata!E984="",FALSE,TRUE),OR(exact(Metadata!E984,"aerosol (non-saline)"),exact(Metadata!E984,"aerosol (saline)")))</f>
        <v>0</v>
      </c>
      <c r="Y984">
        <f>AND(IF(Metadata!F984="",FALSE,TRUE),exact(Metadata!F984,"air"))</f>
        <v>0</v>
      </c>
      <c r="Z984">
        <f>AND(IF(Metadata!G984="",FALSE,TRUE),exact(Metadata!G984,"air"))</f>
        <v>0</v>
      </c>
      <c r="AA984">
        <f>AND(IF(Metadata!H984="",FALSE,TRUE),exact(Metadata!H984,"air"))</f>
        <v>0</v>
      </c>
      <c r="AB984">
        <f>AND(IF(Metadata!I984="",FALSE,TRUE),exact(Metadata!I984,"air metagenome"))</f>
        <v>0</v>
      </c>
      <c r="AC984">
        <f>AND(IF(Metadata!J984="",FALSE,TRUE),exact(Metadata!J984,"655179"))</f>
        <v>0</v>
      </c>
    </row>
    <row r="985" spans="1:29">
      <c r="A985" s="5">
        <f>IF(B985=" "," ",HYPERLINK(CONCATENATE("#metadata!",ADDRESS(INDEX($P$2:$P$1001,MATCH(ROWS($N$2:N985),$N$2:$N$1001,0),0),1)),INDEX($S$2:$S$1001,MATCH(ROWS($N$2:N985),$N$2:$N$1001,0),0)))</f>
        <v>0</v>
      </c>
      <c r="B985" s="4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4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4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4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4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4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4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4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4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OR(AND(IF(Metadata!C985="",FALSE,TRUE),OR(exact(Metadata!C985,"not applicable"),exact(Metadata!C985,"not collected"),exact(Metadata!C985,"not provided"),exact(Metadata!C985,"restricted access"))),IF(Metadata!C985="",FALSE,ISNUMBER(VALUE(Metadata!C985))))</f>
        <v>0</v>
      </c>
      <c r="W985">
        <f>AND(IF(Metadata!D985="",FALSE,TRUE),exact(Metadata!D985,"m"))</f>
        <v>0</v>
      </c>
      <c r="X985">
        <f>AND(IF(Metadata!E985="",FALSE,TRUE),OR(exact(Metadata!E985,"aerosol (non-saline)"),exact(Metadata!E985,"aerosol (saline)")))</f>
        <v>0</v>
      </c>
      <c r="Y985">
        <f>AND(IF(Metadata!F985="",FALSE,TRUE),exact(Metadata!F985,"air"))</f>
        <v>0</v>
      </c>
      <c r="Z985">
        <f>AND(IF(Metadata!G985="",FALSE,TRUE),exact(Metadata!G985,"air"))</f>
        <v>0</v>
      </c>
      <c r="AA985">
        <f>AND(IF(Metadata!H985="",FALSE,TRUE),exact(Metadata!H985,"air"))</f>
        <v>0</v>
      </c>
      <c r="AB985">
        <f>AND(IF(Metadata!I985="",FALSE,TRUE),exact(Metadata!I985,"air metagenome"))</f>
        <v>0</v>
      </c>
      <c r="AC985">
        <f>AND(IF(Metadata!J985="",FALSE,TRUE),exact(Metadata!J985,"655179"))</f>
        <v>0</v>
      </c>
    </row>
    <row r="986" spans="1:29">
      <c r="A986" s="5">
        <f>IF(B986=" "," ",HYPERLINK(CONCATENATE("#metadata!",ADDRESS(INDEX($P$2:$P$1001,MATCH(ROWS($N$2:N986),$N$2:$N$1001,0),0),1)),INDEX($S$2:$S$1001,MATCH(ROWS($N$2:N986),$N$2:$N$1001,0),0)))</f>
        <v>0</v>
      </c>
      <c r="B986" s="4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4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4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4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4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4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4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4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4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OR(AND(IF(Metadata!C986="",FALSE,TRUE),OR(exact(Metadata!C986,"not applicable"),exact(Metadata!C986,"not collected"),exact(Metadata!C986,"not provided"),exact(Metadata!C986,"restricted access"))),IF(Metadata!C986="",FALSE,ISNUMBER(VALUE(Metadata!C986))))</f>
        <v>0</v>
      </c>
      <c r="W986">
        <f>AND(IF(Metadata!D986="",FALSE,TRUE),exact(Metadata!D986,"m"))</f>
        <v>0</v>
      </c>
      <c r="X986">
        <f>AND(IF(Metadata!E986="",FALSE,TRUE),OR(exact(Metadata!E986,"aerosol (non-saline)"),exact(Metadata!E986,"aerosol (saline)")))</f>
        <v>0</v>
      </c>
      <c r="Y986">
        <f>AND(IF(Metadata!F986="",FALSE,TRUE),exact(Metadata!F986,"air"))</f>
        <v>0</v>
      </c>
      <c r="Z986">
        <f>AND(IF(Metadata!G986="",FALSE,TRUE),exact(Metadata!G986,"air"))</f>
        <v>0</v>
      </c>
      <c r="AA986">
        <f>AND(IF(Metadata!H986="",FALSE,TRUE),exact(Metadata!H986,"air"))</f>
        <v>0</v>
      </c>
      <c r="AB986">
        <f>AND(IF(Metadata!I986="",FALSE,TRUE),exact(Metadata!I986,"air metagenome"))</f>
        <v>0</v>
      </c>
      <c r="AC986">
        <f>AND(IF(Metadata!J986="",FALSE,TRUE),exact(Metadata!J986,"655179"))</f>
        <v>0</v>
      </c>
    </row>
    <row r="987" spans="1:29">
      <c r="A987" s="5">
        <f>IF(B987=" "," ",HYPERLINK(CONCATENATE("#metadata!",ADDRESS(INDEX($P$2:$P$1001,MATCH(ROWS($N$2:N987),$N$2:$N$1001,0),0),1)),INDEX($S$2:$S$1001,MATCH(ROWS($N$2:N987),$N$2:$N$1001,0),0)))</f>
        <v>0</v>
      </c>
      <c r="B987" s="4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4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4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4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4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4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4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4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4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OR(AND(IF(Metadata!C987="",FALSE,TRUE),OR(exact(Metadata!C987,"not applicable"),exact(Metadata!C987,"not collected"),exact(Metadata!C987,"not provided"),exact(Metadata!C987,"restricted access"))),IF(Metadata!C987="",FALSE,ISNUMBER(VALUE(Metadata!C987))))</f>
        <v>0</v>
      </c>
      <c r="W987">
        <f>AND(IF(Metadata!D987="",FALSE,TRUE),exact(Metadata!D987,"m"))</f>
        <v>0</v>
      </c>
      <c r="X987">
        <f>AND(IF(Metadata!E987="",FALSE,TRUE),OR(exact(Metadata!E987,"aerosol (non-saline)"),exact(Metadata!E987,"aerosol (saline)")))</f>
        <v>0</v>
      </c>
      <c r="Y987">
        <f>AND(IF(Metadata!F987="",FALSE,TRUE),exact(Metadata!F987,"air"))</f>
        <v>0</v>
      </c>
      <c r="Z987">
        <f>AND(IF(Metadata!G987="",FALSE,TRUE),exact(Metadata!G987,"air"))</f>
        <v>0</v>
      </c>
      <c r="AA987">
        <f>AND(IF(Metadata!H987="",FALSE,TRUE),exact(Metadata!H987,"air"))</f>
        <v>0</v>
      </c>
      <c r="AB987">
        <f>AND(IF(Metadata!I987="",FALSE,TRUE),exact(Metadata!I987,"air metagenome"))</f>
        <v>0</v>
      </c>
      <c r="AC987">
        <f>AND(IF(Metadata!J987="",FALSE,TRUE),exact(Metadata!J987,"655179"))</f>
        <v>0</v>
      </c>
    </row>
    <row r="988" spans="1:29">
      <c r="A988" s="5">
        <f>IF(B988=" "," ",HYPERLINK(CONCATENATE("#metadata!",ADDRESS(INDEX($P$2:$P$1001,MATCH(ROWS($N$2:N988),$N$2:$N$1001,0),0),1)),INDEX($S$2:$S$1001,MATCH(ROWS($N$2:N988),$N$2:$N$1001,0),0)))</f>
        <v>0</v>
      </c>
      <c r="B988" s="4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4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4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4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4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4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4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4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4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OR(AND(IF(Metadata!C988="",FALSE,TRUE),OR(exact(Metadata!C988,"not applicable"),exact(Metadata!C988,"not collected"),exact(Metadata!C988,"not provided"),exact(Metadata!C988,"restricted access"))),IF(Metadata!C988="",FALSE,ISNUMBER(VALUE(Metadata!C988))))</f>
        <v>0</v>
      </c>
      <c r="W988">
        <f>AND(IF(Metadata!D988="",FALSE,TRUE),exact(Metadata!D988,"m"))</f>
        <v>0</v>
      </c>
      <c r="X988">
        <f>AND(IF(Metadata!E988="",FALSE,TRUE),OR(exact(Metadata!E988,"aerosol (non-saline)"),exact(Metadata!E988,"aerosol (saline)")))</f>
        <v>0</v>
      </c>
      <c r="Y988">
        <f>AND(IF(Metadata!F988="",FALSE,TRUE),exact(Metadata!F988,"air"))</f>
        <v>0</v>
      </c>
      <c r="Z988">
        <f>AND(IF(Metadata!G988="",FALSE,TRUE),exact(Metadata!G988,"air"))</f>
        <v>0</v>
      </c>
      <c r="AA988">
        <f>AND(IF(Metadata!H988="",FALSE,TRUE),exact(Metadata!H988,"air"))</f>
        <v>0</v>
      </c>
      <c r="AB988">
        <f>AND(IF(Metadata!I988="",FALSE,TRUE),exact(Metadata!I988,"air metagenome"))</f>
        <v>0</v>
      </c>
      <c r="AC988">
        <f>AND(IF(Metadata!J988="",FALSE,TRUE),exact(Metadata!J988,"655179"))</f>
        <v>0</v>
      </c>
    </row>
    <row r="989" spans="1:29">
      <c r="A989" s="5">
        <f>IF(B989=" "," ",HYPERLINK(CONCATENATE("#metadata!",ADDRESS(INDEX($P$2:$P$1001,MATCH(ROWS($N$2:N989),$N$2:$N$1001,0),0),1)),INDEX($S$2:$S$1001,MATCH(ROWS($N$2:N989),$N$2:$N$1001,0),0)))</f>
        <v>0</v>
      </c>
      <c r="B989" s="4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4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4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4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4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4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4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4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4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OR(AND(IF(Metadata!C989="",FALSE,TRUE),OR(exact(Metadata!C989,"not applicable"),exact(Metadata!C989,"not collected"),exact(Metadata!C989,"not provided"),exact(Metadata!C989,"restricted access"))),IF(Metadata!C989="",FALSE,ISNUMBER(VALUE(Metadata!C989))))</f>
        <v>0</v>
      </c>
      <c r="W989">
        <f>AND(IF(Metadata!D989="",FALSE,TRUE),exact(Metadata!D989,"m"))</f>
        <v>0</v>
      </c>
      <c r="X989">
        <f>AND(IF(Metadata!E989="",FALSE,TRUE),OR(exact(Metadata!E989,"aerosol (non-saline)"),exact(Metadata!E989,"aerosol (saline)")))</f>
        <v>0</v>
      </c>
      <c r="Y989">
        <f>AND(IF(Metadata!F989="",FALSE,TRUE),exact(Metadata!F989,"air"))</f>
        <v>0</v>
      </c>
      <c r="Z989">
        <f>AND(IF(Metadata!G989="",FALSE,TRUE),exact(Metadata!G989,"air"))</f>
        <v>0</v>
      </c>
      <c r="AA989">
        <f>AND(IF(Metadata!H989="",FALSE,TRUE),exact(Metadata!H989,"air"))</f>
        <v>0</v>
      </c>
      <c r="AB989">
        <f>AND(IF(Metadata!I989="",FALSE,TRUE),exact(Metadata!I989,"air metagenome"))</f>
        <v>0</v>
      </c>
      <c r="AC989">
        <f>AND(IF(Metadata!J989="",FALSE,TRUE),exact(Metadata!J989,"655179"))</f>
        <v>0</v>
      </c>
    </row>
    <row r="990" spans="1:29">
      <c r="A990" s="5">
        <f>IF(B990=" "," ",HYPERLINK(CONCATENATE("#metadata!",ADDRESS(INDEX($P$2:$P$1001,MATCH(ROWS($N$2:N990),$N$2:$N$1001,0),0),1)),INDEX($S$2:$S$1001,MATCH(ROWS($N$2:N990),$N$2:$N$1001,0),0)))</f>
        <v>0</v>
      </c>
      <c r="B990" s="4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4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4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4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4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4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4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4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4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OR(AND(IF(Metadata!C990="",FALSE,TRUE),OR(exact(Metadata!C990,"not applicable"),exact(Metadata!C990,"not collected"),exact(Metadata!C990,"not provided"),exact(Metadata!C990,"restricted access"))),IF(Metadata!C990="",FALSE,ISNUMBER(VALUE(Metadata!C990))))</f>
        <v>0</v>
      </c>
      <c r="W990">
        <f>AND(IF(Metadata!D990="",FALSE,TRUE),exact(Metadata!D990,"m"))</f>
        <v>0</v>
      </c>
      <c r="X990">
        <f>AND(IF(Metadata!E990="",FALSE,TRUE),OR(exact(Metadata!E990,"aerosol (non-saline)"),exact(Metadata!E990,"aerosol (saline)")))</f>
        <v>0</v>
      </c>
      <c r="Y990">
        <f>AND(IF(Metadata!F990="",FALSE,TRUE),exact(Metadata!F990,"air"))</f>
        <v>0</v>
      </c>
      <c r="Z990">
        <f>AND(IF(Metadata!G990="",FALSE,TRUE),exact(Metadata!G990,"air"))</f>
        <v>0</v>
      </c>
      <c r="AA990">
        <f>AND(IF(Metadata!H990="",FALSE,TRUE),exact(Metadata!H990,"air"))</f>
        <v>0</v>
      </c>
      <c r="AB990">
        <f>AND(IF(Metadata!I990="",FALSE,TRUE),exact(Metadata!I990,"air metagenome"))</f>
        <v>0</v>
      </c>
      <c r="AC990">
        <f>AND(IF(Metadata!J990="",FALSE,TRUE),exact(Metadata!J990,"655179"))</f>
        <v>0</v>
      </c>
    </row>
    <row r="991" spans="1:29">
      <c r="A991" s="5">
        <f>IF(B991=" "," ",HYPERLINK(CONCATENATE("#metadata!",ADDRESS(INDEX($P$2:$P$1001,MATCH(ROWS($N$2:N991),$N$2:$N$1001,0),0),1)),INDEX($S$2:$S$1001,MATCH(ROWS($N$2:N991),$N$2:$N$1001,0),0)))</f>
        <v>0</v>
      </c>
      <c r="B991" s="4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4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4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4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4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4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4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4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4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OR(AND(IF(Metadata!C991="",FALSE,TRUE),OR(exact(Metadata!C991,"not applicable"),exact(Metadata!C991,"not collected"),exact(Metadata!C991,"not provided"),exact(Metadata!C991,"restricted access"))),IF(Metadata!C991="",FALSE,ISNUMBER(VALUE(Metadata!C991))))</f>
        <v>0</v>
      </c>
      <c r="W991">
        <f>AND(IF(Metadata!D991="",FALSE,TRUE),exact(Metadata!D991,"m"))</f>
        <v>0</v>
      </c>
      <c r="X991">
        <f>AND(IF(Metadata!E991="",FALSE,TRUE),OR(exact(Metadata!E991,"aerosol (non-saline)"),exact(Metadata!E991,"aerosol (saline)")))</f>
        <v>0</v>
      </c>
      <c r="Y991">
        <f>AND(IF(Metadata!F991="",FALSE,TRUE),exact(Metadata!F991,"air"))</f>
        <v>0</v>
      </c>
      <c r="Z991">
        <f>AND(IF(Metadata!G991="",FALSE,TRUE),exact(Metadata!G991,"air"))</f>
        <v>0</v>
      </c>
      <c r="AA991">
        <f>AND(IF(Metadata!H991="",FALSE,TRUE),exact(Metadata!H991,"air"))</f>
        <v>0</v>
      </c>
      <c r="AB991">
        <f>AND(IF(Metadata!I991="",FALSE,TRUE),exact(Metadata!I991,"air metagenome"))</f>
        <v>0</v>
      </c>
      <c r="AC991">
        <f>AND(IF(Metadata!J991="",FALSE,TRUE),exact(Metadata!J991,"655179"))</f>
        <v>0</v>
      </c>
    </row>
    <row r="992" spans="1:29">
      <c r="A992" s="5">
        <f>IF(B992=" "," ",HYPERLINK(CONCATENATE("#metadata!",ADDRESS(INDEX($P$2:$P$1001,MATCH(ROWS($N$2:N992),$N$2:$N$1001,0),0),1)),INDEX($S$2:$S$1001,MATCH(ROWS($N$2:N992),$N$2:$N$1001,0),0)))</f>
        <v>0</v>
      </c>
      <c r="B992" s="4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4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4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4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4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4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4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4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4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OR(AND(IF(Metadata!C992="",FALSE,TRUE),OR(exact(Metadata!C992,"not applicable"),exact(Metadata!C992,"not collected"),exact(Metadata!C992,"not provided"),exact(Metadata!C992,"restricted access"))),IF(Metadata!C992="",FALSE,ISNUMBER(VALUE(Metadata!C992))))</f>
        <v>0</v>
      </c>
      <c r="W992">
        <f>AND(IF(Metadata!D992="",FALSE,TRUE),exact(Metadata!D992,"m"))</f>
        <v>0</v>
      </c>
      <c r="X992">
        <f>AND(IF(Metadata!E992="",FALSE,TRUE),OR(exact(Metadata!E992,"aerosol (non-saline)"),exact(Metadata!E992,"aerosol (saline)")))</f>
        <v>0</v>
      </c>
      <c r="Y992">
        <f>AND(IF(Metadata!F992="",FALSE,TRUE),exact(Metadata!F992,"air"))</f>
        <v>0</v>
      </c>
      <c r="Z992">
        <f>AND(IF(Metadata!G992="",FALSE,TRUE),exact(Metadata!G992,"air"))</f>
        <v>0</v>
      </c>
      <c r="AA992">
        <f>AND(IF(Metadata!H992="",FALSE,TRUE),exact(Metadata!H992,"air"))</f>
        <v>0</v>
      </c>
      <c r="AB992">
        <f>AND(IF(Metadata!I992="",FALSE,TRUE),exact(Metadata!I992,"air metagenome"))</f>
        <v>0</v>
      </c>
      <c r="AC992">
        <f>AND(IF(Metadata!J992="",FALSE,TRUE),exact(Metadata!J992,"655179"))</f>
        <v>0</v>
      </c>
    </row>
    <row r="993" spans="1:29">
      <c r="A993" s="5">
        <f>IF(B993=" "," ",HYPERLINK(CONCATENATE("#metadata!",ADDRESS(INDEX($P$2:$P$1001,MATCH(ROWS($N$2:N993),$N$2:$N$1001,0),0),1)),INDEX($S$2:$S$1001,MATCH(ROWS($N$2:N993),$N$2:$N$1001,0),0)))</f>
        <v>0</v>
      </c>
      <c r="B993" s="4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4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4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4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4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4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4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4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4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OR(AND(IF(Metadata!C993="",FALSE,TRUE),OR(exact(Metadata!C993,"not applicable"),exact(Metadata!C993,"not collected"),exact(Metadata!C993,"not provided"),exact(Metadata!C993,"restricted access"))),IF(Metadata!C993="",FALSE,ISNUMBER(VALUE(Metadata!C993))))</f>
        <v>0</v>
      </c>
      <c r="W993">
        <f>AND(IF(Metadata!D993="",FALSE,TRUE),exact(Metadata!D993,"m"))</f>
        <v>0</v>
      </c>
      <c r="X993">
        <f>AND(IF(Metadata!E993="",FALSE,TRUE),OR(exact(Metadata!E993,"aerosol (non-saline)"),exact(Metadata!E993,"aerosol (saline)")))</f>
        <v>0</v>
      </c>
      <c r="Y993">
        <f>AND(IF(Metadata!F993="",FALSE,TRUE),exact(Metadata!F993,"air"))</f>
        <v>0</v>
      </c>
      <c r="Z993">
        <f>AND(IF(Metadata!G993="",FALSE,TRUE),exact(Metadata!G993,"air"))</f>
        <v>0</v>
      </c>
      <c r="AA993">
        <f>AND(IF(Metadata!H993="",FALSE,TRUE),exact(Metadata!H993,"air"))</f>
        <v>0</v>
      </c>
      <c r="AB993">
        <f>AND(IF(Metadata!I993="",FALSE,TRUE),exact(Metadata!I993,"air metagenome"))</f>
        <v>0</v>
      </c>
      <c r="AC993">
        <f>AND(IF(Metadata!J993="",FALSE,TRUE),exact(Metadata!J993,"655179"))</f>
        <v>0</v>
      </c>
    </row>
    <row r="994" spans="1:29">
      <c r="A994" s="5">
        <f>IF(B994=" "," ",HYPERLINK(CONCATENATE("#metadata!",ADDRESS(INDEX($P$2:$P$1001,MATCH(ROWS($N$2:N994),$N$2:$N$1001,0),0),1)),INDEX($S$2:$S$1001,MATCH(ROWS($N$2:N994),$N$2:$N$1001,0),0)))</f>
        <v>0</v>
      </c>
      <c r="B994" s="4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4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4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4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4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4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4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4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4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OR(AND(IF(Metadata!C994="",FALSE,TRUE),OR(exact(Metadata!C994,"not applicable"),exact(Metadata!C994,"not collected"),exact(Metadata!C994,"not provided"),exact(Metadata!C994,"restricted access"))),IF(Metadata!C994="",FALSE,ISNUMBER(VALUE(Metadata!C994))))</f>
        <v>0</v>
      </c>
      <c r="W994">
        <f>AND(IF(Metadata!D994="",FALSE,TRUE),exact(Metadata!D994,"m"))</f>
        <v>0</v>
      </c>
      <c r="X994">
        <f>AND(IF(Metadata!E994="",FALSE,TRUE),OR(exact(Metadata!E994,"aerosol (non-saline)"),exact(Metadata!E994,"aerosol (saline)")))</f>
        <v>0</v>
      </c>
      <c r="Y994">
        <f>AND(IF(Metadata!F994="",FALSE,TRUE),exact(Metadata!F994,"air"))</f>
        <v>0</v>
      </c>
      <c r="Z994">
        <f>AND(IF(Metadata!G994="",FALSE,TRUE),exact(Metadata!G994,"air"))</f>
        <v>0</v>
      </c>
      <c r="AA994">
        <f>AND(IF(Metadata!H994="",FALSE,TRUE),exact(Metadata!H994,"air"))</f>
        <v>0</v>
      </c>
      <c r="AB994">
        <f>AND(IF(Metadata!I994="",FALSE,TRUE),exact(Metadata!I994,"air metagenome"))</f>
        <v>0</v>
      </c>
      <c r="AC994">
        <f>AND(IF(Metadata!J994="",FALSE,TRUE),exact(Metadata!J994,"655179"))</f>
        <v>0</v>
      </c>
    </row>
    <row r="995" spans="1:29">
      <c r="A995" s="5">
        <f>IF(B995=" "," ",HYPERLINK(CONCATENATE("#metadata!",ADDRESS(INDEX($P$2:$P$1001,MATCH(ROWS($N$2:N995),$N$2:$N$1001,0),0),1)),INDEX($S$2:$S$1001,MATCH(ROWS($N$2:N995),$N$2:$N$1001,0),0)))</f>
        <v>0</v>
      </c>
      <c r="B995" s="4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4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4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4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4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4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4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4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4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OR(AND(IF(Metadata!C995="",FALSE,TRUE),OR(exact(Metadata!C995,"not applicable"),exact(Metadata!C995,"not collected"),exact(Metadata!C995,"not provided"),exact(Metadata!C995,"restricted access"))),IF(Metadata!C995="",FALSE,ISNUMBER(VALUE(Metadata!C995))))</f>
        <v>0</v>
      </c>
      <c r="W995">
        <f>AND(IF(Metadata!D995="",FALSE,TRUE),exact(Metadata!D995,"m"))</f>
        <v>0</v>
      </c>
      <c r="X995">
        <f>AND(IF(Metadata!E995="",FALSE,TRUE),OR(exact(Metadata!E995,"aerosol (non-saline)"),exact(Metadata!E995,"aerosol (saline)")))</f>
        <v>0</v>
      </c>
      <c r="Y995">
        <f>AND(IF(Metadata!F995="",FALSE,TRUE),exact(Metadata!F995,"air"))</f>
        <v>0</v>
      </c>
      <c r="Z995">
        <f>AND(IF(Metadata!G995="",FALSE,TRUE),exact(Metadata!G995,"air"))</f>
        <v>0</v>
      </c>
      <c r="AA995">
        <f>AND(IF(Metadata!H995="",FALSE,TRUE),exact(Metadata!H995,"air"))</f>
        <v>0</v>
      </c>
      <c r="AB995">
        <f>AND(IF(Metadata!I995="",FALSE,TRUE),exact(Metadata!I995,"air metagenome"))</f>
        <v>0</v>
      </c>
      <c r="AC995">
        <f>AND(IF(Metadata!J995="",FALSE,TRUE),exact(Metadata!J995,"655179"))</f>
        <v>0</v>
      </c>
    </row>
    <row r="996" spans="1:29">
      <c r="A996" s="5">
        <f>IF(B996=" "," ",HYPERLINK(CONCATENATE("#metadata!",ADDRESS(INDEX($P$2:$P$1001,MATCH(ROWS($N$2:N996),$N$2:$N$1001,0),0),1)),INDEX($S$2:$S$1001,MATCH(ROWS($N$2:N996),$N$2:$N$1001,0),0)))</f>
        <v>0</v>
      </c>
      <c r="B996" s="4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4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4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4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4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4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4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4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4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OR(AND(IF(Metadata!C996="",FALSE,TRUE),OR(exact(Metadata!C996,"not applicable"),exact(Metadata!C996,"not collected"),exact(Metadata!C996,"not provided"),exact(Metadata!C996,"restricted access"))),IF(Metadata!C996="",FALSE,ISNUMBER(VALUE(Metadata!C996))))</f>
        <v>0</v>
      </c>
      <c r="W996">
        <f>AND(IF(Metadata!D996="",FALSE,TRUE),exact(Metadata!D996,"m"))</f>
        <v>0</v>
      </c>
      <c r="X996">
        <f>AND(IF(Metadata!E996="",FALSE,TRUE),OR(exact(Metadata!E996,"aerosol (non-saline)"),exact(Metadata!E996,"aerosol (saline)")))</f>
        <v>0</v>
      </c>
      <c r="Y996">
        <f>AND(IF(Metadata!F996="",FALSE,TRUE),exact(Metadata!F996,"air"))</f>
        <v>0</v>
      </c>
      <c r="Z996">
        <f>AND(IF(Metadata!G996="",FALSE,TRUE),exact(Metadata!G996,"air"))</f>
        <v>0</v>
      </c>
      <c r="AA996">
        <f>AND(IF(Metadata!H996="",FALSE,TRUE),exact(Metadata!H996,"air"))</f>
        <v>0</v>
      </c>
      <c r="AB996">
        <f>AND(IF(Metadata!I996="",FALSE,TRUE),exact(Metadata!I996,"air metagenome"))</f>
        <v>0</v>
      </c>
      <c r="AC996">
        <f>AND(IF(Metadata!J996="",FALSE,TRUE),exact(Metadata!J996,"655179"))</f>
        <v>0</v>
      </c>
    </row>
    <row r="997" spans="1:29">
      <c r="A997" s="5">
        <f>IF(B997=" "," ",HYPERLINK(CONCATENATE("#metadata!",ADDRESS(INDEX($P$2:$P$1001,MATCH(ROWS($N$2:N997),$N$2:$N$1001,0),0),1)),INDEX($S$2:$S$1001,MATCH(ROWS($N$2:N997),$N$2:$N$1001,0),0)))</f>
        <v>0</v>
      </c>
      <c r="B997" s="4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4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4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4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4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4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4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4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4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OR(AND(IF(Metadata!C997="",FALSE,TRUE),OR(exact(Metadata!C997,"not applicable"),exact(Metadata!C997,"not collected"),exact(Metadata!C997,"not provided"),exact(Metadata!C997,"restricted access"))),IF(Metadata!C997="",FALSE,ISNUMBER(VALUE(Metadata!C997))))</f>
        <v>0</v>
      </c>
      <c r="W997">
        <f>AND(IF(Metadata!D997="",FALSE,TRUE),exact(Metadata!D997,"m"))</f>
        <v>0</v>
      </c>
      <c r="X997">
        <f>AND(IF(Metadata!E997="",FALSE,TRUE),OR(exact(Metadata!E997,"aerosol (non-saline)"),exact(Metadata!E997,"aerosol (saline)")))</f>
        <v>0</v>
      </c>
      <c r="Y997">
        <f>AND(IF(Metadata!F997="",FALSE,TRUE),exact(Metadata!F997,"air"))</f>
        <v>0</v>
      </c>
      <c r="Z997">
        <f>AND(IF(Metadata!G997="",FALSE,TRUE),exact(Metadata!G997,"air"))</f>
        <v>0</v>
      </c>
      <c r="AA997">
        <f>AND(IF(Metadata!H997="",FALSE,TRUE),exact(Metadata!H997,"air"))</f>
        <v>0</v>
      </c>
      <c r="AB997">
        <f>AND(IF(Metadata!I997="",FALSE,TRUE),exact(Metadata!I997,"air metagenome"))</f>
        <v>0</v>
      </c>
      <c r="AC997">
        <f>AND(IF(Metadata!J997="",FALSE,TRUE),exact(Metadata!J997,"655179"))</f>
        <v>0</v>
      </c>
    </row>
    <row r="998" spans="1:29">
      <c r="A998" s="5">
        <f>IF(B998=" "," ",HYPERLINK(CONCATENATE("#metadata!",ADDRESS(INDEX($P$2:$P$1001,MATCH(ROWS($N$2:N998),$N$2:$N$1001,0),0),1)),INDEX($S$2:$S$1001,MATCH(ROWS($N$2:N998),$N$2:$N$1001,0),0)))</f>
        <v>0</v>
      </c>
      <c r="B998" s="4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4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4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4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4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4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4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4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4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OR(AND(IF(Metadata!C998="",FALSE,TRUE),OR(exact(Metadata!C998,"not applicable"),exact(Metadata!C998,"not collected"),exact(Metadata!C998,"not provided"),exact(Metadata!C998,"restricted access"))),IF(Metadata!C998="",FALSE,ISNUMBER(VALUE(Metadata!C998))))</f>
        <v>0</v>
      </c>
      <c r="W998">
        <f>AND(IF(Metadata!D998="",FALSE,TRUE),exact(Metadata!D998,"m"))</f>
        <v>0</v>
      </c>
      <c r="X998">
        <f>AND(IF(Metadata!E998="",FALSE,TRUE),OR(exact(Metadata!E998,"aerosol (non-saline)"),exact(Metadata!E998,"aerosol (saline)")))</f>
        <v>0</v>
      </c>
      <c r="Y998">
        <f>AND(IF(Metadata!F998="",FALSE,TRUE),exact(Metadata!F998,"air"))</f>
        <v>0</v>
      </c>
      <c r="Z998">
        <f>AND(IF(Metadata!G998="",FALSE,TRUE),exact(Metadata!G998,"air"))</f>
        <v>0</v>
      </c>
      <c r="AA998">
        <f>AND(IF(Metadata!H998="",FALSE,TRUE),exact(Metadata!H998,"air"))</f>
        <v>0</v>
      </c>
      <c r="AB998">
        <f>AND(IF(Metadata!I998="",FALSE,TRUE),exact(Metadata!I998,"air metagenome"))</f>
        <v>0</v>
      </c>
      <c r="AC998">
        <f>AND(IF(Metadata!J998="",FALSE,TRUE),exact(Metadata!J998,"655179"))</f>
        <v>0</v>
      </c>
    </row>
    <row r="999" spans="1:29">
      <c r="A999" s="5">
        <f>IF(B999=" "," ",HYPERLINK(CONCATENATE("#metadata!",ADDRESS(INDEX($P$2:$P$1001,MATCH(ROWS($N$2:N999),$N$2:$N$1001,0),0),1)),INDEX($S$2:$S$1001,MATCH(ROWS($N$2:N999),$N$2:$N$1001,0),0)))</f>
        <v>0</v>
      </c>
      <c r="B999" s="4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4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4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4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4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4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4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4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4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OR(AND(IF(Metadata!C999="",FALSE,TRUE),OR(exact(Metadata!C999,"not applicable"),exact(Metadata!C999,"not collected"),exact(Metadata!C999,"not provided"),exact(Metadata!C999,"restricted access"))),IF(Metadata!C999="",FALSE,ISNUMBER(VALUE(Metadata!C999))))</f>
        <v>0</v>
      </c>
      <c r="W999">
        <f>AND(IF(Metadata!D999="",FALSE,TRUE),exact(Metadata!D999,"m"))</f>
        <v>0</v>
      </c>
      <c r="X999">
        <f>AND(IF(Metadata!E999="",FALSE,TRUE),OR(exact(Metadata!E999,"aerosol (non-saline)"),exact(Metadata!E999,"aerosol (saline)")))</f>
        <v>0</v>
      </c>
      <c r="Y999">
        <f>AND(IF(Metadata!F999="",FALSE,TRUE),exact(Metadata!F999,"air"))</f>
        <v>0</v>
      </c>
      <c r="Z999">
        <f>AND(IF(Metadata!G999="",FALSE,TRUE),exact(Metadata!G999,"air"))</f>
        <v>0</v>
      </c>
      <c r="AA999">
        <f>AND(IF(Metadata!H999="",FALSE,TRUE),exact(Metadata!H999,"air"))</f>
        <v>0</v>
      </c>
      <c r="AB999">
        <f>AND(IF(Metadata!I999="",FALSE,TRUE),exact(Metadata!I999,"air metagenome"))</f>
        <v>0</v>
      </c>
      <c r="AC999">
        <f>AND(IF(Metadata!J999="",FALSE,TRUE),exact(Metadata!J999,"655179"))</f>
        <v>0</v>
      </c>
    </row>
    <row r="1000" spans="1:29">
      <c r="A1000" s="5">
        <f>IF(B1000=" "," ",HYPERLINK(CONCATENATE("#metadata!",ADDRESS(INDEX($P$2:$P$1001,MATCH(ROWS($N$2:N1000),$N$2:$N$1001,0),0),1)),INDEX($S$2:$S$1001,MATCH(ROWS($N$2:N1000),$N$2:$N$1001,0),0)))</f>
        <v>0</v>
      </c>
      <c r="B1000" s="4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4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4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4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4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4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4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4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4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OR(AND(IF(Metadata!C1000="",FALSE,TRUE),OR(exact(Metadata!C1000,"not applicable"),exact(Metadata!C1000,"not collected"),exact(Metadata!C1000,"not provided"),exact(Metadata!C1000,"restricted access"))),IF(Metadata!C1000="",FALSE,ISNUMBER(VALUE(Metadata!C1000))))</f>
        <v>0</v>
      </c>
      <c r="W1000">
        <f>AND(IF(Metadata!D1000="",FALSE,TRUE),exact(Metadata!D1000,"m"))</f>
        <v>0</v>
      </c>
      <c r="X1000">
        <f>AND(IF(Metadata!E1000="",FALSE,TRUE),OR(exact(Metadata!E1000,"aerosol (non-saline)"),exact(Metadata!E1000,"aerosol (saline)")))</f>
        <v>0</v>
      </c>
      <c r="Y1000">
        <f>AND(IF(Metadata!F1000="",FALSE,TRUE),exact(Metadata!F1000,"air"))</f>
        <v>0</v>
      </c>
      <c r="Z1000">
        <f>AND(IF(Metadata!G1000="",FALSE,TRUE),exact(Metadata!G1000,"air"))</f>
        <v>0</v>
      </c>
      <c r="AA1000">
        <f>AND(IF(Metadata!H1000="",FALSE,TRUE),exact(Metadata!H1000,"air"))</f>
        <v>0</v>
      </c>
      <c r="AB1000">
        <f>AND(IF(Metadata!I1000="",FALSE,TRUE),exact(Metadata!I1000,"air metagenome"))</f>
        <v>0</v>
      </c>
      <c r="AC1000">
        <f>AND(IF(Metadata!J1000="",FALSE,TRUE),exact(Metadata!J1000,"655179"))</f>
        <v>0</v>
      </c>
    </row>
    <row r="1001" spans="1:29">
      <c r="A1001" s="5">
        <f>IF(B1001=" "," ",HYPERLINK(CONCATENATE("#metadata!",ADDRESS(INDEX($P$2:$P$1001,MATCH(ROWS($N$2:N1001),$N$2:$N$1001,0),0),1)),INDEX($S$2:$S$1001,MATCH(ROWS($N$2:N1001),$N$2:$N$1001,0),0)))</f>
        <v>0</v>
      </c>
      <c r="B1001" s="4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4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4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4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4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4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4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4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4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OR(AND(IF(Metadata!C1001="",FALSE,TRUE),OR(exact(Metadata!C1001,"not applicable"),exact(Metadata!C1001,"not collected"),exact(Metadata!C1001,"not provided"),exact(Metadata!C1001,"restricted access"))),IF(Metadata!C1001="",FALSE,ISNUMBER(VALUE(Metadata!C1001))))</f>
        <v>0</v>
      </c>
      <c r="W1001">
        <f>AND(IF(Metadata!D1001="",FALSE,TRUE),exact(Metadata!D1001,"m"))</f>
        <v>0</v>
      </c>
      <c r="X1001">
        <f>AND(IF(Metadata!E1001="",FALSE,TRUE),OR(exact(Metadata!E1001,"aerosol (non-saline)"),exact(Metadata!E1001,"aerosol (saline)")))</f>
        <v>0</v>
      </c>
      <c r="Y1001">
        <f>AND(IF(Metadata!F1001="",FALSE,TRUE),exact(Metadata!F1001,"air"))</f>
        <v>0</v>
      </c>
      <c r="Z1001">
        <f>AND(IF(Metadata!G1001="",FALSE,TRUE),exact(Metadata!G1001,"air"))</f>
        <v>0</v>
      </c>
      <c r="AA1001">
        <f>AND(IF(Metadata!H1001="",FALSE,TRUE),exact(Metadata!H1001,"air"))</f>
        <v>0</v>
      </c>
      <c r="AB1001">
        <f>AND(IF(Metadata!I1001="",FALSE,TRUE),exact(Metadata!I1001,"air metagenome"))</f>
        <v>0</v>
      </c>
      <c r="AC1001">
        <f>AND(IF(Metadata!J1001="",FALSE,TRUE),exact(Metadata!J1001,"655179"))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26</v>
      </c>
    </row>
    <row r="8" spans="1:2">
      <c r="A8" s="3" t="s">
        <v>8</v>
      </c>
      <c r="B8" t="s">
        <v>26</v>
      </c>
    </row>
    <row r="9" spans="1:2">
      <c r="A9" s="3" t="s">
        <v>9</v>
      </c>
      <c r="B9" t="s">
        <v>27</v>
      </c>
    </row>
    <row r="10" spans="1:2">
      <c r="A10" s="3" t="s">
        <v>10</v>
      </c>
      <c r="B10" t="s">
        <v>28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2018-07-07T00:03:51Z</dcterms:created>
  <dcterms:modified xsi:type="dcterms:W3CDTF">2018-07-07T00:03:51Z</dcterms:modified>
</cp:coreProperties>
</file>