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<sst xmlns="http://schemas.openxmlformats.org/spreadsheetml/2006/main" count="37" uniqueCount="24">
  <si>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</si>
  <si>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</si>
  <si>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</si>
  <si>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</si>
  <si>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</si>
  <si>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</si>
  <si>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</si>
  <si>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</si>
  <si>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</si>
  <si>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</si>
  <si>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</si>
  <si>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</si>
  <si>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</si>
  <si>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</si>
  <si>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</si>
  <si>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</si>
  <si>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</si>
  <si>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</si>
  <si>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"human-oral". The default value is human-oral.</t>
  </si>
  <si>
    <t>The value must be a string and must equal "human oral metagenome". The default value is human oral metagenome.</t>
  </si>
  <si>
    <t>The value must be a string and must equal "447426". The default value is 447426.</t>
  </si>
  <si>
    <t xml:space="preserve">env_package:
  allowed:
  - human-oral
  default: human-oral
  empty: false
  is_phi: false
  required: true
  type: string
sample_name:
  empty: false
  is_phi: false
  regex: ^[a-zA-Z0-9\.]+$
  required: true
  type: string
  unique: true
scientific_name:
  allowed:
  - human oral metagenome
  default: human oral metagenome
  empty: false
  is_phi: false
  required: true
  type: string
taxon_id:
  allowed:
  - '447426'
  default: '447426'
  empty: false
  is_phi: false
  required: true
  type: string
</t>
  </si>
  <si>
    <t xml:space="preserve">0:
  categorical_default_select: human-oral
  categorical_values: human-oral
  default_value: categorical_default
  field_name: env_package
  field_type: categorical
1:
  categorical_default_select: human oral metagenome
  categorical_values: human oral metagenome
  default_value: categorical_default
  field_name: scientific_name
  field_type: categorical
2:
  categorical_default_select: '447426'
  categorical_values: '447426'
  default_value: categorical_default
  field_name: taxon_id
  field_type: categorical
</t>
  </si>
  <si>
    <t>This file was created by QIIMP v0.3 at 2018-07-06 17:19:09.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</si>
</sst>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"human-oral")</f>
        <v>0</v>
      </c>
      <c r="D2" s="1">
        <f>IF(B2="", "", "human oral metagenome")</f>
        <v>0</v>
      </c>
      <c r="E2" s="1">
        <f>IF(B2="", "", "447426")</f>
        <v>0</v>
      </c>
    </row>
    <row r="3" spans="1:5">
      <c r="A3">
        <f>IF(COUNTBLANK(B3:E3)&lt;&gt;COLUMNS(B3:E3),2,"")</f>
        <v>0</v>
      </c>
      <c r="C3" s="1">
        <f>IF(B3="", "", "human-oral")</f>
        <v>0</v>
      </c>
      <c r="D3" s="1">
        <f>IF(B3="", "", "human oral metagenome")</f>
        <v>0</v>
      </c>
      <c r="E3" s="1">
        <f>IF(B3="", "", "447426")</f>
        <v>0</v>
      </c>
    </row>
    <row r="4" spans="1:5">
      <c r="A4">
        <f>IF(COUNTBLANK(B4:E4)&lt;&gt;COLUMNS(B4:E4),3,"")</f>
        <v>0</v>
      </c>
      <c r="C4" s="1">
        <f>IF(B4="", "", "human-oral")</f>
        <v>0</v>
      </c>
      <c r="D4" s="1">
        <f>IF(B4="", "", "human oral metagenome")</f>
        <v>0</v>
      </c>
      <c r="E4" s="1">
        <f>IF(B4="", "", "447426")</f>
        <v>0</v>
      </c>
    </row>
    <row r="5" spans="1:5">
      <c r="A5">
        <f>IF(COUNTBLANK(B5:E5)&lt;&gt;COLUMNS(B5:E5),4,"")</f>
        <v>0</v>
      </c>
      <c r="C5" s="1">
        <f>IF(B5="", "", "human-oral")</f>
        <v>0</v>
      </c>
      <c r="D5" s="1">
        <f>IF(B5="", "", "human oral metagenome")</f>
        <v>0</v>
      </c>
      <c r="E5" s="1">
        <f>IF(B5="", "", "447426")</f>
        <v>0</v>
      </c>
    </row>
    <row r="6" spans="1:5">
      <c r="A6">
        <f>IF(COUNTBLANK(B6:E6)&lt;&gt;COLUMNS(B6:E6),5,"")</f>
        <v>0</v>
      </c>
      <c r="C6" s="1">
        <f>IF(B6="", "", "human-oral")</f>
        <v>0</v>
      </c>
      <c r="D6" s="1">
        <f>IF(B6="", "", "human oral metagenome")</f>
        <v>0</v>
      </c>
      <c r="E6" s="1">
        <f>IF(B6="", "", "447426")</f>
        <v>0</v>
      </c>
    </row>
    <row r="7" spans="1:5">
      <c r="A7">
        <f>IF(COUNTBLANK(B7:E7)&lt;&gt;COLUMNS(B7:E7),6,"")</f>
        <v>0</v>
      </c>
      <c r="C7" s="1">
        <f>IF(B7="", "", "human-oral")</f>
        <v>0</v>
      </c>
      <c r="D7" s="1">
        <f>IF(B7="", "", "human oral metagenome")</f>
        <v>0</v>
      </c>
      <c r="E7" s="1">
        <f>IF(B7="", "", "447426")</f>
        <v>0</v>
      </c>
    </row>
    <row r="8" spans="1:5">
      <c r="A8">
        <f>IF(COUNTBLANK(B8:E8)&lt;&gt;COLUMNS(B8:E8),7,"")</f>
        <v>0</v>
      </c>
      <c r="C8" s="1">
        <f>IF(B8="", "", "human-oral")</f>
        <v>0</v>
      </c>
      <c r="D8" s="1">
        <f>IF(B8="", "", "human oral metagenome")</f>
        <v>0</v>
      </c>
      <c r="E8" s="1">
        <f>IF(B8="", "", "447426")</f>
        <v>0</v>
      </c>
    </row>
    <row r="9" spans="1:5">
      <c r="A9">
        <f>IF(COUNTBLANK(B9:E9)&lt;&gt;COLUMNS(B9:E9),8,"")</f>
        <v>0</v>
      </c>
      <c r="C9" s="1">
        <f>IF(B9="", "", "human-oral")</f>
        <v>0</v>
      </c>
      <c r="D9" s="1">
        <f>IF(B9="", "", "human oral metagenome")</f>
        <v>0</v>
      </c>
      <c r="E9" s="1">
        <f>IF(B9="", "", "447426")</f>
        <v>0</v>
      </c>
    </row>
    <row r="10" spans="1:5">
      <c r="A10">
        <f>IF(COUNTBLANK(B10:E10)&lt;&gt;COLUMNS(B10:E10),9,"")</f>
        <v>0</v>
      </c>
      <c r="C10" s="1">
        <f>IF(B10="", "", "human-oral")</f>
        <v>0</v>
      </c>
      <c r="D10" s="1">
        <f>IF(B10="", "", "human oral metagenome")</f>
        <v>0</v>
      </c>
      <c r="E10" s="1">
        <f>IF(B10="", "", "447426")</f>
        <v>0</v>
      </c>
    </row>
    <row r="11" spans="1:5">
      <c r="A11">
        <f>IF(COUNTBLANK(B11:E11)&lt;&gt;COLUMNS(B11:E11),10,"")</f>
        <v>0</v>
      </c>
      <c r="C11" s="1">
        <f>IF(B11="", "", "human-oral")</f>
        <v>0</v>
      </c>
      <c r="D11" s="1">
        <f>IF(B11="", "", "human oral metagenome")</f>
        <v>0</v>
      </c>
      <c r="E11" s="1">
        <f>IF(B11="", "", "447426")</f>
        <v>0</v>
      </c>
    </row>
    <row r="12" spans="1:5">
      <c r="A12">
        <f>IF(COUNTBLANK(B12:E12)&lt;&gt;COLUMNS(B12:E12),11,"")</f>
        <v>0</v>
      </c>
      <c r="C12" s="1">
        <f>IF(B12="", "", "human-oral")</f>
        <v>0</v>
      </c>
      <c r="D12" s="1">
        <f>IF(B12="", "", "human oral metagenome")</f>
        <v>0</v>
      </c>
      <c r="E12" s="1">
        <f>IF(B12="", "", "447426")</f>
        <v>0</v>
      </c>
    </row>
    <row r="13" spans="1:5">
      <c r="A13">
        <f>IF(COUNTBLANK(B13:E13)&lt;&gt;COLUMNS(B13:E13),12,"")</f>
        <v>0</v>
      </c>
      <c r="C13" s="1">
        <f>IF(B13="", "", "human-oral")</f>
        <v>0</v>
      </c>
      <c r="D13" s="1">
        <f>IF(B13="", "", "human oral metagenome")</f>
        <v>0</v>
      </c>
      <c r="E13" s="1">
        <f>IF(B13="", "", "447426")</f>
        <v>0</v>
      </c>
    </row>
    <row r="14" spans="1:5">
      <c r="A14">
        <f>IF(COUNTBLANK(B14:E14)&lt;&gt;COLUMNS(B14:E14),13,"")</f>
        <v>0</v>
      </c>
      <c r="C14" s="1">
        <f>IF(B14="", "", "human-oral")</f>
        <v>0</v>
      </c>
      <c r="D14" s="1">
        <f>IF(B14="", "", "human oral metagenome")</f>
        <v>0</v>
      </c>
      <c r="E14" s="1">
        <f>IF(B14="", "", "447426")</f>
        <v>0</v>
      </c>
    </row>
    <row r="15" spans="1:5">
      <c r="A15">
        <f>IF(COUNTBLANK(B15:E15)&lt;&gt;COLUMNS(B15:E15),14,"")</f>
        <v>0</v>
      </c>
      <c r="C15" s="1">
        <f>IF(B15="", "", "human-oral")</f>
        <v>0</v>
      </c>
      <c r="D15" s="1">
        <f>IF(B15="", "", "human oral metagenome")</f>
        <v>0</v>
      </c>
      <c r="E15" s="1">
        <f>IF(B15="", "", "447426")</f>
        <v>0</v>
      </c>
    </row>
    <row r="16" spans="1:5">
      <c r="A16">
        <f>IF(COUNTBLANK(B16:E16)&lt;&gt;COLUMNS(B16:E16),15,"")</f>
        <v>0</v>
      </c>
      <c r="C16" s="1">
        <f>IF(B16="", "", "human-oral")</f>
        <v>0</v>
      </c>
      <c r="D16" s="1">
        <f>IF(B16="", "", "human oral metagenome")</f>
        <v>0</v>
      </c>
      <c r="E16" s="1">
        <f>IF(B16="", "", "447426")</f>
        <v>0</v>
      </c>
    </row>
    <row r="17" spans="1:5">
      <c r="A17">
        <f>IF(COUNTBLANK(B17:E17)&lt;&gt;COLUMNS(B17:E17),16,"")</f>
        <v>0</v>
      </c>
      <c r="C17" s="1">
        <f>IF(B17="", "", "human-oral")</f>
        <v>0</v>
      </c>
      <c r="D17" s="1">
        <f>IF(B17="", "", "human oral metagenome")</f>
        <v>0</v>
      </c>
      <c r="E17" s="1">
        <f>IF(B17="", "", "447426")</f>
        <v>0</v>
      </c>
    </row>
    <row r="18" spans="1:5">
      <c r="A18">
        <f>IF(COUNTBLANK(B18:E18)&lt;&gt;COLUMNS(B18:E18),17,"")</f>
        <v>0</v>
      </c>
      <c r="C18" s="1">
        <f>IF(B18="", "", "human-oral")</f>
        <v>0</v>
      </c>
      <c r="D18" s="1">
        <f>IF(B18="", "", "human oral metagenome")</f>
        <v>0</v>
      </c>
      <c r="E18" s="1">
        <f>IF(B18="", "", "447426")</f>
        <v>0</v>
      </c>
    </row>
    <row r="19" spans="1:5">
      <c r="A19">
        <f>IF(COUNTBLANK(B19:E19)&lt;&gt;COLUMNS(B19:E19),18,"")</f>
        <v>0</v>
      </c>
      <c r="C19" s="1">
        <f>IF(B19="", "", "human-oral")</f>
        <v>0</v>
      </c>
      <c r="D19" s="1">
        <f>IF(B19="", "", "human oral metagenome")</f>
        <v>0</v>
      </c>
      <c r="E19" s="1">
        <f>IF(B19="", "", "447426")</f>
        <v>0</v>
      </c>
    </row>
    <row r="20" spans="1:5">
      <c r="A20">
        <f>IF(COUNTBLANK(B20:E20)&lt;&gt;COLUMNS(B20:E20),19,"")</f>
        <v>0</v>
      </c>
      <c r="C20" s="1">
        <f>IF(B20="", "", "human-oral")</f>
        <v>0</v>
      </c>
      <c r="D20" s="1">
        <f>IF(B20="", "", "human oral metagenome")</f>
        <v>0</v>
      </c>
      <c r="E20" s="1">
        <f>IF(B20="", "", "447426")</f>
        <v>0</v>
      </c>
    </row>
    <row r="21" spans="1:5">
      <c r="A21">
        <f>IF(COUNTBLANK(B21:E21)&lt;&gt;COLUMNS(B21:E21),20,"")</f>
        <v>0</v>
      </c>
      <c r="C21" s="1">
        <f>IF(B21="", "", "human-oral")</f>
        <v>0</v>
      </c>
      <c r="D21" s="1">
        <f>IF(B21="", "", "human oral metagenome")</f>
        <v>0</v>
      </c>
      <c r="E21" s="1">
        <f>IF(B21="", "", "447426")</f>
        <v>0</v>
      </c>
    </row>
    <row r="22" spans="1:5">
      <c r="A22">
        <f>IF(COUNTBLANK(B22:E22)&lt;&gt;COLUMNS(B22:E22),21,"")</f>
        <v>0</v>
      </c>
      <c r="C22" s="1">
        <f>IF(B22="", "", "human-oral")</f>
        <v>0</v>
      </c>
      <c r="D22" s="1">
        <f>IF(B22="", "", "human oral metagenome")</f>
        <v>0</v>
      </c>
      <c r="E22" s="1">
        <f>IF(B22="", "", "447426")</f>
        <v>0</v>
      </c>
    </row>
    <row r="23" spans="1:5">
      <c r="A23">
        <f>IF(COUNTBLANK(B23:E23)&lt;&gt;COLUMNS(B23:E23),22,"")</f>
        <v>0</v>
      </c>
      <c r="C23" s="1">
        <f>IF(B23="", "", "human-oral")</f>
        <v>0</v>
      </c>
      <c r="D23" s="1">
        <f>IF(B23="", "", "human oral metagenome")</f>
        <v>0</v>
      </c>
      <c r="E23" s="1">
        <f>IF(B23="", "", "447426")</f>
        <v>0</v>
      </c>
    </row>
    <row r="24" spans="1:5">
      <c r="A24">
        <f>IF(COUNTBLANK(B24:E24)&lt;&gt;COLUMNS(B24:E24),23,"")</f>
        <v>0</v>
      </c>
      <c r="C24" s="1">
        <f>IF(B24="", "", "human-oral")</f>
        <v>0</v>
      </c>
      <c r="D24" s="1">
        <f>IF(B24="", "", "human oral metagenome")</f>
        <v>0</v>
      </c>
      <c r="E24" s="1">
        <f>IF(B24="", "", "447426")</f>
        <v>0</v>
      </c>
    </row>
    <row r="25" spans="1:5">
      <c r="A25">
        <f>IF(COUNTBLANK(B25:E25)&lt;&gt;COLUMNS(B25:E25),24,"")</f>
        <v>0</v>
      </c>
      <c r="C25" s="1">
        <f>IF(B25="", "", "human-oral")</f>
        <v>0</v>
      </c>
      <c r="D25" s="1">
        <f>IF(B25="", "", "human oral metagenome")</f>
        <v>0</v>
      </c>
      <c r="E25" s="1">
        <f>IF(B25="", "", "447426")</f>
        <v>0</v>
      </c>
    </row>
    <row r="26" spans="1:5">
      <c r="A26">
        <f>IF(COUNTBLANK(B26:E26)&lt;&gt;COLUMNS(B26:E26),25,"")</f>
        <v>0</v>
      </c>
      <c r="C26" s="1">
        <f>IF(B26="", "", "human-oral")</f>
        <v>0</v>
      </c>
      <c r="D26" s="1">
        <f>IF(B26="", "", "human oral metagenome")</f>
        <v>0</v>
      </c>
      <c r="E26" s="1">
        <f>IF(B26="", "", "447426")</f>
        <v>0</v>
      </c>
    </row>
    <row r="27" spans="1:5">
      <c r="A27">
        <f>IF(COUNTBLANK(B27:E27)&lt;&gt;COLUMNS(B27:E27),26,"")</f>
        <v>0</v>
      </c>
      <c r="C27" s="1">
        <f>IF(B27="", "", "human-oral")</f>
        <v>0</v>
      </c>
      <c r="D27" s="1">
        <f>IF(B27="", "", "human oral metagenome")</f>
        <v>0</v>
      </c>
      <c r="E27" s="1">
        <f>IF(B27="", "", "447426")</f>
        <v>0</v>
      </c>
    </row>
    <row r="28" spans="1:5">
      <c r="A28">
        <f>IF(COUNTBLANK(B28:E28)&lt;&gt;COLUMNS(B28:E28),27,"")</f>
        <v>0</v>
      </c>
      <c r="C28" s="1">
        <f>IF(B28="", "", "human-oral")</f>
        <v>0</v>
      </c>
      <c r="D28" s="1">
        <f>IF(B28="", "", "human oral metagenome")</f>
        <v>0</v>
      </c>
      <c r="E28" s="1">
        <f>IF(B28="", "", "447426")</f>
        <v>0</v>
      </c>
    </row>
    <row r="29" spans="1:5">
      <c r="A29">
        <f>IF(COUNTBLANK(B29:E29)&lt;&gt;COLUMNS(B29:E29),28,"")</f>
        <v>0</v>
      </c>
      <c r="C29" s="1">
        <f>IF(B29="", "", "human-oral")</f>
        <v>0</v>
      </c>
      <c r="D29" s="1">
        <f>IF(B29="", "", "human oral metagenome")</f>
        <v>0</v>
      </c>
      <c r="E29" s="1">
        <f>IF(B29="", "", "447426")</f>
        <v>0</v>
      </c>
    </row>
    <row r="30" spans="1:5">
      <c r="A30">
        <f>IF(COUNTBLANK(B30:E30)&lt;&gt;COLUMNS(B30:E30),29,"")</f>
        <v>0</v>
      </c>
      <c r="C30" s="1">
        <f>IF(B30="", "", "human-oral")</f>
        <v>0</v>
      </c>
      <c r="D30" s="1">
        <f>IF(B30="", "", "human oral metagenome")</f>
        <v>0</v>
      </c>
      <c r="E30" s="1">
        <f>IF(B30="", "", "447426")</f>
        <v>0</v>
      </c>
    </row>
    <row r="31" spans="1:5">
      <c r="A31">
        <f>IF(COUNTBLANK(B31:E31)&lt;&gt;COLUMNS(B31:E31),30,"")</f>
        <v>0</v>
      </c>
      <c r="C31" s="1">
        <f>IF(B31="", "", "human-oral")</f>
        <v>0</v>
      </c>
      <c r="D31" s="1">
        <f>IF(B31="", "", "human oral metagenome")</f>
        <v>0</v>
      </c>
      <c r="E31" s="1">
        <f>IF(B31="", "", "447426")</f>
        <v>0</v>
      </c>
    </row>
    <row r="32" spans="1:5">
      <c r="A32">
        <f>IF(COUNTBLANK(B32:E32)&lt;&gt;COLUMNS(B32:E32),31,"")</f>
        <v>0</v>
      </c>
      <c r="C32" s="1">
        <f>IF(B32="", "", "human-oral")</f>
        <v>0</v>
      </c>
      <c r="D32" s="1">
        <f>IF(B32="", "", "human oral metagenome")</f>
        <v>0</v>
      </c>
      <c r="E32" s="1">
        <f>IF(B32="", "", "447426")</f>
        <v>0</v>
      </c>
    </row>
    <row r="33" spans="1:5">
      <c r="A33">
        <f>IF(COUNTBLANK(B33:E33)&lt;&gt;COLUMNS(B33:E33),32,"")</f>
        <v>0</v>
      </c>
      <c r="C33" s="1">
        <f>IF(B33="", "", "human-oral")</f>
        <v>0</v>
      </c>
      <c r="D33" s="1">
        <f>IF(B33="", "", "human oral metagenome")</f>
        <v>0</v>
      </c>
      <c r="E33" s="1">
        <f>IF(B33="", "", "447426")</f>
        <v>0</v>
      </c>
    </row>
    <row r="34" spans="1:5">
      <c r="A34">
        <f>IF(COUNTBLANK(B34:E34)&lt;&gt;COLUMNS(B34:E34),33,"")</f>
        <v>0</v>
      </c>
      <c r="C34" s="1">
        <f>IF(B34="", "", "human-oral")</f>
        <v>0</v>
      </c>
      <c r="D34" s="1">
        <f>IF(B34="", "", "human oral metagenome")</f>
        <v>0</v>
      </c>
      <c r="E34" s="1">
        <f>IF(B34="", "", "447426")</f>
        <v>0</v>
      </c>
    </row>
    <row r="35" spans="1:5">
      <c r="A35">
        <f>IF(COUNTBLANK(B35:E35)&lt;&gt;COLUMNS(B35:E35),34,"")</f>
        <v>0</v>
      </c>
      <c r="C35" s="1">
        <f>IF(B35="", "", "human-oral")</f>
        <v>0</v>
      </c>
      <c r="D35" s="1">
        <f>IF(B35="", "", "human oral metagenome")</f>
        <v>0</v>
      </c>
      <c r="E35" s="1">
        <f>IF(B35="", "", "447426")</f>
        <v>0</v>
      </c>
    </row>
    <row r="36" spans="1:5">
      <c r="A36">
        <f>IF(COUNTBLANK(B36:E36)&lt;&gt;COLUMNS(B36:E36),35,"")</f>
        <v>0</v>
      </c>
      <c r="C36" s="1">
        <f>IF(B36="", "", "human-oral")</f>
        <v>0</v>
      </c>
      <c r="D36" s="1">
        <f>IF(B36="", "", "human oral metagenome")</f>
        <v>0</v>
      </c>
      <c r="E36" s="1">
        <f>IF(B36="", "", "447426")</f>
        <v>0</v>
      </c>
    </row>
    <row r="37" spans="1:5">
      <c r="A37">
        <f>IF(COUNTBLANK(B37:E37)&lt;&gt;COLUMNS(B37:E37),36,"")</f>
        <v>0</v>
      </c>
      <c r="C37" s="1">
        <f>IF(B37="", "", "human-oral")</f>
        <v>0</v>
      </c>
      <c r="D37" s="1">
        <f>IF(B37="", "", "human oral metagenome")</f>
        <v>0</v>
      </c>
      <c r="E37" s="1">
        <f>IF(B37="", "", "447426")</f>
        <v>0</v>
      </c>
    </row>
    <row r="38" spans="1:5">
      <c r="A38">
        <f>IF(COUNTBLANK(B38:E38)&lt;&gt;COLUMNS(B38:E38),37,"")</f>
        <v>0</v>
      </c>
      <c r="C38" s="1">
        <f>IF(B38="", "", "human-oral")</f>
        <v>0</v>
      </c>
      <c r="D38" s="1">
        <f>IF(B38="", "", "human oral metagenome")</f>
        <v>0</v>
      </c>
      <c r="E38" s="1">
        <f>IF(B38="", "", "447426")</f>
        <v>0</v>
      </c>
    </row>
    <row r="39" spans="1:5">
      <c r="A39">
        <f>IF(COUNTBLANK(B39:E39)&lt;&gt;COLUMNS(B39:E39),38,"")</f>
        <v>0</v>
      </c>
      <c r="C39" s="1">
        <f>IF(B39="", "", "human-oral")</f>
        <v>0</v>
      </c>
      <c r="D39" s="1">
        <f>IF(B39="", "", "human oral metagenome")</f>
        <v>0</v>
      </c>
      <c r="E39" s="1">
        <f>IF(B39="", "", "447426")</f>
        <v>0</v>
      </c>
    </row>
    <row r="40" spans="1:5">
      <c r="A40">
        <f>IF(COUNTBLANK(B40:E40)&lt;&gt;COLUMNS(B40:E40),39,"")</f>
        <v>0</v>
      </c>
      <c r="C40" s="1">
        <f>IF(B40="", "", "human-oral")</f>
        <v>0</v>
      </c>
      <c r="D40" s="1">
        <f>IF(B40="", "", "human oral metagenome")</f>
        <v>0</v>
      </c>
      <c r="E40" s="1">
        <f>IF(B40="", "", "447426")</f>
        <v>0</v>
      </c>
    </row>
    <row r="41" spans="1:5">
      <c r="A41">
        <f>IF(COUNTBLANK(B41:E41)&lt;&gt;COLUMNS(B41:E41),40,"")</f>
        <v>0</v>
      </c>
      <c r="C41" s="1">
        <f>IF(B41="", "", "human-oral")</f>
        <v>0</v>
      </c>
      <c r="D41" s="1">
        <f>IF(B41="", "", "human oral metagenome")</f>
        <v>0</v>
      </c>
      <c r="E41" s="1">
        <f>IF(B41="", "", "447426")</f>
        <v>0</v>
      </c>
    </row>
    <row r="42" spans="1:5">
      <c r="A42">
        <f>IF(COUNTBLANK(B42:E42)&lt;&gt;COLUMNS(B42:E42),41,"")</f>
        <v>0</v>
      </c>
      <c r="C42" s="1">
        <f>IF(B42="", "", "human-oral")</f>
        <v>0</v>
      </c>
      <c r="D42" s="1">
        <f>IF(B42="", "", "human oral metagenome")</f>
        <v>0</v>
      </c>
      <c r="E42" s="1">
        <f>IF(B42="", "", "447426")</f>
        <v>0</v>
      </c>
    </row>
    <row r="43" spans="1:5">
      <c r="A43">
        <f>IF(COUNTBLANK(B43:E43)&lt;&gt;COLUMNS(B43:E43),42,"")</f>
        <v>0</v>
      </c>
      <c r="C43" s="1">
        <f>IF(B43="", "", "human-oral")</f>
        <v>0</v>
      </c>
      <c r="D43" s="1">
        <f>IF(B43="", "", "human oral metagenome")</f>
        <v>0</v>
      </c>
      <c r="E43" s="1">
        <f>IF(B43="", "", "447426")</f>
        <v>0</v>
      </c>
    </row>
    <row r="44" spans="1:5">
      <c r="A44">
        <f>IF(COUNTBLANK(B44:E44)&lt;&gt;COLUMNS(B44:E44),43,"")</f>
        <v>0</v>
      </c>
      <c r="C44" s="1">
        <f>IF(B44="", "", "human-oral")</f>
        <v>0</v>
      </c>
      <c r="D44" s="1">
        <f>IF(B44="", "", "human oral metagenome")</f>
        <v>0</v>
      </c>
      <c r="E44" s="1">
        <f>IF(B44="", "", "447426")</f>
        <v>0</v>
      </c>
    </row>
    <row r="45" spans="1:5">
      <c r="A45">
        <f>IF(COUNTBLANK(B45:E45)&lt;&gt;COLUMNS(B45:E45),44,"")</f>
        <v>0</v>
      </c>
      <c r="C45" s="1">
        <f>IF(B45="", "", "human-oral")</f>
        <v>0</v>
      </c>
      <c r="D45" s="1">
        <f>IF(B45="", "", "human oral metagenome")</f>
        <v>0</v>
      </c>
      <c r="E45" s="1">
        <f>IF(B45="", "", "447426")</f>
        <v>0</v>
      </c>
    </row>
    <row r="46" spans="1:5">
      <c r="A46">
        <f>IF(COUNTBLANK(B46:E46)&lt;&gt;COLUMNS(B46:E46),45,"")</f>
        <v>0</v>
      </c>
      <c r="C46" s="1">
        <f>IF(B46="", "", "human-oral")</f>
        <v>0</v>
      </c>
      <c r="D46" s="1">
        <f>IF(B46="", "", "human oral metagenome")</f>
        <v>0</v>
      </c>
      <c r="E46" s="1">
        <f>IF(B46="", "", "447426")</f>
        <v>0</v>
      </c>
    </row>
    <row r="47" spans="1:5">
      <c r="A47">
        <f>IF(COUNTBLANK(B47:E47)&lt;&gt;COLUMNS(B47:E47),46,"")</f>
        <v>0</v>
      </c>
      <c r="C47" s="1">
        <f>IF(B47="", "", "human-oral")</f>
        <v>0</v>
      </c>
      <c r="D47" s="1">
        <f>IF(B47="", "", "human oral metagenome")</f>
        <v>0</v>
      </c>
      <c r="E47" s="1">
        <f>IF(B47="", "", "447426")</f>
        <v>0</v>
      </c>
    </row>
    <row r="48" spans="1:5">
      <c r="A48">
        <f>IF(COUNTBLANK(B48:E48)&lt;&gt;COLUMNS(B48:E48),47,"")</f>
        <v>0</v>
      </c>
      <c r="C48" s="1">
        <f>IF(B48="", "", "human-oral")</f>
        <v>0</v>
      </c>
      <c r="D48" s="1">
        <f>IF(B48="", "", "human oral metagenome")</f>
        <v>0</v>
      </c>
      <c r="E48" s="1">
        <f>IF(B48="", "", "447426")</f>
        <v>0</v>
      </c>
    </row>
    <row r="49" spans="1:5">
      <c r="A49">
        <f>IF(COUNTBLANK(B49:E49)&lt;&gt;COLUMNS(B49:E49),48,"")</f>
        <v>0</v>
      </c>
      <c r="C49" s="1">
        <f>IF(B49="", "", "human-oral")</f>
        <v>0</v>
      </c>
      <c r="D49" s="1">
        <f>IF(B49="", "", "human oral metagenome")</f>
        <v>0</v>
      </c>
      <c r="E49" s="1">
        <f>IF(B49="", "", "447426")</f>
        <v>0</v>
      </c>
    </row>
    <row r="50" spans="1:5">
      <c r="A50">
        <f>IF(COUNTBLANK(B50:E50)&lt;&gt;COLUMNS(B50:E50),49,"")</f>
        <v>0</v>
      </c>
      <c r="C50" s="1">
        <f>IF(B50="", "", "human-oral")</f>
        <v>0</v>
      </c>
      <c r="D50" s="1">
        <f>IF(B50="", "", "human oral metagenome")</f>
        <v>0</v>
      </c>
      <c r="E50" s="1">
        <f>IF(B50="", "", "447426")</f>
        <v>0</v>
      </c>
    </row>
    <row r="51" spans="1:5">
      <c r="A51">
        <f>IF(COUNTBLANK(B51:E51)&lt;&gt;COLUMNS(B51:E51),50,"")</f>
        <v>0</v>
      </c>
      <c r="C51" s="1">
        <f>IF(B51="", "", "human-oral")</f>
        <v>0</v>
      </c>
      <c r="D51" s="1">
        <f>IF(B51="", "", "human oral metagenome")</f>
        <v>0</v>
      </c>
      <c r="E51" s="1">
        <f>IF(B51="", "", "447426")</f>
        <v>0</v>
      </c>
    </row>
    <row r="52" spans="1:5">
      <c r="A52">
        <f>IF(COUNTBLANK(B52:E52)&lt;&gt;COLUMNS(B52:E52),51,"")</f>
        <v>0</v>
      </c>
      <c r="C52" s="1">
        <f>IF(B52="", "", "human-oral")</f>
        <v>0</v>
      </c>
      <c r="D52" s="1">
        <f>IF(B52="", "", "human oral metagenome")</f>
        <v>0</v>
      </c>
      <c r="E52" s="1">
        <f>IF(B52="", "", "447426")</f>
        <v>0</v>
      </c>
    </row>
    <row r="53" spans="1:5">
      <c r="A53">
        <f>IF(COUNTBLANK(B53:E53)&lt;&gt;COLUMNS(B53:E53),52,"")</f>
        <v>0</v>
      </c>
      <c r="C53" s="1">
        <f>IF(B53="", "", "human-oral")</f>
        <v>0</v>
      </c>
      <c r="D53" s="1">
        <f>IF(B53="", "", "human oral metagenome")</f>
        <v>0</v>
      </c>
      <c r="E53" s="1">
        <f>IF(B53="", "", "447426")</f>
        <v>0</v>
      </c>
    </row>
    <row r="54" spans="1:5">
      <c r="A54">
        <f>IF(COUNTBLANK(B54:E54)&lt;&gt;COLUMNS(B54:E54),53,"")</f>
        <v>0</v>
      </c>
      <c r="C54" s="1">
        <f>IF(B54="", "", "human-oral")</f>
        <v>0</v>
      </c>
      <c r="D54" s="1">
        <f>IF(B54="", "", "human oral metagenome")</f>
        <v>0</v>
      </c>
      <c r="E54" s="1">
        <f>IF(B54="", "", "447426")</f>
        <v>0</v>
      </c>
    </row>
    <row r="55" spans="1:5">
      <c r="A55">
        <f>IF(COUNTBLANK(B55:E55)&lt;&gt;COLUMNS(B55:E55),54,"")</f>
        <v>0</v>
      </c>
      <c r="C55" s="1">
        <f>IF(B55="", "", "human-oral")</f>
        <v>0</v>
      </c>
      <c r="D55" s="1">
        <f>IF(B55="", "", "human oral metagenome")</f>
        <v>0</v>
      </c>
      <c r="E55" s="1">
        <f>IF(B55="", "", "447426")</f>
        <v>0</v>
      </c>
    </row>
    <row r="56" spans="1:5">
      <c r="A56">
        <f>IF(COUNTBLANK(B56:E56)&lt;&gt;COLUMNS(B56:E56),55,"")</f>
        <v>0</v>
      </c>
      <c r="C56" s="1">
        <f>IF(B56="", "", "human-oral")</f>
        <v>0</v>
      </c>
      <c r="D56" s="1">
        <f>IF(B56="", "", "human oral metagenome")</f>
        <v>0</v>
      </c>
      <c r="E56" s="1">
        <f>IF(B56="", "", "447426")</f>
        <v>0</v>
      </c>
    </row>
    <row r="57" spans="1:5">
      <c r="A57">
        <f>IF(COUNTBLANK(B57:E57)&lt;&gt;COLUMNS(B57:E57),56,"")</f>
        <v>0</v>
      </c>
      <c r="C57" s="1">
        <f>IF(B57="", "", "human-oral")</f>
        <v>0</v>
      </c>
      <c r="D57" s="1">
        <f>IF(B57="", "", "human oral metagenome")</f>
        <v>0</v>
      </c>
      <c r="E57" s="1">
        <f>IF(B57="", "", "447426")</f>
        <v>0</v>
      </c>
    </row>
    <row r="58" spans="1:5">
      <c r="A58">
        <f>IF(COUNTBLANK(B58:E58)&lt;&gt;COLUMNS(B58:E58),57,"")</f>
        <v>0</v>
      </c>
      <c r="C58" s="1">
        <f>IF(B58="", "", "human-oral")</f>
        <v>0</v>
      </c>
      <c r="D58" s="1">
        <f>IF(B58="", "", "human oral metagenome")</f>
        <v>0</v>
      </c>
      <c r="E58" s="1">
        <f>IF(B58="", "", "447426")</f>
        <v>0</v>
      </c>
    </row>
    <row r="59" spans="1:5">
      <c r="A59">
        <f>IF(COUNTBLANK(B59:E59)&lt;&gt;COLUMNS(B59:E59),58,"")</f>
        <v>0</v>
      </c>
      <c r="C59" s="1">
        <f>IF(B59="", "", "human-oral")</f>
        <v>0</v>
      </c>
      <c r="D59" s="1">
        <f>IF(B59="", "", "human oral metagenome")</f>
        <v>0</v>
      </c>
      <c r="E59" s="1">
        <f>IF(B59="", "", "447426")</f>
        <v>0</v>
      </c>
    </row>
    <row r="60" spans="1:5">
      <c r="A60">
        <f>IF(COUNTBLANK(B60:E60)&lt;&gt;COLUMNS(B60:E60),59,"")</f>
        <v>0</v>
      </c>
      <c r="C60" s="1">
        <f>IF(B60="", "", "human-oral")</f>
        <v>0</v>
      </c>
      <c r="D60" s="1">
        <f>IF(B60="", "", "human oral metagenome")</f>
        <v>0</v>
      </c>
      <c r="E60" s="1">
        <f>IF(B60="", "", "447426")</f>
        <v>0</v>
      </c>
    </row>
    <row r="61" spans="1:5">
      <c r="A61">
        <f>IF(COUNTBLANK(B61:E61)&lt;&gt;COLUMNS(B61:E61),60,"")</f>
        <v>0</v>
      </c>
      <c r="C61" s="1">
        <f>IF(B61="", "", "human-oral")</f>
        <v>0</v>
      </c>
      <c r="D61" s="1">
        <f>IF(B61="", "", "human oral metagenome")</f>
        <v>0</v>
      </c>
      <c r="E61" s="1">
        <f>IF(B61="", "", "447426")</f>
        <v>0</v>
      </c>
    </row>
    <row r="62" spans="1:5">
      <c r="A62">
        <f>IF(COUNTBLANK(B62:E62)&lt;&gt;COLUMNS(B62:E62),61,"")</f>
        <v>0</v>
      </c>
      <c r="C62" s="1">
        <f>IF(B62="", "", "human-oral")</f>
        <v>0</v>
      </c>
      <c r="D62" s="1">
        <f>IF(B62="", "", "human oral metagenome")</f>
        <v>0</v>
      </c>
      <c r="E62" s="1">
        <f>IF(B62="", "", "447426")</f>
        <v>0</v>
      </c>
    </row>
    <row r="63" spans="1:5">
      <c r="A63">
        <f>IF(COUNTBLANK(B63:E63)&lt;&gt;COLUMNS(B63:E63),62,"")</f>
        <v>0</v>
      </c>
      <c r="C63" s="1">
        <f>IF(B63="", "", "human-oral")</f>
        <v>0</v>
      </c>
      <c r="D63" s="1">
        <f>IF(B63="", "", "human oral metagenome")</f>
        <v>0</v>
      </c>
      <c r="E63" s="1">
        <f>IF(B63="", "", "447426")</f>
        <v>0</v>
      </c>
    </row>
    <row r="64" spans="1:5">
      <c r="A64">
        <f>IF(COUNTBLANK(B64:E64)&lt;&gt;COLUMNS(B64:E64),63,"")</f>
        <v>0</v>
      </c>
      <c r="C64" s="1">
        <f>IF(B64="", "", "human-oral")</f>
        <v>0</v>
      </c>
      <c r="D64" s="1">
        <f>IF(B64="", "", "human oral metagenome")</f>
        <v>0</v>
      </c>
      <c r="E64" s="1">
        <f>IF(B64="", "", "447426")</f>
        <v>0</v>
      </c>
    </row>
    <row r="65" spans="1:5">
      <c r="A65">
        <f>IF(COUNTBLANK(B65:E65)&lt;&gt;COLUMNS(B65:E65),64,"")</f>
        <v>0</v>
      </c>
      <c r="C65" s="1">
        <f>IF(B65="", "", "human-oral")</f>
        <v>0</v>
      </c>
      <c r="D65" s="1">
        <f>IF(B65="", "", "human oral metagenome")</f>
        <v>0</v>
      </c>
      <c r="E65" s="1">
        <f>IF(B65="", "", "447426")</f>
        <v>0</v>
      </c>
    </row>
    <row r="66" spans="1:5">
      <c r="A66">
        <f>IF(COUNTBLANK(B66:E66)&lt;&gt;COLUMNS(B66:E66),65,"")</f>
        <v>0</v>
      </c>
      <c r="C66" s="1">
        <f>IF(B66="", "", "human-oral")</f>
        <v>0</v>
      </c>
      <c r="D66" s="1">
        <f>IF(B66="", "", "human oral metagenome")</f>
        <v>0</v>
      </c>
      <c r="E66" s="1">
        <f>IF(B66="", "", "447426")</f>
        <v>0</v>
      </c>
    </row>
    <row r="67" spans="1:5">
      <c r="A67">
        <f>IF(COUNTBLANK(B67:E67)&lt;&gt;COLUMNS(B67:E67),66,"")</f>
        <v>0</v>
      </c>
      <c r="C67" s="1">
        <f>IF(B67="", "", "human-oral")</f>
        <v>0</v>
      </c>
      <c r="D67" s="1">
        <f>IF(B67="", "", "human oral metagenome")</f>
        <v>0</v>
      </c>
      <c r="E67" s="1">
        <f>IF(B67="", "", "447426")</f>
        <v>0</v>
      </c>
    </row>
    <row r="68" spans="1:5">
      <c r="A68">
        <f>IF(COUNTBLANK(B68:E68)&lt;&gt;COLUMNS(B68:E68),67,"")</f>
        <v>0</v>
      </c>
      <c r="C68" s="1">
        <f>IF(B68="", "", "human-oral")</f>
        <v>0</v>
      </c>
      <c r="D68" s="1">
        <f>IF(B68="", "", "human oral metagenome")</f>
        <v>0</v>
      </c>
      <c r="E68" s="1">
        <f>IF(B68="", "", "447426")</f>
        <v>0</v>
      </c>
    </row>
    <row r="69" spans="1:5">
      <c r="A69">
        <f>IF(COUNTBLANK(B69:E69)&lt;&gt;COLUMNS(B69:E69),68,"")</f>
        <v>0</v>
      </c>
      <c r="C69" s="1">
        <f>IF(B69="", "", "human-oral")</f>
        <v>0</v>
      </c>
      <c r="D69" s="1">
        <f>IF(B69="", "", "human oral metagenome")</f>
        <v>0</v>
      </c>
      <c r="E69" s="1">
        <f>IF(B69="", "", "447426")</f>
        <v>0</v>
      </c>
    </row>
    <row r="70" spans="1:5">
      <c r="A70">
        <f>IF(COUNTBLANK(B70:E70)&lt;&gt;COLUMNS(B70:E70),69,"")</f>
        <v>0</v>
      </c>
      <c r="C70" s="1">
        <f>IF(B70="", "", "human-oral")</f>
        <v>0</v>
      </c>
      <c r="D70" s="1">
        <f>IF(B70="", "", "human oral metagenome")</f>
        <v>0</v>
      </c>
      <c r="E70" s="1">
        <f>IF(B70="", "", "447426")</f>
        <v>0</v>
      </c>
    </row>
    <row r="71" spans="1:5">
      <c r="A71">
        <f>IF(COUNTBLANK(B71:E71)&lt;&gt;COLUMNS(B71:E71),70,"")</f>
        <v>0</v>
      </c>
      <c r="C71" s="1">
        <f>IF(B71="", "", "human-oral")</f>
        <v>0</v>
      </c>
      <c r="D71" s="1">
        <f>IF(B71="", "", "human oral metagenome")</f>
        <v>0</v>
      </c>
      <c r="E71" s="1">
        <f>IF(B71="", "", "447426")</f>
        <v>0</v>
      </c>
    </row>
    <row r="72" spans="1:5">
      <c r="A72">
        <f>IF(COUNTBLANK(B72:E72)&lt;&gt;COLUMNS(B72:E72),71,"")</f>
        <v>0</v>
      </c>
      <c r="C72" s="1">
        <f>IF(B72="", "", "human-oral")</f>
        <v>0</v>
      </c>
      <c r="D72" s="1">
        <f>IF(B72="", "", "human oral metagenome")</f>
        <v>0</v>
      </c>
      <c r="E72" s="1">
        <f>IF(B72="", "", "447426")</f>
        <v>0</v>
      </c>
    </row>
    <row r="73" spans="1:5">
      <c r="A73">
        <f>IF(COUNTBLANK(B73:E73)&lt;&gt;COLUMNS(B73:E73),72,"")</f>
        <v>0</v>
      </c>
      <c r="C73" s="1">
        <f>IF(B73="", "", "human-oral")</f>
        <v>0</v>
      </c>
      <c r="D73" s="1">
        <f>IF(B73="", "", "human oral metagenome")</f>
        <v>0</v>
      </c>
      <c r="E73" s="1">
        <f>IF(B73="", "", "447426")</f>
        <v>0</v>
      </c>
    </row>
    <row r="74" spans="1:5">
      <c r="A74">
        <f>IF(COUNTBLANK(B74:E74)&lt;&gt;COLUMNS(B74:E74),73,"")</f>
        <v>0</v>
      </c>
      <c r="C74" s="1">
        <f>IF(B74="", "", "human-oral")</f>
        <v>0</v>
      </c>
      <c r="D74" s="1">
        <f>IF(B74="", "", "human oral metagenome")</f>
        <v>0</v>
      </c>
      <c r="E74" s="1">
        <f>IF(B74="", "", "447426")</f>
        <v>0</v>
      </c>
    </row>
    <row r="75" spans="1:5">
      <c r="A75">
        <f>IF(COUNTBLANK(B75:E75)&lt;&gt;COLUMNS(B75:E75),74,"")</f>
        <v>0</v>
      </c>
      <c r="C75" s="1">
        <f>IF(B75="", "", "human-oral")</f>
        <v>0</v>
      </c>
      <c r="D75" s="1">
        <f>IF(B75="", "", "human oral metagenome")</f>
        <v>0</v>
      </c>
      <c r="E75" s="1">
        <f>IF(B75="", "", "447426")</f>
        <v>0</v>
      </c>
    </row>
    <row r="76" spans="1:5">
      <c r="A76">
        <f>IF(COUNTBLANK(B76:E76)&lt;&gt;COLUMNS(B76:E76),75,"")</f>
        <v>0</v>
      </c>
      <c r="C76" s="1">
        <f>IF(B76="", "", "human-oral")</f>
        <v>0</v>
      </c>
      <c r="D76" s="1">
        <f>IF(B76="", "", "human oral metagenome")</f>
        <v>0</v>
      </c>
      <c r="E76" s="1">
        <f>IF(B76="", "", "447426")</f>
        <v>0</v>
      </c>
    </row>
    <row r="77" spans="1:5">
      <c r="A77">
        <f>IF(COUNTBLANK(B77:E77)&lt;&gt;COLUMNS(B77:E77),76,"")</f>
        <v>0</v>
      </c>
      <c r="C77" s="1">
        <f>IF(B77="", "", "human-oral")</f>
        <v>0</v>
      </c>
      <c r="D77" s="1">
        <f>IF(B77="", "", "human oral metagenome")</f>
        <v>0</v>
      </c>
      <c r="E77" s="1">
        <f>IF(B77="", "", "447426")</f>
        <v>0</v>
      </c>
    </row>
    <row r="78" spans="1:5">
      <c r="A78">
        <f>IF(COUNTBLANK(B78:E78)&lt;&gt;COLUMNS(B78:E78),77,"")</f>
        <v>0</v>
      </c>
      <c r="C78" s="1">
        <f>IF(B78="", "", "human-oral")</f>
        <v>0</v>
      </c>
      <c r="D78" s="1">
        <f>IF(B78="", "", "human oral metagenome")</f>
        <v>0</v>
      </c>
      <c r="E78" s="1">
        <f>IF(B78="", "", "447426")</f>
        <v>0</v>
      </c>
    </row>
    <row r="79" spans="1:5">
      <c r="A79">
        <f>IF(COUNTBLANK(B79:E79)&lt;&gt;COLUMNS(B79:E79),78,"")</f>
        <v>0</v>
      </c>
      <c r="C79" s="1">
        <f>IF(B79="", "", "human-oral")</f>
        <v>0</v>
      </c>
      <c r="D79" s="1">
        <f>IF(B79="", "", "human oral metagenome")</f>
        <v>0</v>
      </c>
      <c r="E79" s="1">
        <f>IF(B79="", "", "447426")</f>
        <v>0</v>
      </c>
    </row>
    <row r="80" spans="1:5">
      <c r="A80">
        <f>IF(COUNTBLANK(B80:E80)&lt;&gt;COLUMNS(B80:E80),79,"")</f>
        <v>0</v>
      </c>
      <c r="C80" s="1">
        <f>IF(B80="", "", "human-oral")</f>
        <v>0</v>
      </c>
      <c r="D80" s="1">
        <f>IF(B80="", "", "human oral metagenome")</f>
        <v>0</v>
      </c>
      <c r="E80" s="1">
        <f>IF(B80="", "", "447426")</f>
        <v>0</v>
      </c>
    </row>
    <row r="81" spans="1:5">
      <c r="A81">
        <f>IF(COUNTBLANK(B81:E81)&lt;&gt;COLUMNS(B81:E81),80,"")</f>
        <v>0</v>
      </c>
      <c r="C81" s="1">
        <f>IF(B81="", "", "human-oral")</f>
        <v>0</v>
      </c>
      <c r="D81" s="1">
        <f>IF(B81="", "", "human oral metagenome")</f>
        <v>0</v>
      </c>
      <c r="E81" s="1">
        <f>IF(B81="", "", "447426")</f>
        <v>0</v>
      </c>
    </row>
    <row r="82" spans="1:5">
      <c r="A82">
        <f>IF(COUNTBLANK(B82:E82)&lt;&gt;COLUMNS(B82:E82),81,"")</f>
        <v>0</v>
      </c>
      <c r="C82" s="1">
        <f>IF(B82="", "", "human-oral")</f>
        <v>0</v>
      </c>
      <c r="D82" s="1">
        <f>IF(B82="", "", "human oral metagenome")</f>
        <v>0</v>
      </c>
      <c r="E82" s="1">
        <f>IF(B82="", "", "447426")</f>
        <v>0</v>
      </c>
    </row>
    <row r="83" spans="1:5">
      <c r="A83">
        <f>IF(COUNTBLANK(B83:E83)&lt;&gt;COLUMNS(B83:E83),82,"")</f>
        <v>0</v>
      </c>
      <c r="C83" s="1">
        <f>IF(B83="", "", "human-oral")</f>
        <v>0</v>
      </c>
      <c r="D83" s="1">
        <f>IF(B83="", "", "human oral metagenome")</f>
        <v>0</v>
      </c>
      <c r="E83" s="1">
        <f>IF(B83="", "", "447426")</f>
        <v>0</v>
      </c>
    </row>
    <row r="84" spans="1:5">
      <c r="A84">
        <f>IF(COUNTBLANK(B84:E84)&lt;&gt;COLUMNS(B84:E84),83,"")</f>
        <v>0</v>
      </c>
      <c r="C84" s="1">
        <f>IF(B84="", "", "human-oral")</f>
        <v>0</v>
      </c>
      <c r="D84" s="1">
        <f>IF(B84="", "", "human oral metagenome")</f>
        <v>0</v>
      </c>
      <c r="E84" s="1">
        <f>IF(B84="", "", "447426")</f>
        <v>0</v>
      </c>
    </row>
    <row r="85" spans="1:5">
      <c r="A85">
        <f>IF(COUNTBLANK(B85:E85)&lt;&gt;COLUMNS(B85:E85),84,"")</f>
        <v>0</v>
      </c>
      <c r="C85" s="1">
        <f>IF(B85="", "", "human-oral")</f>
        <v>0</v>
      </c>
      <c r="D85" s="1">
        <f>IF(B85="", "", "human oral metagenome")</f>
        <v>0</v>
      </c>
      <c r="E85" s="1">
        <f>IF(B85="", "", "447426")</f>
        <v>0</v>
      </c>
    </row>
    <row r="86" spans="1:5">
      <c r="A86">
        <f>IF(COUNTBLANK(B86:E86)&lt;&gt;COLUMNS(B86:E86),85,"")</f>
        <v>0</v>
      </c>
      <c r="C86" s="1">
        <f>IF(B86="", "", "human-oral")</f>
        <v>0</v>
      </c>
      <c r="D86" s="1">
        <f>IF(B86="", "", "human oral metagenome")</f>
        <v>0</v>
      </c>
      <c r="E86" s="1">
        <f>IF(B86="", "", "447426")</f>
        <v>0</v>
      </c>
    </row>
    <row r="87" spans="1:5">
      <c r="A87">
        <f>IF(COUNTBLANK(B87:E87)&lt;&gt;COLUMNS(B87:E87),86,"")</f>
        <v>0</v>
      </c>
      <c r="C87" s="1">
        <f>IF(B87="", "", "human-oral")</f>
        <v>0</v>
      </c>
      <c r="D87" s="1">
        <f>IF(B87="", "", "human oral metagenome")</f>
        <v>0</v>
      </c>
      <c r="E87" s="1">
        <f>IF(B87="", "", "447426")</f>
        <v>0</v>
      </c>
    </row>
    <row r="88" spans="1:5">
      <c r="A88">
        <f>IF(COUNTBLANK(B88:E88)&lt;&gt;COLUMNS(B88:E88),87,"")</f>
        <v>0</v>
      </c>
      <c r="C88" s="1">
        <f>IF(B88="", "", "human-oral")</f>
        <v>0</v>
      </c>
      <c r="D88" s="1">
        <f>IF(B88="", "", "human oral metagenome")</f>
        <v>0</v>
      </c>
      <c r="E88" s="1">
        <f>IF(B88="", "", "447426")</f>
        <v>0</v>
      </c>
    </row>
    <row r="89" spans="1:5">
      <c r="A89">
        <f>IF(COUNTBLANK(B89:E89)&lt;&gt;COLUMNS(B89:E89),88,"")</f>
        <v>0</v>
      </c>
      <c r="C89" s="1">
        <f>IF(B89="", "", "human-oral")</f>
        <v>0</v>
      </c>
      <c r="D89" s="1">
        <f>IF(B89="", "", "human oral metagenome")</f>
        <v>0</v>
      </c>
      <c r="E89" s="1">
        <f>IF(B89="", "", "447426")</f>
        <v>0</v>
      </c>
    </row>
    <row r="90" spans="1:5">
      <c r="A90">
        <f>IF(COUNTBLANK(B90:E90)&lt;&gt;COLUMNS(B90:E90),89,"")</f>
        <v>0</v>
      </c>
      <c r="C90" s="1">
        <f>IF(B90="", "", "human-oral")</f>
        <v>0</v>
      </c>
      <c r="D90" s="1">
        <f>IF(B90="", "", "human oral metagenome")</f>
        <v>0</v>
      </c>
      <c r="E90" s="1">
        <f>IF(B90="", "", "447426")</f>
        <v>0</v>
      </c>
    </row>
    <row r="91" spans="1:5">
      <c r="A91">
        <f>IF(COUNTBLANK(B91:E91)&lt;&gt;COLUMNS(B91:E91),90,"")</f>
        <v>0</v>
      </c>
      <c r="C91" s="1">
        <f>IF(B91="", "", "human-oral")</f>
        <v>0</v>
      </c>
      <c r="D91" s="1">
        <f>IF(B91="", "", "human oral metagenome")</f>
        <v>0</v>
      </c>
      <c r="E91" s="1">
        <f>IF(B91="", "", "447426")</f>
        <v>0</v>
      </c>
    </row>
    <row r="92" spans="1:5">
      <c r="A92">
        <f>IF(COUNTBLANK(B92:E92)&lt;&gt;COLUMNS(B92:E92),91,"")</f>
        <v>0</v>
      </c>
      <c r="C92" s="1">
        <f>IF(B92="", "", "human-oral")</f>
        <v>0</v>
      </c>
      <c r="D92" s="1">
        <f>IF(B92="", "", "human oral metagenome")</f>
        <v>0</v>
      </c>
      <c r="E92" s="1">
        <f>IF(B92="", "", "447426")</f>
        <v>0</v>
      </c>
    </row>
    <row r="93" spans="1:5">
      <c r="A93">
        <f>IF(COUNTBLANK(B93:E93)&lt;&gt;COLUMNS(B93:E93),92,"")</f>
        <v>0</v>
      </c>
      <c r="C93" s="1">
        <f>IF(B93="", "", "human-oral")</f>
        <v>0</v>
      </c>
      <c r="D93" s="1">
        <f>IF(B93="", "", "human oral metagenome")</f>
        <v>0</v>
      </c>
      <c r="E93" s="1">
        <f>IF(B93="", "", "447426")</f>
        <v>0</v>
      </c>
    </row>
    <row r="94" spans="1:5">
      <c r="A94">
        <f>IF(COUNTBLANK(B94:E94)&lt;&gt;COLUMNS(B94:E94),93,"")</f>
        <v>0</v>
      </c>
      <c r="C94" s="1">
        <f>IF(B94="", "", "human-oral")</f>
        <v>0</v>
      </c>
      <c r="D94" s="1">
        <f>IF(B94="", "", "human oral metagenome")</f>
        <v>0</v>
      </c>
      <c r="E94" s="1">
        <f>IF(B94="", "", "447426")</f>
        <v>0</v>
      </c>
    </row>
    <row r="95" spans="1:5">
      <c r="A95">
        <f>IF(COUNTBLANK(B95:E95)&lt;&gt;COLUMNS(B95:E95),94,"")</f>
        <v>0</v>
      </c>
      <c r="C95" s="1">
        <f>IF(B95="", "", "human-oral")</f>
        <v>0</v>
      </c>
      <c r="D95" s="1">
        <f>IF(B95="", "", "human oral metagenome")</f>
        <v>0</v>
      </c>
      <c r="E95" s="1">
        <f>IF(B95="", "", "447426")</f>
        <v>0</v>
      </c>
    </row>
    <row r="96" spans="1:5">
      <c r="A96">
        <f>IF(COUNTBLANK(B96:E96)&lt;&gt;COLUMNS(B96:E96),95,"")</f>
        <v>0</v>
      </c>
      <c r="C96" s="1">
        <f>IF(B96="", "", "human-oral")</f>
        <v>0</v>
      </c>
      <c r="D96" s="1">
        <f>IF(B96="", "", "human oral metagenome")</f>
        <v>0</v>
      </c>
      <c r="E96" s="1">
        <f>IF(B96="", "", "447426")</f>
        <v>0</v>
      </c>
    </row>
    <row r="97" spans="1:5">
      <c r="A97">
        <f>IF(COUNTBLANK(B97:E97)&lt;&gt;COLUMNS(B97:E97),96,"")</f>
        <v>0</v>
      </c>
      <c r="C97" s="1">
        <f>IF(B97="", "", "human-oral")</f>
        <v>0</v>
      </c>
      <c r="D97" s="1">
        <f>IF(B97="", "", "human oral metagenome")</f>
        <v>0</v>
      </c>
      <c r="E97" s="1">
        <f>IF(B97="", "", "447426")</f>
        <v>0</v>
      </c>
    </row>
    <row r="98" spans="1:5">
      <c r="A98">
        <f>IF(COUNTBLANK(B98:E98)&lt;&gt;COLUMNS(B98:E98),97,"")</f>
        <v>0</v>
      </c>
      <c r="C98" s="1">
        <f>IF(B98="", "", "human-oral")</f>
        <v>0</v>
      </c>
      <c r="D98" s="1">
        <f>IF(B98="", "", "human oral metagenome")</f>
        <v>0</v>
      </c>
      <c r="E98" s="1">
        <f>IF(B98="", "", "447426")</f>
        <v>0</v>
      </c>
    </row>
    <row r="99" spans="1:5">
      <c r="A99">
        <f>IF(COUNTBLANK(B99:E99)&lt;&gt;COLUMNS(B99:E99),98,"")</f>
        <v>0</v>
      </c>
      <c r="C99" s="1">
        <f>IF(B99="", "", "human-oral")</f>
        <v>0</v>
      </c>
      <c r="D99" s="1">
        <f>IF(B99="", "", "human oral metagenome")</f>
        <v>0</v>
      </c>
      <c r="E99" s="1">
        <f>IF(B99="", "", "447426")</f>
        <v>0</v>
      </c>
    </row>
    <row r="100" spans="1:5">
      <c r="A100">
        <f>IF(COUNTBLANK(B100:E100)&lt;&gt;COLUMNS(B100:E100),99,"")</f>
        <v>0</v>
      </c>
      <c r="C100" s="1">
        <f>IF(B100="", "", "human-oral")</f>
        <v>0</v>
      </c>
      <c r="D100" s="1">
        <f>IF(B100="", "", "human oral metagenome")</f>
        <v>0</v>
      </c>
      <c r="E100" s="1">
        <f>IF(B100="", "", "447426")</f>
        <v>0</v>
      </c>
    </row>
    <row r="101" spans="1:5">
      <c r="A101">
        <f>IF(COUNTBLANK(B101:E101)&lt;&gt;COLUMNS(B101:E101),100,"")</f>
        <v>0</v>
      </c>
      <c r="C101" s="1">
        <f>IF(B101="", "", "human-oral")</f>
        <v>0</v>
      </c>
      <c r="D101" s="1">
        <f>IF(B101="", "", "human oral metagenome")</f>
        <v>0</v>
      </c>
      <c r="E101" s="1">
        <f>IF(B101="", "", "447426")</f>
        <v>0</v>
      </c>
    </row>
    <row r="102" spans="1:5">
      <c r="A102">
        <f>IF(COUNTBLANK(B102:E102)&lt;&gt;COLUMNS(B102:E102),101,"")</f>
        <v>0</v>
      </c>
      <c r="C102" s="1">
        <f>IF(B102="", "", "human-oral")</f>
        <v>0</v>
      </c>
      <c r="D102" s="1">
        <f>IF(B102="", "", "human oral metagenome")</f>
        <v>0</v>
      </c>
      <c r="E102" s="1">
        <f>IF(B102="", "", "447426")</f>
        <v>0</v>
      </c>
    </row>
    <row r="103" spans="1:5">
      <c r="A103">
        <f>IF(COUNTBLANK(B103:E103)&lt;&gt;COLUMNS(B103:E103),102,"")</f>
        <v>0</v>
      </c>
      <c r="C103" s="1">
        <f>IF(B103="", "", "human-oral")</f>
        <v>0</v>
      </c>
      <c r="D103" s="1">
        <f>IF(B103="", "", "human oral metagenome")</f>
        <v>0</v>
      </c>
      <c r="E103" s="1">
        <f>IF(B103="", "", "447426")</f>
        <v>0</v>
      </c>
    </row>
    <row r="104" spans="1:5">
      <c r="A104">
        <f>IF(COUNTBLANK(B104:E104)&lt;&gt;COLUMNS(B104:E104),103,"")</f>
        <v>0</v>
      </c>
      <c r="C104" s="1">
        <f>IF(B104="", "", "human-oral")</f>
        <v>0</v>
      </c>
      <c r="D104" s="1">
        <f>IF(B104="", "", "human oral metagenome")</f>
        <v>0</v>
      </c>
      <c r="E104" s="1">
        <f>IF(B104="", "", "447426")</f>
        <v>0</v>
      </c>
    </row>
    <row r="105" spans="1:5">
      <c r="A105">
        <f>IF(COUNTBLANK(B105:E105)&lt;&gt;COLUMNS(B105:E105),104,"")</f>
        <v>0</v>
      </c>
      <c r="C105" s="1">
        <f>IF(B105="", "", "human-oral")</f>
        <v>0</v>
      </c>
      <c r="D105" s="1">
        <f>IF(B105="", "", "human oral metagenome")</f>
        <v>0</v>
      </c>
      <c r="E105" s="1">
        <f>IF(B105="", "", "447426")</f>
        <v>0</v>
      </c>
    </row>
    <row r="106" spans="1:5">
      <c r="A106">
        <f>IF(COUNTBLANK(B106:E106)&lt;&gt;COLUMNS(B106:E106),105,"")</f>
        <v>0</v>
      </c>
      <c r="C106" s="1">
        <f>IF(B106="", "", "human-oral")</f>
        <v>0</v>
      </c>
      <c r="D106" s="1">
        <f>IF(B106="", "", "human oral metagenome")</f>
        <v>0</v>
      </c>
      <c r="E106" s="1">
        <f>IF(B106="", "", "447426")</f>
        <v>0</v>
      </c>
    </row>
    <row r="107" spans="1:5">
      <c r="A107">
        <f>IF(COUNTBLANK(B107:E107)&lt;&gt;COLUMNS(B107:E107),106,"")</f>
        <v>0</v>
      </c>
      <c r="C107" s="1">
        <f>IF(B107="", "", "human-oral")</f>
        <v>0</v>
      </c>
      <c r="D107" s="1">
        <f>IF(B107="", "", "human oral metagenome")</f>
        <v>0</v>
      </c>
      <c r="E107" s="1">
        <f>IF(B107="", "", "447426")</f>
        <v>0</v>
      </c>
    </row>
    <row r="108" spans="1:5">
      <c r="A108">
        <f>IF(COUNTBLANK(B108:E108)&lt;&gt;COLUMNS(B108:E108),107,"")</f>
        <v>0</v>
      </c>
      <c r="C108" s="1">
        <f>IF(B108="", "", "human-oral")</f>
        <v>0</v>
      </c>
      <c r="D108" s="1">
        <f>IF(B108="", "", "human oral metagenome")</f>
        <v>0</v>
      </c>
      <c r="E108" s="1">
        <f>IF(B108="", "", "447426")</f>
        <v>0</v>
      </c>
    </row>
    <row r="109" spans="1:5">
      <c r="A109">
        <f>IF(COUNTBLANK(B109:E109)&lt;&gt;COLUMNS(B109:E109),108,"")</f>
        <v>0</v>
      </c>
      <c r="C109" s="1">
        <f>IF(B109="", "", "human-oral")</f>
        <v>0</v>
      </c>
      <c r="D109" s="1">
        <f>IF(B109="", "", "human oral metagenome")</f>
        <v>0</v>
      </c>
      <c r="E109" s="1">
        <f>IF(B109="", "", "447426")</f>
        <v>0</v>
      </c>
    </row>
    <row r="110" spans="1:5">
      <c r="A110">
        <f>IF(COUNTBLANK(B110:E110)&lt;&gt;COLUMNS(B110:E110),109,"")</f>
        <v>0</v>
      </c>
      <c r="C110" s="1">
        <f>IF(B110="", "", "human-oral")</f>
        <v>0</v>
      </c>
      <c r="D110" s="1">
        <f>IF(B110="", "", "human oral metagenome")</f>
        <v>0</v>
      </c>
      <c r="E110" s="1">
        <f>IF(B110="", "", "447426")</f>
        <v>0</v>
      </c>
    </row>
    <row r="111" spans="1:5">
      <c r="A111">
        <f>IF(COUNTBLANK(B111:E111)&lt;&gt;COLUMNS(B111:E111),110,"")</f>
        <v>0</v>
      </c>
      <c r="C111" s="1">
        <f>IF(B111="", "", "human-oral")</f>
        <v>0</v>
      </c>
      <c r="D111" s="1">
        <f>IF(B111="", "", "human oral metagenome")</f>
        <v>0</v>
      </c>
      <c r="E111" s="1">
        <f>IF(B111="", "", "447426")</f>
        <v>0</v>
      </c>
    </row>
    <row r="112" spans="1:5">
      <c r="A112">
        <f>IF(COUNTBLANK(B112:E112)&lt;&gt;COLUMNS(B112:E112),111,"")</f>
        <v>0</v>
      </c>
      <c r="C112" s="1">
        <f>IF(B112="", "", "human-oral")</f>
        <v>0</v>
      </c>
      <c r="D112" s="1">
        <f>IF(B112="", "", "human oral metagenome")</f>
        <v>0</v>
      </c>
      <c r="E112" s="1">
        <f>IF(B112="", "", "447426")</f>
        <v>0</v>
      </c>
    </row>
    <row r="113" spans="1:5">
      <c r="A113">
        <f>IF(COUNTBLANK(B113:E113)&lt;&gt;COLUMNS(B113:E113),112,"")</f>
        <v>0</v>
      </c>
      <c r="C113" s="1">
        <f>IF(B113="", "", "human-oral")</f>
        <v>0</v>
      </c>
      <c r="D113" s="1">
        <f>IF(B113="", "", "human oral metagenome")</f>
        <v>0</v>
      </c>
      <c r="E113" s="1">
        <f>IF(B113="", "", "447426")</f>
        <v>0</v>
      </c>
    </row>
    <row r="114" spans="1:5">
      <c r="A114">
        <f>IF(COUNTBLANK(B114:E114)&lt;&gt;COLUMNS(B114:E114),113,"")</f>
        <v>0</v>
      </c>
      <c r="C114" s="1">
        <f>IF(B114="", "", "human-oral")</f>
        <v>0</v>
      </c>
      <c r="D114" s="1">
        <f>IF(B114="", "", "human oral metagenome")</f>
        <v>0</v>
      </c>
      <c r="E114" s="1">
        <f>IF(B114="", "", "447426")</f>
        <v>0</v>
      </c>
    </row>
    <row r="115" spans="1:5">
      <c r="A115">
        <f>IF(COUNTBLANK(B115:E115)&lt;&gt;COLUMNS(B115:E115),114,"")</f>
        <v>0</v>
      </c>
      <c r="C115" s="1">
        <f>IF(B115="", "", "human-oral")</f>
        <v>0</v>
      </c>
      <c r="D115" s="1">
        <f>IF(B115="", "", "human oral metagenome")</f>
        <v>0</v>
      </c>
      <c r="E115" s="1">
        <f>IF(B115="", "", "447426")</f>
        <v>0</v>
      </c>
    </row>
    <row r="116" spans="1:5">
      <c r="A116">
        <f>IF(COUNTBLANK(B116:E116)&lt;&gt;COLUMNS(B116:E116),115,"")</f>
        <v>0</v>
      </c>
      <c r="C116" s="1">
        <f>IF(B116="", "", "human-oral")</f>
        <v>0</v>
      </c>
      <c r="D116" s="1">
        <f>IF(B116="", "", "human oral metagenome")</f>
        <v>0</v>
      </c>
      <c r="E116" s="1">
        <f>IF(B116="", "", "447426")</f>
        <v>0</v>
      </c>
    </row>
    <row r="117" spans="1:5">
      <c r="A117">
        <f>IF(COUNTBLANK(B117:E117)&lt;&gt;COLUMNS(B117:E117),116,"")</f>
        <v>0</v>
      </c>
      <c r="C117" s="1">
        <f>IF(B117="", "", "human-oral")</f>
        <v>0</v>
      </c>
      <c r="D117" s="1">
        <f>IF(B117="", "", "human oral metagenome")</f>
        <v>0</v>
      </c>
      <c r="E117" s="1">
        <f>IF(B117="", "", "447426")</f>
        <v>0</v>
      </c>
    </row>
    <row r="118" spans="1:5">
      <c r="A118">
        <f>IF(COUNTBLANK(B118:E118)&lt;&gt;COLUMNS(B118:E118),117,"")</f>
        <v>0</v>
      </c>
      <c r="C118" s="1">
        <f>IF(B118="", "", "human-oral")</f>
        <v>0</v>
      </c>
      <c r="D118" s="1">
        <f>IF(B118="", "", "human oral metagenome")</f>
        <v>0</v>
      </c>
      <c r="E118" s="1">
        <f>IF(B118="", "", "447426")</f>
        <v>0</v>
      </c>
    </row>
    <row r="119" spans="1:5">
      <c r="A119">
        <f>IF(COUNTBLANK(B119:E119)&lt;&gt;COLUMNS(B119:E119),118,"")</f>
        <v>0</v>
      </c>
      <c r="C119" s="1">
        <f>IF(B119="", "", "human-oral")</f>
        <v>0</v>
      </c>
      <c r="D119" s="1">
        <f>IF(B119="", "", "human oral metagenome")</f>
        <v>0</v>
      </c>
      <c r="E119" s="1">
        <f>IF(B119="", "", "447426")</f>
        <v>0</v>
      </c>
    </row>
    <row r="120" spans="1:5">
      <c r="A120">
        <f>IF(COUNTBLANK(B120:E120)&lt;&gt;COLUMNS(B120:E120),119,"")</f>
        <v>0</v>
      </c>
      <c r="C120" s="1">
        <f>IF(B120="", "", "human-oral")</f>
        <v>0</v>
      </c>
      <c r="D120" s="1">
        <f>IF(B120="", "", "human oral metagenome")</f>
        <v>0</v>
      </c>
      <c r="E120" s="1">
        <f>IF(B120="", "", "447426")</f>
        <v>0</v>
      </c>
    </row>
    <row r="121" spans="1:5">
      <c r="A121">
        <f>IF(COUNTBLANK(B121:E121)&lt;&gt;COLUMNS(B121:E121),120,"")</f>
        <v>0</v>
      </c>
      <c r="C121" s="1">
        <f>IF(B121="", "", "human-oral")</f>
        <v>0</v>
      </c>
      <c r="D121" s="1">
        <f>IF(B121="", "", "human oral metagenome")</f>
        <v>0</v>
      </c>
      <c r="E121" s="1">
        <f>IF(B121="", "", "447426")</f>
        <v>0</v>
      </c>
    </row>
    <row r="122" spans="1:5">
      <c r="A122">
        <f>IF(COUNTBLANK(B122:E122)&lt;&gt;COLUMNS(B122:E122),121,"")</f>
        <v>0</v>
      </c>
      <c r="C122" s="1">
        <f>IF(B122="", "", "human-oral")</f>
        <v>0</v>
      </c>
      <c r="D122" s="1">
        <f>IF(B122="", "", "human oral metagenome")</f>
        <v>0</v>
      </c>
      <c r="E122" s="1">
        <f>IF(B122="", "", "447426")</f>
        <v>0</v>
      </c>
    </row>
    <row r="123" spans="1:5">
      <c r="A123">
        <f>IF(COUNTBLANK(B123:E123)&lt;&gt;COLUMNS(B123:E123),122,"")</f>
        <v>0</v>
      </c>
      <c r="C123" s="1">
        <f>IF(B123="", "", "human-oral")</f>
        <v>0</v>
      </c>
      <c r="D123" s="1">
        <f>IF(B123="", "", "human oral metagenome")</f>
        <v>0</v>
      </c>
      <c r="E123" s="1">
        <f>IF(B123="", "", "447426")</f>
        <v>0</v>
      </c>
    </row>
    <row r="124" spans="1:5">
      <c r="A124">
        <f>IF(COUNTBLANK(B124:E124)&lt;&gt;COLUMNS(B124:E124),123,"")</f>
        <v>0</v>
      </c>
      <c r="C124" s="1">
        <f>IF(B124="", "", "human-oral")</f>
        <v>0</v>
      </c>
      <c r="D124" s="1">
        <f>IF(B124="", "", "human oral metagenome")</f>
        <v>0</v>
      </c>
      <c r="E124" s="1">
        <f>IF(B124="", "", "447426")</f>
        <v>0</v>
      </c>
    </row>
    <row r="125" spans="1:5">
      <c r="A125">
        <f>IF(COUNTBLANK(B125:E125)&lt;&gt;COLUMNS(B125:E125),124,"")</f>
        <v>0</v>
      </c>
      <c r="C125" s="1">
        <f>IF(B125="", "", "human-oral")</f>
        <v>0</v>
      </c>
      <c r="D125" s="1">
        <f>IF(B125="", "", "human oral metagenome")</f>
        <v>0</v>
      </c>
      <c r="E125" s="1">
        <f>IF(B125="", "", "447426")</f>
        <v>0</v>
      </c>
    </row>
    <row r="126" spans="1:5">
      <c r="A126">
        <f>IF(COUNTBLANK(B126:E126)&lt;&gt;COLUMNS(B126:E126),125,"")</f>
        <v>0</v>
      </c>
      <c r="C126" s="1">
        <f>IF(B126="", "", "human-oral")</f>
        <v>0</v>
      </c>
      <c r="D126" s="1">
        <f>IF(B126="", "", "human oral metagenome")</f>
        <v>0</v>
      </c>
      <c r="E126" s="1">
        <f>IF(B126="", "", "447426")</f>
        <v>0</v>
      </c>
    </row>
    <row r="127" spans="1:5">
      <c r="A127">
        <f>IF(COUNTBLANK(B127:E127)&lt;&gt;COLUMNS(B127:E127),126,"")</f>
        <v>0</v>
      </c>
      <c r="C127" s="1">
        <f>IF(B127="", "", "human-oral")</f>
        <v>0</v>
      </c>
      <c r="D127" s="1">
        <f>IF(B127="", "", "human oral metagenome")</f>
        <v>0</v>
      </c>
      <c r="E127" s="1">
        <f>IF(B127="", "", "447426")</f>
        <v>0</v>
      </c>
    </row>
    <row r="128" spans="1:5">
      <c r="A128">
        <f>IF(COUNTBLANK(B128:E128)&lt;&gt;COLUMNS(B128:E128),127,"")</f>
        <v>0</v>
      </c>
      <c r="C128" s="1">
        <f>IF(B128="", "", "human-oral")</f>
        <v>0</v>
      </c>
      <c r="D128" s="1">
        <f>IF(B128="", "", "human oral metagenome")</f>
        <v>0</v>
      </c>
      <c r="E128" s="1">
        <f>IF(B128="", "", "447426")</f>
        <v>0</v>
      </c>
    </row>
    <row r="129" spans="1:5">
      <c r="A129">
        <f>IF(COUNTBLANK(B129:E129)&lt;&gt;COLUMNS(B129:E129),128,"")</f>
        <v>0</v>
      </c>
      <c r="C129" s="1">
        <f>IF(B129="", "", "human-oral")</f>
        <v>0</v>
      </c>
      <c r="D129" s="1">
        <f>IF(B129="", "", "human oral metagenome")</f>
        <v>0</v>
      </c>
      <c r="E129" s="1">
        <f>IF(B129="", "", "447426")</f>
        <v>0</v>
      </c>
    </row>
    <row r="130" spans="1:5">
      <c r="A130">
        <f>IF(COUNTBLANK(B130:E130)&lt;&gt;COLUMNS(B130:E130),129,"")</f>
        <v>0</v>
      </c>
      <c r="C130" s="1">
        <f>IF(B130="", "", "human-oral")</f>
        <v>0</v>
      </c>
      <c r="D130" s="1">
        <f>IF(B130="", "", "human oral metagenome")</f>
        <v>0</v>
      </c>
      <c r="E130" s="1">
        <f>IF(B130="", "", "447426")</f>
        <v>0</v>
      </c>
    </row>
    <row r="131" spans="1:5">
      <c r="A131">
        <f>IF(COUNTBLANK(B131:E131)&lt;&gt;COLUMNS(B131:E131),130,"")</f>
        <v>0</v>
      </c>
      <c r="C131" s="1">
        <f>IF(B131="", "", "human-oral")</f>
        <v>0</v>
      </c>
      <c r="D131" s="1">
        <f>IF(B131="", "", "human oral metagenome")</f>
        <v>0</v>
      </c>
      <c r="E131" s="1">
        <f>IF(B131="", "", "447426")</f>
        <v>0</v>
      </c>
    </row>
    <row r="132" spans="1:5">
      <c r="A132">
        <f>IF(COUNTBLANK(B132:E132)&lt;&gt;COLUMNS(B132:E132),131,"")</f>
        <v>0</v>
      </c>
      <c r="C132" s="1">
        <f>IF(B132="", "", "human-oral")</f>
        <v>0</v>
      </c>
      <c r="D132" s="1">
        <f>IF(B132="", "", "human oral metagenome")</f>
        <v>0</v>
      </c>
      <c r="E132" s="1">
        <f>IF(B132="", "", "447426")</f>
        <v>0</v>
      </c>
    </row>
    <row r="133" spans="1:5">
      <c r="A133">
        <f>IF(COUNTBLANK(B133:E133)&lt;&gt;COLUMNS(B133:E133),132,"")</f>
        <v>0</v>
      </c>
      <c r="C133" s="1">
        <f>IF(B133="", "", "human-oral")</f>
        <v>0</v>
      </c>
      <c r="D133" s="1">
        <f>IF(B133="", "", "human oral metagenome")</f>
        <v>0</v>
      </c>
      <c r="E133" s="1">
        <f>IF(B133="", "", "447426")</f>
        <v>0</v>
      </c>
    </row>
    <row r="134" spans="1:5">
      <c r="A134">
        <f>IF(COUNTBLANK(B134:E134)&lt;&gt;COLUMNS(B134:E134),133,"")</f>
        <v>0</v>
      </c>
      <c r="C134" s="1">
        <f>IF(B134="", "", "human-oral")</f>
        <v>0</v>
      </c>
      <c r="D134" s="1">
        <f>IF(B134="", "", "human oral metagenome")</f>
        <v>0</v>
      </c>
      <c r="E134" s="1">
        <f>IF(B134="", "", "447426")</f>
        <v>0</v>
      </c>
    </row>
    <row r="135" spans="1:5">
      <c r="A135">
        <f>IF(COUNTBLANK(B135:E135)&lt;&gt;COLUMNS(B135:E135),134,"")</f>
        <v>0</v>
      </c>
      <c r="C135" s="1">
        <f>IF(B135="", "", "human-oral")</f>
        <v>0</v>
      </c>
      <c r="D135" s="1">
        <f>IF(B135="", "", "human oral metagenome")</f>
        <v>0</v>
      </c>
      <c r="E135" s="1">
        <f>IF(B135="", "", "447426")</f>
        <v>0</v>
      </c>
    </row>
    <row r="136" spans="1:5">
      <c r="A136">
        <f>IF(COUNTBLANK(B136:E136)&lt;&gt;COLUMNS(B136:E136),135,"")</f>
        <v>0</v>
      </c>
      <c r="C136" s="1">
        <f>IF(B136="", "", "human-oral")</f>
        <v>0</v>
      </c>
      <c r="D136" s="1">
        <f>IF(B136="", "", "human oral metagenome")</f>
        <v>0</v>
      </c>
      <c r="E136" s="1">
        <f>IF(B136="", "", "447426")</f>
        <v>0</v>
      </c>
    </row>
    <row r="137" spans="1:5">
      <c r="A137">
        <f>IF(COUNTBLANK(B137:E137)&lt;&gt;COLUMNS(B137:E137),136,"")</f>
        <v>0</v>
      </c>
      <c r="C137" s="1">
        <f>IF(B137="", "", "human-oral")</f>
        <v>0</v>
      </c>
      <c r="D137" s="1">
        <f>IF(B137="", "", "human oral metagenome")</f>
        <v>0</v>
      </c>
      <c r="E137" s="1">
        <f>IF(B137="", "", "447426")</f>
        <v>0</v>
      </c>
    </row>
    <row r="138" spans="1:5">
      <c r="A138">
        <f>IF(COUNTBLANK(B138:E138)&lt;&gt;COLUMNS(B138:E138),137,"")</f>
        <v>0</v>
      </c>
      <c r="C138" s="1">
        <f>IF(B138="", "", "human-oral")</f>
        <v>0</v>
      </c>
      <c r="D138" s="1">
        <f>IF(B138="", "", "human oral metagenome")</f>
        <v>0</v>
      </c>
      <c r="E138" s="1">
        <f>IF(B138="", "", "447426")</f>
        <v>0</v>
      </c>
    </row>
    <row r="139" spans="1:5">
      <c r="A139">
        <f>IF(COUNTBLANK(B139:E139)&lt;&gt;COLUMNS(B139:E139),138,"")</f>
        <v>0</v>
      </c>
      <c r="C139" s="1">
        <f>IF(B139="", "", "human-oral")</f>
        <v>0</v>
      </c>
      <c r="D139" s="1">
        <f>IF(B139="", "", "human oral metagenome")</f>
        <v>0</v>
      </c>
      <c r="E139" s="1">
        <f>IF(B139="", "", "447426")</f>
        <v>0</v>
      </c>
    </row>
    <row r="140" spans="1:5">
      <c r="A140">
        <f>IF(COUNTBLANK(B140:E140)&lt;&gt;COLUMNS(B140:E140),139,"")</f>
        <v>0</v>
      </c>
      <c r="C140" s="1">
        <f>IF(B140="", "", "human-oral")</f>
        <v>0</v>
      </c>
      <c r="D140" s="1">
        <f>IF(B140="", "", "human oral metagenome")</f>
        <v>0</v>
      </c>
      <c r="E140" s="1">
        <f>IF(B140="", "", "447426")</f>
        <v>0</v>
      </c>
    </row>
    <row r="141" spans="1:5">
      <c r="A141">
        <f>IF(COUNTBLANK(B141:E141)&lt;&gt;COLUMNS(B141:E141),140,"")</f>
        <v>0</v>
      </c>
      <c r="C141" s="1">
        <f>IF(B141="", "", "human-oral")</f>
        <v>0</v>
      </c>
      <c r="D141" s="1">
        <f>IF(B141="", "", "human oral metagenome")</f>
        <v>0</v>
      </c>
      <c r="E141" s="1">
        <f>IF(B141="", "", "447426")</f>
        <v>0</v>
      </c>
    </row>
    <row r="142" spans="1:5">
      <c r="A142">
        <f>IF(COUNTBLANK(B142:E142)&lt;&gt;COLUMNS(B142:E142),141,"")</f>
        <v>0</v>
      </c>
      <c r="C142" s="1">
        <f>IF(B142="", "", "human-oral")</f>
        <v>0</v>
      </c>
      <c r="D142" s="1">
        <f>IF(B142="", "", "human oral metagenome")</f>
        <v>0</v>
      </c>
      <c r="E142" s="1">
        <f>IF(B142="", "", "447426")</f>
        <v>0</v>
      </c>
    </row>
    <row r="143" spans="1:5">
      <c r="A143">
        <f>IF(COUNTBLANK(B143:E143)&lt;&gt;COLUMNS(B143:E143),142,"")</f>
        <v>0</v>
      </c>
      <c r="C143" s="1">
        <f>IF(B143="", "", "human-oral")</f>
        <v>0</v>
      </c>
      <c r="D143" s="1">
        <f>IF(B143="", "", "human oral metagenome")</f>
        <v>0</v>
      </c>
      <c r="E143" s="1">
        <f>IF(B143="", "", "447426")</f>
        <v>0</v>
      </c>
    </row>
    <row r="144" spans="1:5">
      <c r="A144">
        <f>IF(COUNTBLANK(B144:E144)&lt;&gt;COLUMNS(B144:E144),143,"")</f>
        <v>0</v>
      </c>
      <c r="C144" s="1">
        <f>IF(B144="", "", "human-oral")</f>
        <v>0</v>
      </c>
      <c r="D144" s="1">
        <f>IF(B144="", "", "human oral metagenome")</f>
        <v>0</v>
      </c>
      <c r="E144" s="1">
        <f>IF(B144="", "", "447426")</f>
        <v>0</v>
      </c>
    </row>
    <row r="145" spans="1:5">
      <c r="A145">
        <f>IF(COUNTBLANK(B145:E145)&lt;&gt;COLUMNS(B145:E145),144,"")</f>
        <v>0</v>
      </c>
      <c r="C145" s="1">
        <f>IF(B145="", "", "human-oral")</f>
        <v>0</v>
      </c>
      <c r="D145" s="1">
        <f>IF(B145="", "", "human oral metagenome")</f>
        <v>0</v>
      </c>
      <c r="E145" s="1">
        <f>IF(B145="", "", "447426")</f>
        <v>0</v>
      </c>
    </row>
    <row r="146" spans="1:5">
      <c r="A146">
        <f>IF(COUNTBLANK(B146:E146)&lt;&gt;COLUMNS(B146:E146),145,"")</f>
        <v>0</v>
      </c>
      <c r="C146" s="1">
        <f>IF(B146="", "", "human-oral")</f>
        <v>0</v>
      </c>
      <c r="D146" s="1">
        <f>IF(B146="", "", "human oral metagenome")</f>
        <v>0</v>
      </c>
      <c r="E146" s="1">
        <f>IF(B146="", "", "447426")</f>
        <v>0</v>
      </c>
    </row>
    <row r="147" spans="1:5">
      <c r="A147">
        <f>IF(COUNTBLANK(B147:E147)&lt;&gt;COLUMNS(B147:E147),146,"")</f>
        <v>0</v>
      </c>
      <c r="C147" s="1">
        <f>IF(B147="", "", "human-oral")</f>
        <v>0</v>
      </c>
      <c r="D147" s="1">
        <f>IF(B147="", "", "human oral metagenome")</f>
        <v>0</v>
      </c>
      <c r="E147" s="1">
        <f>IF(B147="", "", "447426")</f>
        <v>0</v>
      </c>
    </row>
    <row r="148" spans="1:5">
      <c r="A148">
        <f>IF(COUNTBLANK(B148:E148)&lt;&gt;COLUMNS(B148:E148),147,"")</f>
        <v>0</v>
      </c>
      <c r="C148" s="1">
        <f>IF(B148="", "", "human-oral")</f>
        <v>0</v>
      </c>
      <c r="D148" s="1">
        <f>IF(B148="", "", "human oral metagenome")</f>
        <v>0</v>
      </c>
      <c r="E148" s="1">
        <f>IF(B148="", "", "447426")</f>
        <v>0</v>
      </c>
    </row>
    <row r="149" spans="1:5">
      <c r="A149">
        <f>IF(COUNTBLANK(B149:E149)&lt;&gt;COLUMNS(B149:E149),148,"")</f>
        <v>0</v>
      </c>
      <c r="C149" s="1">
        <f>IF(B149="", "", "human-oral")</f>
        <v>0</v>
      </c>
      <c r="D149" s="1">
        <f>IF(B149="", "", "human oral metagenome")</f>
        <v>0</v>
      </c>
      <c r="E149" s="1">
        <f>IF(B149="", "", "447426")</f>
        <v>0</v>
      </c>
    </row>
    <row r="150" spans="1:5">
      <c r="A150">
        <f>IF(COUNTBLANK(B150:E150)&lt;&gt;COLUMNS(B150:E150),149,"")</f>
        <v>0</v>
      </c>
      <c r="C150" s="1">
        <f>IF(B150="", "", "human-oral")</f>
        <v>0</v>
      </c>
      <c r="D150" s="1">
        <f>IF(B150="", "", "human oral metagenome")</f>
        <v>0</v>
      </c>
      <c r="E150" s="1">
        <f>IF(B150="", "", "447426")</f>
        <v>0</v>
      </c>
    </row>
    <row r="151" spans="1:5">
      <c r="A151">
        <f>IF(COUNTBLANK(B151:E151)&lt;&gt;COLUMNS(B151:E151),150,"")</f>
        <v>0</v>
      </c>
      <c r="C151" s="1">
        <f>IF(B151="", "", "human-oral")</f>
        <v>0</v>
      </c>
      <c r="D151" s="1">
        <f>IF(B151="", "", "human oral metagenome")</f>
        <v>0</v>
      </c>
      <c r="E151" s="1">
        <f>IF(B151="", "", "447426")</f>
        <v>0</v>
      </c>
    </row>
    <row r="152" spans="1:5">
      <c r="A152">
        <f>IF(COUNTBLANK(B152:E152)&lt;&gt;COLUMNS(B152:E152),151,"")</f>
        <v>0</v>
      </c>
      <c r="C152" s="1">
        <f>IF(B152="", "", "human-oral")</f>
        <v>0</v>
      </c>
      <c r="D152" s="1">
        <f>IF(B152="", "", "human oral metagenome")</f>
        <v>0</v>
      </c>
      <c r="E152" s="1">
        <f>IF(B152="", "", "447426")</f>
        <v>0</v>
      </c>
    </row>
    <row r="153" spans="1:5">
      <c r="A153">
        <f>IF(COUNTBLANK(B153:E153)&lt;&gt;COLUMNS(B153:E153),152,"")</f>
        <v>0</v>
      </c>
      <c r="C153" s="1">
        <f>IF(B153="", "", "human-oral")</f>
        <v>0</v>
      </c>
      <c r="D153" s="1">
        <f>IF(B153="", "", "human oral metagenome")</f>
        <v>0</v>
      </c>
      <c r="E153" s="1">
        <f>IF(B153="", "", "447426")</f>
        <v>0</v>
      </c>
    </row>
    <row r="154" spans="1:5">
      <c r="A154">
        <f>IF(COUNTBLANK(B154:E154)&lt;&gt;COLUMNS(B154:E154),153,"")</f>
        <v>0</v>
      </c>
      <c r="C154" s="1">
        <f>IF(B154="", "", "human-oral")</f>
        <v>0</v>
      </c>
      <c r="D154" s="1">
        <f>IF(B154="", "", "human oral metagenome")</f>
        <v>0</v>
      </c>
      <c r="E154" s="1">
        <f>IF(B154="", "", "447426")</f>
        <v>0</v>
      </c>
    </row>
    <row r="155" spans="1:5">
      <c r="A155">
        <f>IF(COUNTBLANK(B155:E155)&lt;&gt;COLUMNS(B155:E155),154,"")</f>
        <v>0</v>
      </c>
      <c r="C155" s="1">
        <f>IF(B155="", "", "human-oral")</f>
        <v>0</v>
      </c>
      <c r="D155" s="1">
        <f>IF(B155="", "", "human oral metagenome")</f>
        <v>0</v>
      </c>
      <c r="E155" s="1">
        <f>IF(B155="", "", "447426")</f>
        <v>0</v>
      </c>
    </row>
    <row r="156" spans="1:5">
      <c r="A156">
        <f>IF(COUNTBLANK(B156:E156)&lt;&gt;COLUMNS(B156:E156),155,"")</f>
        <v>0</v>
      </c>
      <c r="C156" s="1">
        <f>IF(B156="", "", "human-oral")</f>
        <v>0</v>
      </c>
      <c r="D156" s="1">
        <f>IF(B156="", "", "human oral metagenome")</f>
        <v>0</v>
      </c>
      <c r="E156" s="1">
        <f>IF(B156="", "", "447426")</f>
        <v>0</v>
      </c>
    </row>
    <row r="157" spans="1:5">
      <c r="A157">
        <f>IF(COUNTBLANK(B157:E157)&lt;&gt;COLUMNS(B157:E157),156,"")</f>
        <v>0</v>
      </c>
      <c r="C157" s="1">
        <f>IF(B157="", "", "human-oral")</f>
        <v>0</v>
      </c>
      <c r="D157" s="1">
        <f>IF(B157="", "", "human oral metagenome")</f>
        <v>0</v>
      </c>
      <c r="E157" s="1">
        <f>IF(B157="", "", "447426")</f>
        <v>0</v>
      </c>
    </row>
    <row r="158" spans="1:5">
      <c r="A158">
        <f>IF(COUNTBLANK(B158:E158)&lt;&gt;COLUMNS(B158:E158),157,"")</f>
        <v>0</v>
      </c>
      <c r="C158" s="1">
        <f>IF(B158="", "", "human-oral")</f>
        <v>0</v>
      </c>
      <c r="D158" s="1">
        <f>IF(B158="", "", "human oral metagenome")</f>
        <v>0</v>
      </c>
      <c r="E158" s="1">
        <f>IF(B158="", "", "447426")</f>
        <v>0</v>
      </c>
    </row>
    <row r="159" spans="1:5">
      <c r="A159">
        <f>IF(COUNTBLANK(B159:E159)&lt;&gt;COLUMNS(B159:E159),158,"")</f>
        <v>0</v>
      </c>
      <c r="C159" s="1">
        <f>IF(B159="", "", "human-oral")</f>
        <v>0</v>
      </c>
      <c r="D159" s="1">
        <f>IF(B159="", "", "human oral metagenome")</f>
        <v>0</v>
      </c>
      <c r="E159" s="1">
        <f>IF(B159="", "", "447426")</f>
        <v>0</v>
      </c>
    </row>
    <row r="160" spans="1:5">
      <c r="A160">
        <f>IF(COUNTBLANK(B160:E160)&lt;&gt;COLUMNS(B160:E160),159,"")</f>
        <v>0</v>
      </c>
      <c r="C160" s="1">
        <f>IF(B160="", "", "human-oral")</f>
        <v>0</v>
      </c>
      <c r="D160" s="1">
        <f>IF(B160="", "", "human oral metagenome")</f>
        <v>0</v>
      </c>
      <c r="E160" s="1">
        <f>IF(B160="", "", "447426")</f>
        <v>0</v>
      </c>
    </row>
    <row r="161" spans="1:5">
      <c r="A161">
        <f>IF(COUNTBLANK(B161:E161)&lt;&gt;COLUMNS(B161:E161),160,"")</f>
        <v>0</v>
      </c>
      <c r="C161" s="1">
        <f>IF(B161="", "", "human-oral")</f>
        <v>0</v>
      </c>
      <c r="D161" s="1">
        <f>IF(B161="", "", "human oral metagenome")</f>
        <v>0</v>
      </c>
      <c r="E161" s="1">
        <f>IF(B161="", "", "447426")</f>
        <v>0</v>
      </c>
    </row>
    <row r="162" spans="1:5">
      <c r="A162">
        <f>IF(COUNTBLANK(B162:E162)&lt;&gt;COLUMNS(B162:E162),161,"")</f>
        <v>0</v>
      </c>
      <c r="C162" s="1">
        <f>IF(B162="", "", "human-oral")</f>
        <v>0</v>
      </c>
      <c r="D162" s="1">
        <f>IF(B162="", "", "human oral metagenome")</f>
        <v>0</v>
      </c>
      <c r="E162" s="1">
        <f>IF(B162="", "", "447426")</f>
        <v>0</v>
      </c>
    </row>
    <row r="163" spans="1:5">
      <c r="A163">
        <f>IF(COUNTBLANK(B163:E163)&lt;&gt;COLUMNS(B163:E163),162,"")</f>
        <v>0</v>
      </c>
      <c r="C163" s="1">
        <f>IF(B163="", "", "human-oral")</f>
        <v>0</v>
      </c>
      <c r="D163" s="1">
        <f>IF(B163="", "", "human oral metagenome")</f>
        <v>0</v>
      </c>
      <c r="E163" s="1">
        <f>IF(B163="", "", "447426")</f>
        <v>0</v>
      </c>
    </row>
    <row r="164" spans="1:5">
      <c r="A164">
        <f>IF(COUNTBLANK(B164:E164)&lt;&gt;COLUMNS(B164:E164),163,"")</f>
        <v>0</v>
      </c>
      <c r="C164" s="1">
        <f>IF(B164="", "", "human-oral")</f>
        <v>0</v>
      </c>
      <c r="D164" s="1">
        <f>IF(B164="", "", "human oral metagenome")</f>
        <v>0</v>
      </c>
      <c r="E164" s="1">
        <f>IF(B164="", "", "447426")</f>
        <v>0</v>
      </c>
    </row>
    <row r="165" spans="1:5">
      <c r="A165">
        <f>IF(COUNTBLANK(B165:E165)&lt;&gt;COLUMNS(B165:E165),164,"")</f>
        <v>0</v>
      </c>
      <c r="C165" s="1">
        <f>IF(B165="", "", "human-oral")</f>
        <v>0</v>
      </c>
      <c r="D165" s="1">
        <f>IF(B165="", "", "human oral metagenome")</f>
        <v>0</v>
      </c>
      <c r="E165" s="1">
        <f>IF(B165="", "", "447426")</f>
        <v>0</v>
      </c>
    </row>
    <row r="166" spans="1:5">
      <c r="A166">
        <f>IF(COUNTBLANK(B166:E166)&lt;&gt;COLUMNS(B166:E166),165,"")</f>
        <v>0</v>
      </c>
      <c r="C166" s="1">
        <f>IF(B166="", "", "human-oral")</f>
        <v>0</v>
      </c>
      <c r="D166" s="1">
        <f>IF(B166="", "", "human oral metagenome")</f>
        <v>0</v>
      </c>
      <c r="E166" s="1">
        <f>IF(B166="", "", "447426")</f>
        <v>0</v>
      </c>
    </row>
    <row r="167" spans="1:5">
      <c r="A167">
        <f>IF(COUNTBLANK(B167:E167)&lt;&gt;COLUMNS(B167:E167),166,"")</f>
        <v>0</v>
      </c>
      <c r="C167" s="1">
        <f>IF(B167="", "", "human-oral")</f>
        <v>0</v>
      </c>
      <c r="D167" s="1">
        <f>IF(B167="", "", "human oral metagenome")</f>
        <v>0</v>
      </c>
      <c r="E167" s="1">
        <f>IF(B167="", "", "447426")</f>
        <v>0</v>
      </c>
    </row>
    <row r="168" spans="1:5">
      <c r="A168">
        <f>IF(COUNTBLANK(B168:E168)&lt;&gt;COLUMNS(B168:E168),167,"")</f>
        <v>0</v>
      </c>
      <c r="C168" s="1">
        <f>IF(B168="", "", "human-oral")</f>
        <v>0</v>
      </c>
      <c r="D168" s="1">
        <f>IF(B168="", "", "human oral metagenome")</f>
        <v>0</v>
      </c>
      <c r="E168" s="1">
        <f>IF(B168="", "", "447426")</f>
        <v>0</v>
      </c>
    </row>
    <row r="169" spans="1:5">
      <c r="A169">
        <f>IF(COUNTBLANK(B169:E169)&lt;&gt;COLUMNS(B169:E169),168,"")</f>
        <v>0</v>
      </c>
      <c r="C169" s="1">
        <f>IF(B169="", "", "human-oral")</f>
        <v>0</v>
      </c>
      <c r="D169" s="1">
        <f>IF(B169="", "", "human oral metagenome")</f>
        <v>0</v>
      </c>
      <c r="E169" s="1">
        <f>IF(B169="", "", "447426")</f>
        <v>0</v>
      </c>
    </row>
    <row r="170" spans="1:5">
      <c r="A170">
        <f>IF(COUNTBLANK(B170:E170)&lt;&gt;COLUMNS(B170:E170),169,"")</f>
        <v>0</v>
      </c>
      <c r="C170" s="1">
        <f>IF(B170="", "", "human-oral")</f>
        <v>0</v>
      </c>
      <c r="D170" s="1">
        <f>IF(B170="", "", "human oral metagenome")</f>
        <v>0</v>
      </c>
      <c r="E170" s="1">
        <f>IF(B170="", "", "447426")</f>
        <v>0</v>
      </c>
    </row>
    <row r="171" spans="1:5">
      <c r="A171">
        <f>IF(COUNTBLANK(B171:E171)&lt;&gt;COLUMNS(B171:E171),170,"")</f>
        <v>0</v>
      </c>
      <c r="C171" s="1">
        <f>IF(B171="", "", "human-oral")</f>
        <v>0</v>
      </c>
      <c r="D171" s="1">
        <f>IF(B171="", "", "human oral metagenome")</f>
        <v>0</v>
      </c>
      <c r="E171" s="1">
        <f>IF(B171="", "", "447426")</f>
        <v>0</v>
      </c>
    </row>
    <row r="172" spans="1:5">
      <c r="A172">
        <f>IF(COUNTBLANK(B172:E172)&lt;&gt;COLUMNS(B172:E172),171,"")</f>
        <v>0</v>
      </c>
      <c r="C172" s="1">
        <f>IF(B172="", "", "human-oral")</f>
        <v>0</v>
      </c>
      <c r="D172" s="1">
        <f>IF(B172="", "", "human oral metagenome")</f>
        <v>0</v>
      </c>
      <c r="E172" s="1">
        <f>IF(B172="", "", "447426")</f>
        <v>0</v>
      </c>
    </row>
    <row r="173" spans="1:5">
      <c r="A173">
        <f>IF(COUNTBLANK(B173:E173)&lt;&gt;COLUMNS(B173:E173),172,"")</f>
        <v>0</v>
      </c>
      <c r="C173" s="1">
        <f>IF(B173="", "", "human-oral")</f>
        <v>0</v>
      </c>
      <c r="D173" s="1">
        <f>IF(B173="", "", "human oral metagenome")</f>
        <v>0</v>
      </c>
      <c r="E173" s="1">
        <f>IF(B173="", "", "447426")</f>
        <v>0</v>
      </c>
    </row>
    <row r="174" spans="1:5">
      <c r="A174">
        <f>IF(COUNTBLANK(B174:E174)&lt;&gt;COLUMNS(B174:E174),173,"")</f>
        <v>0</v>
      </c>
      <c r="C174" s="1">
        <f>IF(B174="", "", "human-oral")</f>
        <v>0</v>
      </c>
      <c r="D174" s="1">
        <f>IF(B174="", "", "human oral metagenome")</f>
        <v>0</v>
      </c>
      <c r="E174" s="1">
        <f>IF(B174="", "", "447426")</f>
        <v>0</v>
      </c>
    </row>
    <row r="175" spans="1:5">
      <c r="A175">
        <f>IF(COUNTBLANK(B175:E175)&lt;&gt;COLUMNS(B175:E175),174,"")</f>
        <v>0</v>
      </c>
      <c r="C175" s="1">
        <f>IF(B175="", "", "human-oral")</f>
        <v>0</v>
      </c>
      <c r="D175" s="1">
        <f>IF(B175="", "", "human oral metagenome")</f>
        <v>0</v>
      </c>
      <c r="E175" s="1">
        <f>IF(B175="", "", "447426")</f>
        <v>0</v>
      </c>
    </row>
    <row r="176" spans="1:5">
      <c r="A176">
        <f>IF(COUNTBLANK(B176:E176)&lt;&gt;COLUMNS(B176:E176),175,"")</f>
        <v>0</v>
      </c>
      <c r="C176" s="1">
        <f>IF(B176="", "", "human-oral")</f>
        <v>0</v>
      </c>
      <c r="D176" s="1">
        <f>IF(B176="", "", "human oral metagenome")</f>
        <v>0</v>
      </c>
      <c r="E176" s="1">
        <f>IF(B176="", "", "447426")</f>
        <v>0</v>
      </c>
    </row>
    <row r="177" spans="1:5">
      <c r="A177">
        <f>IF(COUNTBLANK(B177:E177)&lt;&gt;COLUMNS(B177:E177),176,"")</f>
        <v>0</v>
      </c>
      <c r="C177" s="1">
        <f>IF(B177="", "", "human-oral")</f>
        <v>0</v>
      </c>
      <c r="D177" s="1">
        <f>IF(B177="", "", "human oral metagenome")</f>
        <v>0</v>
      </c>
      <c r="E177" s="1">
        <f>IF(B177="", "", "447426")</f>
        <v>0</v>
      </c>
    </row>
    <row r="178" spans="1:5">
      <c r="A178">
        <f>IF(COUNTBLANK(B178:E178)&lt;&gt;COLUMNS(B178:E178),177,"")</f>
        <v>0</v>
      </c>
      <c r="C178" s="1">
        <f>IF(B178="", "", "human-oral")</f>
        <v>0</v>
      </c>
      <c r="D178" s="1">
        <f>IF(B178="", "", "human oral metagenome")</f>
        <v>0</v>
      </c>
      <c r="E178" s="1">
        <f>IF(B178="", "", "447426")</f>
        <v>0</v>
      </c>
    </row>
    <row r="179" spans="1:5">
      <c r="A179">
        <f>IF(COUNTBLANK(B179:E179)&lt;&gt;COLUMNS(B179:E179),178,"")</f>
        <v>0</v>
      </c>
      <c r="C179" s="1">
        <f>IF(B179="", "", "human-oral")</f>
        <v>0</v>
      </c>
      <c r="D179" s="1">
        <f>IF(B179="", "", "human oral metagenome")</f>
        <v>0</v>
      </c>
      <c r="E179" s="1">
        <f>IF(B179="", "", "447426")</f>
        <v>0</v>
      </c>
    </row>
    <row r="180" spans="1:5">
      <c r="A180">
        <f>IF(COUNTBLANK(B180:E180)&lt;&gt;COLUMNS(B180:E180),179,"")</f>
        <v>0</v>
      </c>
      <c r="C180" s="1">
        <f>IF(B180="", "", "human-oral")</f>
        <v>0</v>
      </c>
      <c r="D180" s="1">
        <f>IF(B180="", "", "human oral metagenome")</f>
        <v>0</v>
      </c>
      <c r="E180" s="1">
        <f>IF(B180="", "", "447426")</f>
        <v>0</v>
      </c>
    </row>
    <row r="181" spans="1:5">
      <c r="A181">
        <f>IF(COUNTBLANK(B181:E181)&lt;&gt;COLUMNS(B181:E181),180,"")</f>
        <v>0</v>
      </c>
      <c r="C181" s="1">
        <f>IF(B181="", "", "human-oral")</f>
        <v>0</v>
      </c>
      <c r="D181" s="1">
        <f>IF(B181="", "", "human oral metagenome")</f>
        <v>0</v>
      </c>
      <c r="E181" s="1">
        <f>IF(B181="", "", "447426")</f>
        <v>0</v>
      </c>
    </row>
    <row r="182" spans="1:5">
      <c r="A182">
        <f>IF(COUNTBLANK(B182:E182)&lt;&gt;COLUMNS(B182:E182),181,"")</f>
        <v>0</v>
      </c>
      <c r="C182" s="1">
        <f>IF(B182="", "", "human-oral")</f>
        <v>0</v>
      </c>
      <c r="D182" s="1">
        <f>IF(B182="", "", "human oral metagenome")</f>
        <v>0</v>
      </c>
      <c r="E182" s="1">
        <f>IF(B182="", "", "447426")</f>
        <v>0</v>
      </c>
    </row>
    <row r="183" spans="1:5">
      <c r="A183">
        <f>IF(COUNTBLANK(B183:E183)&lt;&gt;COLUMNS(B183:E183),182,"")</f>
        <v>0</v>
      </c>
      <c r="C183" s="1">
        <f>IF(B183="", "", "human-oral")</f>
        <v>0</v>
      </c>
      <c r="D183" s="1">
        <f>IF(B183="", "", "human oral metagenome")</f>
        <v>0</v>
      </c>
      <c r="E183" s="1">
        <f>IF(B183="", "", "447426")</f>
        <v>0</v>
      </c>
    </row>
    <row r="184" spans="1:5">
      <c r="A184">
        <f>IF(COUNTBLANK(B184:E184)&lt;&gt;COLUMNS(B184:E184),183,"")</f>
        <v>0</v>
      </c>
      <c r="C184" s="1">
        <f>IF(B184="", "", "human-oral")</f>
        <v>0</v>
      </c>
      <c r="D184" s="1">
        <f>IF(B184="", "", "human oral metagenome")</f>
        <v>0</v>
      </c>
      <c r="E184" s="1">
        <f>IF(B184="", "", "447426")</f>
        <v>0</v>
      </c>
    </row>
    <row r="185" spans="1:5">
      <c r="A185">
        <f>IF(COUNTBLANK(B185:E185)&lt;&gt;COLUMNS(B185:E185),184,"")</f>
        <v>0</v>
      </c>
      <c r="C185" s="1">
        <f>IF(B185="", "", "human-oral")</f>
        <v>0</v>
      </c>
      <c r="D185" s="1">
        <f>IF(B185="", "", "human oral metagenome")</f>
        <v>0</v>
      </c>
      <c r="E185" s="1">
        <f>IF(B185="", "", "447426")</f>
        <v>0</v>
      </c>
    </row>
    <row r="186" spans="1:5">
      <c r="A186">
        <f>IF(COUNTBLANK(B186:E186)&lt;&gt;COLUMNS(B186:E186),185,"")</f>
        <v>0</v>
      </c>
      <c r="C186" s="1">
        <f>IF(B186="", "", "human-oral")</f>
        <v>0</v>
      </c>
      <c r="D186" s="1">
        <f>IF(B186="", "", "human oral metagenome")</f>
        <v>0</v>
      </c>
      <c r="E186" s="1">
        <f>IF(B186="", "", "447426")</f>
        <v>0</v>
      </c>
    </row>
    <row r="187" spans="1:5">
      <c r="A187">
        <f>IF(COUNTBLANK(B187:E187)&lt;&gt;COLUMNS(B187:E187),186,"")</f>
        <v>0</v>
      </c>
      <c r="C187" s="1">
        <f>IF(B187="", "", "human-oral")</f>
        <v>0</v>
      </c>
      <c r="D187" s="1">
        <f>IF(B187="", "", "human oral metagenome")</f>
        <v>0</v>
      </c>
      <c r="E187" s="1">
        <f>IF(B187="", "", "447426")</f>
        <v>0</v>
      </c>
    </row>
    <row r="188" spans="1:5">
      <c r="A188">
        <f>IF(COUNTBLANK(B188:E188)&lt;&gt;COLUMNS(B188:E188),187,"")</f>
        <v>0</v>
      </c>
      <c r="C188" s="1">
        <f>IF(B188="", "", "human-oral")</f>
        <v>0</v>
      </c>
      <c r="D188" s="1">
        <f>IF(B188="", "", "human oral metagenome")</f>
        <v>0</v>
      </c>
      <c r="E188" s="1">
        <f>IF(B188="", "", "447426")</f>
        <v>0</v>
      </c>
    </row>
    <row r="189" spans="1:5">
      <c r="A189">
        <f>IF(COUNTBLANK(B189:E189)&lt;&gt;COLUMNS(B189:E189),188,"")</f>
        <v>0</v>
      </c>
      <c r="C189" s="1">
        <f>IF(B189="", "", "human-oral")</f>
        <v>0</v>
      </c>
      <c r="D189" s="1">
        <f>IF(B189="", "", "human oral metagenome")</f>
        <v>0</v>
      </c>
      <c r="E189" s="1">
        <f>IF(B189="", "", "447426")</f>
        <v>0</v>
      </c>
    </row>
    <row r="190" spans="1:5">
      <c r="A190">
        <f>IF(COUNTBLANK(B190:E190)&lt;&gt;COLUMNS(B190:E190),189,"")</f>
        <v>0</v>
      </c>
      <c r="C190" s="1">
        <f>IF(B190="", "", "human-oral")</f>
        <v>0</v>
      </c>
      <c r="D190" s="1">
        <f>IF(B190="", "", "human oral metagenome")</f>
        <v>0</v>
      </c>
      <c r="E190" s="1">
        <f>IF(B190="", "", "447426")</f>
        <v>0</v>
      </c>
    </row>
    <row r="191" spans="1:5">
      <c r="A191">
        <f>IF(COUNTBLANK(B191:E191)&lt;&gt;COLUMNS(B191:E191),190,"")</f>
        <v>0</v>
      </c>
      <c r="C191" s="1">
        <f>IF(B191="", "", "human-oral")</f>
        <v>0</v>
      </c>
      <c r="D191" s="1">
        <f>IF(B191="", "", "human oral metagenome")</f>
        <v>0</v>
      </c>
      <c r="E191" s="1">
        <f>IF(B191="", "", "447426")</f>
        <v>0</v>
      </c>
    </row>
    <row r="192" spans="1:5">
      <c r="A192">
        <f>IF(COUNTBLANK(B192:E192)&lt;&gt;COLUMNS(B192:E192),191,"")</f>
        <v>0</v>
      </c>
      <c r="C192" s="1">
        <f>IF(B192="", "", "human-oral")</f>
        <v>0</v>
      </c>
      <c r="D192" s="1">
        <f>IF(B192="", "", "human oral metagenome")</f>
        <v>0</v>
      </c>
      <c r="E192" s="1">
        <f>IF(B192="", "", "447426")</f>
        <v>0</v>
      </c>
    </row>
    <row r="193" spans="1:5">
      <c r="A193">
        <f>IF(COUNTBLANK(B193:E193)&lt;&gt;COLUMNS(B193:E193),192,"")</f>
        <v>0</v>
      </c>
      <c r="C193" s="1">
        <f>IF(B193="", "", "human-oral")</f>
        <v>0</v>
      </c>
      <c r="D193" s="1">
        <f>IF(B193="", "", "human oral metagenome")</f>
        <v>0</v>
      </c>
      <c r="E193" s="1">
        <f>IF(B193="", "", "447426")</f>
        <v>0</v>
      </c>
    </row>
    <row r="194" spans="1:5">
      <c r="A194">
        <f>IF(COUNTBLANK(B194:E194)&lt;&gt;COLUMNS(B194:E194),193,"")</f>
        <v>0</v>
      </c>
      <c r="C194" s="1">
        <f>IF(B194="", "", "human-oral")</f>
        <v>0</v>
      </c>
      <c r="D194" s="1">
        <f>IF(B194="", "", "human oral metagenome")</f>
        <v>0</v>
      </c>
      <c r="E194" s="1">
        <f>IF(B194="", "", "447426")</f>
        <v>0</v>
      </c>
    </row>
    <row r="195" spans="1:5">
      <c r="A195">
        <f>IF(COUNTBLANK(B195:E195)&lt;&gt;COLUMNS(B195:E195),194,"")</f>
        <v>0</v>
      </c>
      <c r="C195" s="1">
        <f>IF(B195="", "", "human-oral")</f>
        <v>0</v>
      </c>
      <c r="D195" s="1">
        <f>IF(B195="", "", "human oral metagenome")</f>
        <v>0</v>
      </c>
      <c r="E195" s="1">
        <f>IF(B195="", "", "447426")</f>
        <v>0</v>
      </c>
    </row>
    <row r="196" spans="1:5">
      <c r="A196">
        <f>IF(COUNTBLANK(B196:E196)&lt;&gt;COLUMNS(B196:E196),195,"")</f>
        <v>0</v>
      </c>
      <c r="C196" s="1">
        <f>IF(B196="", "", "human-oral")</f>
        <v>0</v>
      </c>
      <c r="D196" s="1">
        <f>IF(B196="", "", "human oral metagenome")</f>
        <v>0</v>
      </c>
      <c r="E196" s="1">
        <f>IF(B196="", "", "447426")</f>
        <v>0</v>
      </c>
    </row>
    <row r="197" spans="1:5">
      <c r="A197">
        <f>IF(COUNTBLANK(B197:E197)&lt;&gt;COLUMNS(B197:E197),196,"")</f>
        <v>0</v>
      </c>
      <c r="C197" s="1">
        <f>IF(B197="", "", "human-oral")</f>
        <v>0</v>
      </c>
      <c r="D197" s="1">
        <f>IF(B197="", "", "human oral metagenome")</f>
        <v>0</v>
      </c>
      <c r="E197" s="1">
        <f>IF(B197="", "", "447426")</f>
        <v>0</v>
      </c>
    </row>
    <row r="198" spans="1:5">
      <c r="A198">
        <f>IF(COUNTBLANK(B198:E198)&lt;&gt;COLUMNS(B198:E198),197,"")</f>
        <v>0</v>
      </c>
      <c r="C198" s="1">
        <f>IF(B198="", "", "human-oral")</f>
        <v>0</v>
      </c>
      <c r="D198" s="1">
        <f>IF(B198="", "", "human oral metagenome")</f>
        <v>0</v>
      </c>
      <c r="E198" s="1">
        <f>IF(B198="", "", "447426")</f>
        <v>0</v>
      </c>
    </row>
    <row r="199" spans="1:5">
      <c r="A199">
        <f>IF(COUNTBLANK(B199:E199)&lt;&gt;COLUMNS(B199:E199),198,"")</f>
        <v>0</v>
      </c>
      <c r="C199" s="1">
        <f>IF(B199="", "", "human-oral")</f>
        <v>0</v>
      </c>
      <c r="D199" s="1">
        <f>IF(B199="", "", "human oral metagenome")</f>
        <v>0</v>
      </c>
      <c r="E199" s="1">
        <f>IF(B199="", "", "447426")</f>
        <v>0</v>
      </c>
    </row>
    <row r="200" spans="1:5">
      <c r="A200">
        <f>IF(COUNTBLANK(B200:E200)&lt;&gt;COLUMNS(B200:E200),199,"")</f>
        <v>0</v>
      </c>
      <c r="C200" s="1">
        <f>IF(B200="", "", "human-oral")</f>
        <v>0</v>
      </c>
      <c r="D200" s="1">
        <f>IF(B200="", "", "human oral metagenome")</f>
        <v>0</v>
      </c>
      <c r="E200" s="1">
        <f>IF(B200="", "", "447426")</f>
        <v>0</v>
      </c>
    </row>
    <row r="201" spans="1:5">
      <c r="A201">
        <f>IF(COUNTBLANK(B201:E201)&lt;&gt;COLUMNS(B201:E201),200,"")</f>
        <v>0</v>
      </c>
      <c r="C201" s="1">
        <f>IF(B201="", "", "human-oral")</f>
        <v>0</v>
      </c>
      <c r="D201" s="1">
        <f>IF(B201="", "", "human oral metagenome")</f>
        <v>0</v>
      </c>
      <c r="E201" s="1">
        <f>IF(B201="", "", "447426")</f>
        <v>0</v>
      </c>
    </row>
    <row r="202" spans="1:5">
      <c r="A202">
        <f>IF(COUNTBLANK(B202:E202)&lt;&gt;COLUMNS(B202:E202),201,"")</f>
        <v>0</v>
      </c>
      <c r="C202" s="1">
        <f>IF(B202="", "", "human-oral")</f>
        <v>0</v>
      </c>
      <c r="D202" s="1">
        <f>IF(B202="", "", "human oral metagenome")</f>
        <v>0</v>
      </c>
      <c r="E202" s="1">
        <f>IF(B202="", "", "447426")</f>
        <v>0</v>
      </c>
    </row>
    <row r="203" spans="1:5">
      <c r="A203">
        <f>IF(COUNTBLANK(B203:E203)&lt;&gt;COLUMNS(B203:E203),202,"")</f>
        <v>0</v>
      </c>
      <c r="C203" s="1">
        <f>IF(B203="", "", "human-oral")</f>
        <v>0</v>
      </c>
      <c r="D203" s="1">
        <f>IF(B203="", "", "human oral metagenome")</f>
        <v>0</v>
      </c>
      <c r="E203" s="1">
        <f>IF(B203="", "", "447426")</f>
        <v>0</v>
      </c>
    </row>
    <row r="204" spans="1:5">
      <c r="A204">
        <f>IF(COUNTBLANK(B204:E204)&lt;&gt;COLUMNS(B204:E204),203,"")</f>
        <v>0</v>
      </c>
      <c r="C204" s="1">
        <f>IF(B204="", "", "human-oral")</f>
        <v>0</v>
      </c>
      <c r="D204" s="1">
        <f>IF(B204="", "", "human oral metagenome")</f>
        <v>0</v>
      </c>
      <c r="E204" s="1">
        <f>IF(B204="", "", "447426")</f>
        <v>0</v>
      </c>
    </row>
    <row r="205" spans="1:5">
      <c r="A205">
        <f>IF(COUNTBLANK(B205:E205)&lt;&gt;COLUMNS(B205:E205),204,"")</f>
        <v>0</v>
      </c>
      <c r="C205" s="1">
        <f>IF(B205="", "", "human-oral")</f>
        <v>0</v>
      </c>
      <c r="D205" s="1">
        <f>IF(B205="", "", "human oral metagenome")</f>
        <v>0</v>
      </c>
      <c r="E205" s="1">
        <f>IF(B205="", "", "447426")</f>
        <v>0</v>
      </c>
    </row>
    <row r="206" spans="1:5">
      <c r="A206">
        <f>IF(COUNTBLANK(B206:E206)&lt;&gt;COLUMNS(B206:E206),205,"")</f>
        <v>0</v>
      </c>
      <c r="C206" s="1">
        <f>IF(B206="", "", "human-oral")</f>
        <v>0</v>
      </c>
      <c r="D206" s="1">
        <f>IF(B206="", "", "human oral metagenome")</f>
        <v>0</v>
      </c>
      <c r="E206" s="1">
        <f>IF(B206="", "", "447426")</f>
        <v>0</v>
      </c>
    </row>
    <row r="207" spans="1:5">
      <c r="A207">
        <f>IF(COUNTBLANK(B207:E207)&lt;&gt;COLUMNS(B207:E207),206,"")</f>
        <v>0</v>
      </c>
      <c r="C207" s="1">
        <f>IF(B207="", "", "human-oral")</f>
        <v>0</v>
      </c>
      <c r="D207" s="1">
        <f>IF(B207="", "", "human oral metagenome")</f>
        <v>0</v>
      </c>
      <c r="E207" s="1">
        <f>IF(B207="", "", "447426")</f>
        <v>0</v>
      </c>
    </row>
    <row r="208" spans="1:5">
      <c r="A208">
        <f>IF(COUNTBLANK(B208:E208)&lt;&gt;COLUMNS(B208:E208),207,"")</f>
        <v>0</v>
      </c>
      <c r="C208" s="1">
        <f>IF(B208="", "", "human-oral")</f>
        <v>0</v>
      </c>
      <c r="D208" s="1">
        <f>IF(B208="", "", "human oral metagenome")</f>
        <v>0</v>
      </c>
      <c r="E208" s="1">
        <f>IF(B208="", "", "447426")</f>
        <v>0</v>
      </c>
    </row>
    <row r="209" spans="1:5">
      <c r="A209">
        <f>IF(COUNTBLANK(B209:E209)&lt;&gt;COLUMNS(B209:E209),208,"")</f>
        <v>0</v>
      </c>
      <c r="C209" s="1">
        <f>IF(B209="", "", "human-oral")</f>
        <v>0</v>
      </c>
      <c r="D209" s="1">
        <f>IF(B209="", "", "human oral metagenome")</f>
        <v>0</v>
      </c>
      <c r="E209" s="1">
        <f>IF(B209="", "", "447426")</f>
        <v>0</v>
      </c>
    </row>
    <row r="210" spans="1:5">
      <c r="A210">
        <f>IF(COUNTBLANK(B210:E210)&lt;&gt;COLUMNS(B210:E210),209,"")</f>
        <v>0</v>
      </c>
      <c r="C210" s="1">
        <f>IF(B210="", "", "human-oral")</f>
        <v>0</v>
      </c>
      <c r="D210" s="1">
        <f>IF(B210="", "", "human oral metagenome")</f>
        <v>0</v>
      </c>
      <c r="E210" s="1">
        <f>IF(B210="", "", "447426")</f>
        <v>0</v>
      </c>
    </row>
    <row r="211" spans="1:5">
      <c r="A211">
        <f>IF(COUNTBLANK(B211:E211)&lt;&gt;COLUMNS(B211:E211),210,"")</f>
        <v>0</v>
      </c>
      <c r="C211" s="1">
        <f>IF(B211="", "", "human-oral")</f>
        <v>0</v>
      </c>
      <c r="D211" s="1">
        <f>IF(B211="", "", "human oral metagenome")</f>
        <v>0</v>
      </c>
      <c r="E211" s="1">
        <f>IF(B211="", "", "447426")</f>
        <v>0</v>
      </c>
    </row>
    <row r="212" spans="1:5">
      <c r="A212">
        <f>IF(COUNTBLANK(B212:E212)&lt;&gt;COLUMNS(B212:E212),211,"")</f>
        <v>0</v>
      </c>
      <c r="C212" s="1">
        <f>IF(B212="", "", "human-oral")</f>
        <v>0</v>
      </c>
      <c r="D212" s="1">
        <f>IF(B212="", "", "human oral metagenome")</f>
        <v>0</v>
      </c>
      <c r="E212" s="1">
        <f>IF(B212="", "", "447426")</f>
        <v>0</v>
      </c>
    </row>
    <row r="213" spans="1:5">
      <c r="A213">
        <f>IF(COUNTBLANK(B213:E213)&lt;&gt;COLUMNS(B213:E213),212,"")</f>
        <v>0</v>
      </c>
      <c r="C213" s="1">
        <f>IF(B213="", "", "human-oral")</f>
        <v>0</v>
      </c>
      <c r="D213" s="1">
        <f>IF(B213="", "", "human oral metagenome")</f>
        <v>0</v>
      </c>
      <c r="E213" s="1">
        <f>IF(B213="", "", "447426")</f>
        <v>0</v>
      </c>
    </row>
    <row r="214" spans="1:5">
      <c r="A214">
        <f>IF(COUNTBLANK(B214:E214)&lt;&gt;COLUMNS(B214:E214),213,"")</f>
        <v>0</v>
      </c>
      <c r="C214" s="1">
        <f>IF(B214="", "", "human-oral")</f>
        <v>0</v>
      </c>
      <c r="D214" s="1">
        <f>IF(B214="", "", "human oral metagenome")</f>
        <v>0</v>
      </c>
      <c r="E214" s="1">
        <f>IF(B214="", "", "447426")</f>
        <v>0</v>
      </c>
    </row>
    <row r="215" spans="1:5">
      <c r="A215">
        <f>IF(COUNTBLANK(B215:E215)&lt;&gt;COLUMNS(B215:E215),214,"")</f>
        <v>0</v>
      </c>
      <c r="C215" s="1">
        <f>IF(B215="", "", "human-oral")</f>
        <v>0</v>
      </c>
      <c r="D215" s="1">
        <f>IF(B215="", "", "human oral metagenome")</f>
        <v>0</v>
      </c>
      <c r="E215" s="1">
        <f>IF(B215="", "", "447426")</f>
        <v>0</v>
      </c>
    </row>
    <row r="216" spans="1:5">
      <c r="A216">
        <f>IF(COUNTBLANK(B216:E216)&lt;&gt;COLUMNS(B216:E216),215,"")</f>
        <v>0</v>
      </c>
      <c r="C216" s="1">
        <f>IF(B216="", "", "human-oral")</f>
        <v>0</v>
      </c>
      <c r="D216" s="1">
        <f>IF(B216="", "", "human oral metagenome")</f>
        <v>0</v>
      </c>
      <c r="E216" s="1">
        <f>IF(B216="", "", "447426")</f>
        <v>0</v>
      </c>
    </row>
    <row r="217" spans="1:5">
      <c r="A217">
        <f>IF(COUNTBLANK(B217:E217)&lt;&gt;COLUMNS(B217:E217),216,"")</f>
        <v>0</v>
      </c>
      <c r="C217" s="1">
        <f>IF(B217="", "", "human-oral")</f>
        <v>0</v>
      </c>
      <c r="D217" s="1">
        <f>IF(B217="", "", "human oral metagenome")</f>
        <v>0</v>
      </c>
      <c r="E217" s="1">
        <f>IF(B217="", "", "447426")</f>
        <v>0</v>
      </c>
    </row>
    <row r="218" spans="1:5">
      <c r="A218">
        <f>IF(COUNTBLANK(B218:E218)&lt;&gt;COLUMNS(B218:E218),217,"")</f>
        <v>0</v>
      </c>
      <c r="C218" s="1">
        <f>IF(B218="", "", "human-oral")</f>
        <v>0</v>
      </c>
      <c r="D218" s="1">
        <f>IF(B218="", "", "human oral metagenome")</f>
        <v>0</v>
      </c>
      <c r="E218" s="1">
        <f>IF(B218="", "", "447426")</f>
        <v>0</v>
      </c>
    </row>
    <row r="219" spans="1:5">
      <c r="A219">
        <f>IF(COUNTBLANK(B219:E219)&lt;&gt;COLUMNS(B219:E219),218,"")</f>
        <v>0</v>
      </c>
      <c r="C219" s="1">
        <f>IF(B219="", "", "human-oral")</f>
        <v>0</v>
      </c>
      <c r="D219" s="1">
        <f>IF(B219="", "", "human oral metagenome")</f>
        <v>0</v>
      </c>
      <c r="E219" s="1">
        <f>IF(B219="", "", "447426")</f>
        <v>0</v>
      </c>
    </row>
    <row r="220" spans="1:5">
      <c r="A220">
        <f>IF(COUNTBLANK(B220:E220)&lt;&gt;COLUMNS(B220:E220),219,"")</f>
        <v>0</v>
      </c>
      <c r="C220" s="1">
        <f>IF(B220="", "", "human-oral")</f>
        <v>0</v>
      </c>
      <c r="D220" s="1">
        <f>IF(B220="", "", "human oral metagenome")</f>
        <v>0</v>
      </c>
      <c r="E220" s="1">
        <f>IF(B220="", "", "447426")</f>
        <v>0</v>
      </c>
    </row>
    <row r="221" spans="1:5">
      <c r="A221">
        <f>IF(COUNTBLANK(B221:E221)&lt;&gt;COLUMNS(B221:E221),220,"")</f>
        <v>0</v>
      </c>
      <c r="C221" s="1">
        <f>IF(B221="", "", "human-oral")</f>
        <v>0</v>
      </c>
      <c r="D221" s="1">
        <f>IF(B221="", "", "human oral metagenome")</f>
        <v>0</v>
      </c>
      <c r="E221" s="1">
        <f>IF(B221="", "", "447426")</f>
        <v>0</v>
      </c>
    </row>
    <row r="222" spans="1:5">
      <c r="A222">
        <f>IF(COUNTBLANK(B222:E222)&lt;&gt;COLUMNS(B222:E222),221,"")</f>
        <v>0</v>
      </c>
      <c r="C222" s="1">
        <f>IF(B222="", "", "human-oral")</f>
        <v>0</v>
      </c>
      <c r="D222" s="1">
        <f>IF(B222="", "", "human oral metagenome")</f>
        <v>0</v>
      </c>
      <c r="E222" s="1">
        <f>IF(B222="", "", "447426")</f>
        <v>0</v>
      </c>
    </row>
    <row r="223" spans="1:5">
      <c r="A223">
        <f>IF(COUNTBLANK(B223:E223)&lt;&gt;COLUMNS(B223:E223),222,"")</f>
        <v>0</v>
      </c>
      <c r="C223" s="1">
        <f>IF(B223="", "", "human-oral")</f>
        <v>0</v>
      </c>
      <c r="D223" s="1">
        <f>IF(B223="", "", "human oral metagenome")</f>
        <v>0</v>
      </c>
      <c r="E223" s="1">
        <f>IF(B223="", "", "447426")</f>
        <v>0</v>
      </c>
    </row>
    <row r="224" spans="1:5">
      <c r="A224">
        <f>IF(COUNTBLANK(B224:E224)&lt;&gt;COLUMNS(B224:E224),223,"")</f>
        <v>0</v>
      </c>
      <c r="C224" s="1">
        <f>IF(B224="", "", "human-oral")</f>
        <v>0</v>
      </c>
      <c r="D224" s="1">
        <f>IF(B224="", "", "human oral metagenome")</f>
        <v>0</v>
      </c>
      <c r="E224" s="1">
        <f>IF(B224="", "", "447426")</f>
        <v>0</v>
      </c>
    </row>
    <row r="225" spans="1:5">
      <c r="A225">
        <f>IF(COUNTBLANK(B225:E225)&lt;&gt;COLUMNS(B225:E225),224,"")</f>
        <v>0</v>
      </c>
      <c r="C225" s="1">
        <f>IF(B225="", "", "human-oral")</f>
        <v>0</v>
      </c>
      <c r="D225" s="1">
        <f>IF(B225="", "", "human oral metagenome")</f>
        <v>0</v>
      </c>
      <c r="E225" s="1">
        <f>IF(B225="", "", "447426")</f>
        <v>0</v>
      </c>
    </row>
    <row r="226" spans="1:5">
      <c r="A226">
        <f>IF(COUNTBLANK(B226:E226)&lt;&gt;COLUMNS(B226:E226),225,"")</f>
        <v>0</v>
      </c>
      <c r="C226" s="1">
        <f>IF(B226="", "", "human-oral")</f>
        <v>0</v>
      </c>
      <c r="D226" s="1">
        <f>IF(B226="", "", "human oral metagenome")</f>
        <v>0</v>
      </c>
      <c r="E226" s="1">
        <f>IF(B226="", "", "447426")</f>
        <v>0</v>
      </c>
    </row>
    <row r="227" spans="1:5">
      <c r="A227">
        <f>IF(COUNTBLANK(B227:E227)&lt;&gt;COLUMNS(B227:E227),226,"")</f>
        <v>0</v>
      </c>
      <c r="C227" s="1">
        <f>IF(B227="", "", "human-oral")</f>
        <v>0</v>
      </c>
      <c r="D227" s="1">
        <f>IF(B227="", "", "human oral metagenome")</f>
        <v>0</v>
      </c>
      <c r="E227" s="1">
        <f>IF(B227="", "", "447426")</f>
        <v>0</v>
      </c>
    </row>
    <row r="228" spans="1:5">
      <c r="A228">
        <f>IF(COUNTBLANK(B228:E228)&lt;&gt;COLUMNS(B228:E228),227,"")</f>
        <v>0</v>
      </c>
      <c r="C228" s="1">
        <f>IF(B228="", "", "human-oral")</f>
        <v>0</v>
      </c>
      <c r="D228" s="1">
        <f>IF(B228="", "", "human oral metagenome")</f>
        <v>0</v>
      </c>
      <c r="E228" s="1">
        <f>IF(B228="", "", "447426")</f>
        <v>0</v>
      </c>
    </row>
    <row r="229" spans="1:5">
      <c r="A229">
        <f>IF(COUNTBLANK(B229:E229)&lt;&gt;COLUMNS(B229:E229),228,"")</f>
        <v>0</v>
      </c>
      <c r="C229" s="1">
        <f>IF(B229="", "", "human-oral")</f>
        <v>0</v>
      </c>
      <c r="D229" s="1">
        <f>IF(B229="", "", "human oral metagenome")</f>
        <v>0</v>
      </c>
      <c r="E229" s="1">
        <f>IF(B229="", "", "447426")</f>
        <v>0</v>
      </c>
    </row>
    <row r="230" spans="1:5">
      <c r="A230">
        <f>IF(COUNTBLANK(B230:E230)&lt;&gt;COLUMNS(B230:E230),229,"")</f>
        <v>0</v>
      </c>
      <c r="C230" s="1">
        <f>IF(B230="", "", "human-oral")</f>
        <v>0</v>
      </c>
      <c r="D230" s="1">
        <f>IF(B230="", "", "human oral metagenome")</f>
        <v>0</v>
      </c>
      <c r="E230" s="1">
        <f>IF(B230="", "", "447426")</f>
        <v>0</v>
      </c>
    </row>
    <row r="231" spans="1:5">
      <c r="A231">
        <f>IF(COUNTBLANK(B231:E231)&lt;&gt;COLUMNS(B231:E231),230,"")</f>
        <v>0</v>
      </c>
      <c r="C231" s="1">
        <f>IF(B231="", "", "human-oral")</f>
        <v>0</v>
      </c>
      <c r="D231" s="1">
        <f>IF(B231="", "", "human oral metagenome")</f>
        <v>0</v>
      </c>
      <c r="E231" s="1">
        <f>IF(B231="", "", "447426")</f>
        <v>0</v>
      </c>
    </row>
    <row r="232" spans="1:5">
      <c r="A232">
        <f>IF(COUNTBLANK(B232:E232)&lt;&gt;COLUMNS(B232:E232),231,"")</f>
        <v>0</v>
      </c>
      <c r="C232" s="1">
        <f>IF(B232="", "", "human-oral")</f>
        <v>0</v>
      </c>
      <c r="D232" s="1">
        <f>IF(B232="", "", "human oral metagenome")</f>
        <v>0</v>
      </c>
      <c r="E232" s="1">
        <f>IF(B232="", "", "447426")</f>
        <v>0</v>
      </c>
    </row>
    <row r="233" spans="1:5">
      <c r="A233">
        <f>IF(COUNTBLANK(B233:E233)&lt;&gt;COLUMNS(B233:E233),232,"")</f>
        <v>0</v>
      </c>
      <c r="C233" s="1">
        <f>IF(B233="", "", "human-oral")</f>
        <v>0</v>
      </c>
      <c r="D233" s="1">
        <f>IF(B233="", "", "human oral metagenome")</f>
        <v>0</v>
      </c>
      <c r="E233" s="1">
        <f>IF(B233="", "", "447426")</f>
        <v>0</v>
      </c>
    </row>
    <row r="234" spans="1:5">
      <c r="A234">
        <f>IF(COUNTBLANK(B234:E234)&lt;&gt;COLUMNS(B234:E234),233,"")</f>
        <v>0</v>
      </c>
      <c r="C234" s="1">
        <f>IF(B234="", "", "human-oral")</f>
        <v>0</v>
      </c>
      <c r="D234" s="1">
        <f>IF(B234="", "", "human oral metagenome")</f>
        <v>0</v>
      </c>
      <c r="E234" s="1">
        <f>IF(B234="", "", "447426")</f>
        <v>0</v>
      </c>
    </row>
    <row r="235" spans="1:5">
      <c r="A235">
        <f>IF(COUNTBLANK(B235:E235)&lt;&gt;COLUMNS(B235:E235),234,"")</f>
        <v>0</v>
      </c>
      <c r="C235" s="1">
        <f>IF(B235="", "", "human-oral")</f>
        <v>0</v>
      </c>
      <c r="D235" s="1">
        <f>IF(B235="", "", "human oral metagenome")</f>
        <v>0</v>
      </c>
      <c r="E235" s="1">
        <f>IF(B235="", "", "447426")</f>
        <v>0</v>
      </c>
    </row>
    <row r="236" spans="1:5">
      <c r="A236">
        <f>IF(COUNTBLANK(B236:E236)&lt;&gt;COLUMNS(B236:E236),235,"")</f>
        <v>0</v>
      </c>
      <c r="C236" s="1">
        <f>IF(B236="", "", "human-oral")</f>
        <v>0</v>
      </c>
      <c r="D236" s="1">
        <f>IF(B236="", "", "human oral metagenome")</f>
        <v>0</v>
      </c>
      <c r="E236" s="1">
        <f>IF(B236="", "", "447426")</f>
        <v>0</v>
      </c>
    </row>
    <row r="237" spans="1:5">
      <c r="A237">
        <f>IF(COUNTBLANK(B237:E237)&lt;&gt;COLUMNS(B237:E237),236,"")</f>
        <v>0</v>
      </c>
      <c r="C237" s="1">
        <f>IF(B237="", "", "human-oral")</f>
        <v>0</v>
      </c>
      <c r="D237" s="1">
        <f>IF(B237="", "", "human oral metagenome")</f>
        <v>0</v>
      </c>
      <c r="E237" s="1">
        <f>IF(B237="", "", "447426")</f>
        <v>0</v>
      </c>
    </row>
    <row r="238" spans="1:5">
      <c r="A238">
        <f>IF(COUNTBLANK(B238:E238)&lt;&gt;COLUMNS(B238:E238),237,"")</f>
        <v>0</v>
      </c>
      <c r="C238" s="1">
        <f>IF(B238="", "", "human-oral")</f>
        <v>0</v>
      </c>
      <c r="D238" s="1">
        <f>IF(B238="", "", "human oral metagenome")</f>
        <v>0</v>
      </c>
      <c r="E238" s="1">
        <f>IF(B238="", "", "447426")</f>
        <v>0</v>
      </c>
    </row>
    <row r="239" spans="1:5">
      <c r="A239">
        <f>IF(COUNTBLANK(B239:E239)&lt;&gt;COLUMNS(B239:E239),238,"")</f>
        <v>0</v>
      </c>
      <c r="C239" s="1">
        <f>IF(B239="", "", "human-oral")</f>
        <v>0</v>
      </c>
      <c r="D239" s="1">
        <f>IF(B239="", "", "human oral metagenome")</f>
        <v>0</v>
      </c>
      <c r="E239" s="1">
        <f>IF(B239="", "", "447426")</f>
        <v>0</v>
      </c>
    </row>
    <row r="240" spans="1:5">
      <c r="A240">
        <f>IF(COUNTBLANK(B240:E240)&lt;&gt;COLUMNS(B240:E240),239,"")</f>
        <v>0</v>
      </c>
      <c r="C240" s="1">
        <f>IF(B240="", "", "human-oral")</f>
        <v>0</v>
      </c>
      <c r="D240" s="1">
        <f>IF(B240="", "", "human oral metagenome")</f>
        <v>0</v>
      </c>
      <c r="E240" s="1">
        <f>IF(B240="", "", "447426")</f>
        <v>0</v>
      </c>
    </row>
    <row r="241" spans="1:5">
      <c r="A241">
        <f>IF(COUNTBLANK(B241:E241)&lt;&gt;COLUMNS(B241:E241),240,"")</f>
        <v>0</v>
      </c>
      <c r="C241" s="1">
        <f>IF(B241="", "", "human-oral")</f>
        <v>0</v>
      </c>
      <c r="D241" s="1">
        <f>IF(B241="", "", "human oral metagenome")</f>
        <v>0</v>
      </c>
      <c r="E241" s="1">
        <f>IF(B241="", "", "447426")</f>
        <v>0</v>
      </c>
    </row>
    <row r="242" spans="1:5">
      <c r="A242">
        <f>IF(COUNTBLANK(B242:E242)&lt;&gt;COLUMNS(B242:E242),241,"")</f>
        <v>0</v>
      </c>
      <c r="C242" s="1">
        <f>IF(B242="", "", "human-oral")</f>
        <v>0</v>
      </c>
      <c r="D242" s="1">
        <f>IF(B242="", "", "human oral metagenome")</f>
        <v>0</v>
      </c>
      <c r="E242" s="1">
        <f>IF(B242="", "", "447426")</f>
        <v>0</v>
      </c>
    </row>
    <row r="243" spans="1:5">
      <c r="A243">
        <f>IF(COUNTBLANK(B243:E243)&lt;&gt;COLUMNS(B243:E243),242,"")</f>
        <v>0</v>
      </c>
      <c r="C243" s="1">
        <f>IF(B243="", "", "human-oral")</f>
        <v>0</v>
      </c>
      <c r="D243" s="1">
        <f>IF(B243="", "", "human oral metagenome")</f>
        <v>0</v>
      </c>
      <c r="E243" s="1">
        <f>IF(B243="", "", "447426")</f>
        <v>0</v>
      </c>
    </row>
    <row r="244" spans="1:5">
      <c r="A244">
        <f>IF(COUNTBLANK(B244:E244)&lt;&gt;COLUMNS(B244:E244),243,"")</f>
        <v>0</v>
      </c>
      <c r="C244" s="1">
        <f>IF(B244="", "", "human-oral")</f>
        <v>0</v>
      </c>
      <c r="D244" s="1">
        <f>IF(B244="", "", "human oral metagenome")</f>
        <v>0</v>
      </c>
      <c r="E244" s="1">
        <f>IF(B244="", "", "447426")</f>
        <v>0</v>
      </c>
    </row>
    <row r="245" spans="1:5">
      <c r="A245">
        <f>IF(COUNTBLANK(B245:E245)&lt;&gt;COLUMNS(B245:E245),244,"")</f>
        <v>0</v>
      </c>
      <c r="C245" s="1">
        <f>IF(B245="", "", "human-oral")</f>
        <v>0</v>
      </c>
      <c r="D245" s="1">
        <f>IF(B245="", "", "human oral metagenome")</f>
        <v>0</v>
      </c>
      <c r="E245" s="1">
        <f>IF(B245="", "", "447426")</f>
        <v>0</v>
      </c>
    </row>
    <row r="246" spans="1:5">
      <c r="A246">
        <f>IF(COUNTBLANK(B246:E246)&lt;&gt;COLUMNS(B246:E246),245,"")</f>
        <v>0</v>
      </c>
      <c r="C246" s="1">
        <f>IF(B246="", "", "human-oral")</f>
        <v>0</v>
      </c>
      <c r="D246" s="1">
        <f>IF(B246="", "", "human oral metagenome")</f>
        <v>0</v>
      </c>
      <c r="E246" s="1">
        <f>IF(B246="", "", "447426")</f>
        <v>0</v>
      </c>
    </row>
    <row r="247" spans="1:5">
      <c r="A247">
        <f>IF(COUNTBLANK(B247:E247)&lt;&gt;COLUMNS(B247:E247),246,"")</f>
        <v>0</v>
      </c>
      <c r="C247" s="1">
        <f>IF(B247="", "", "human-oral")</f>
        <v>0</v>
      </c>
      <c r="D247" s="1">
        <f>IF(B247="", "", "human oral metagenome")</f>
        <v>0</v>
      </c>
      <c r="E247" s="1">
        <f>IF(B247="", "", "447426")</f>
        <v>0</v>
      </c>
    </row>
    <row r="248" spans="1:5">
      <c r="A248">
        <f>IF(COUNTBLANK(B248:E248)&lt;&gt;COLUMNS(B248:E248),247,"")</f>
        <v>0</v>
      </c>
      <c r="C248" s="1">
        <f>IF(B248="", "", "human-oral")</f>
        <v>0</v>
      </c>
      <c r="D248" s="1">
        <f>IF(B248="", "", "human oral metagenome")</f>
        <v>0</v>
      </c>
      <c r="E248" s="1">
        <f>IF(B248="", "", "447426")</f>
        <v>0</v>
      </c>
    </row>
    <row r="249" spans="1:5">
      <c r="A249">
        <f>IF(COUNTBLANK(B249:E249)&lt;&gt;COLUMNS(B249:E249),248,"")</f>
        <v>0</v>
      </c>
      <c r="C249" s="1">
        <f>IF(B249="", "", "human-oral")</f>
        <v>0</v>
      </c>
      <c r="D249" s="1">
        <f>IF(B249="", "", "human oral metagenome")</f>
        <v>0</v>
      </c>
      <c r="E249" s="1">
        <f>IF(B249="", "", "447426")</f>
        <v>0</v>
      </c>
    </row>
    <row r="250" spans="1:5">
      <c r="A250">
        <f>IF(COUNTBLANK(B250:E250)&lt;&gt;COLUMNS(B250:E250),249,"")</f>
        <v>0</v>
      </c>
      <c r="C250" s="1">
        <f>IF(B250="", "", "human-oral")</f>
        <v>0</v>
      </c>
      <c r="D250" s="1">
        <f>IF(B250="", "", "human oral metagenome")</f>
        <v>0</v>
      </c>
      <c r="E250" s="1">
        <f>IF(B250="", "", "447426")</f>
        <v>0</v>
      </c>
    </row>
    <row r="251" spans="1:5">
      <c r="A251">
        <f>IF(COUNTBLANK(B251:E251)&lt;&gt;COLUMNS(B251:E251),250,"")</f>
        <v>0</v>
      </c>
      <c r="C251" s="1">
        <f>IF(B251="", "", "human-oral")</f>
        <v>0</v>
      </c>
      <c r="D251" s="1">
        <f>IF(B251="", "", "human oral metagenome")</f>
        <v>0</v>
      </c>
      <c r="E251" s="1">
        <f>IF(B251="", "", "447426")</f>
        <v>0</v>
      </c>
    </row>
    <row r="252" spans="1:5">
      <c r="A252">
        <f>IF(COUNTBLANK(B252:E252)&lt;&gt;COLUMNS(B252:E252),251,"")</f>
        <v>0</v>
      </c>
      <c r="C252" s="1">
        <f>IF(B252="", "", "human-oral")</f>
        <v>0</v>
      </c>
      <c r="D252" s="1">
        <f>IF(B252="", "", "human oral metagenome")</f>
        <v>0</v>
      </c>
      <c r="E252" s="1">
        <f>IF(B252="", "", "447426")</f>
        <v>0</v>
      </c>
    </row>
    <row r="253" spans="1:5">
      <c r="A253">
        <f>IF(COUNTBLANK(B253:E253)&lt;&gt;COLUMNS(B253:E253),252,"")</f>
        <v>0</v>
      </c>
      <c r="C253" s="1">
        <f>IF(B253="", "", "human-oral")</f>
        <v>0</v>
      </c>
      <c r="D253" s="1">
        <f>IF(B253="", "", "human oral metagenome")</f>
        <v>0</v>
      </c>
      <c r="E253" s="1">
        <f>IF(B253="", "", "447426")</f>
        <v>0</v>
      </c>
    </row>
    <row r="254" spans="1:5">
      <c r="A254">
        <f>IF(COUNTBLANK(B254:E254)&lt;&gt;COLUMNS(B254:E254),253,"")</f>
        <v>0</v>
      </c>
      <c r="C254" s="1">
        <f>IF(B254="", "", "human-oral")</f>
        <v>0</v>
      </c>
      <c r="D254" s="1">
        <f>IF(B254="", "", "human oral metagenome")</f>
        <v>0</v>
      </c>
      <c r="E254" s="1">
        <f>IF(B254="", "", "447426")</f>
        <v>0</v>
      </c>
    </row>
    <row r="255" spans="1:5">
      <c r="A255">
        <f>IF(COUNTBLANK(B255:E255)&lt;&gt;COLUMNS(B255:E255),254,"")</f>
        <v>0</v>
      </c>
      <c r="C255" s="1">
        <f>IF(B255="", "", "human-oral")</f>
        <v>0</v>
      </c>
      <c r="D255" s="1">
        <f>IF(B255="", "", "human oral metagenome")</f>
        <v>0</v>
      </c>
      <c r="E255" s="1">
        <f>IF(B255="", "", "447426")</f>
        <v>0</v>
      </c>
    </row>
    <row r="256" spans="1:5">
      <c r="A256">
        <f>IF(COUNTBLANK(B256:E256)&lt;&gt;COLUMNS(B256:E256),255,"")</f>
        <v>0</v>
      </c>
      <c r="C256" s="1">
        <f>IF(B256="", "", "human-oral")</f>
        <v>0</v>
      </c>
      <c r="D256" s="1">
        <f>IF(B256="", "", "human oral metagenome")</f>
        <v>0</v>
      </c>
      <c r="E256" s="1">
        <f>IF(B256="", "", "447426")</f>
        <v>0</v>
      </c>
    </row>
    <row r="257" spans="1:5">
      <c r="A257">
        <f>IF(COUNTBLANK(B257:E257)&lt;&gt;COLUMNS(B257:E257),256,"")</f>
        <v>0</v>
      </c>
      <c r="C257" s="1">
        <f>IF(B257="", "", "human-oral")</f>
        <v>0</v>
      </c>
      <c r="D257" s="1">
        <f>IF(B257="", "", "human oral metagenome")</f>
        <v>0</v>
      </c>
      <c r="E257" s="1">
        <f>IF(B257="", "", "447426")</f>
        <v>0</v>
      </c>
    </row>
    <row r="258" spans="1:5">
      <c r="A258">
        <f>IF(COUNTBLANK(B258:E258)&lt;&gt;COLUMNS(B258:E258),257,"")</f>
        <v>0</v>
      </c>
      <c r="C258" s="1">
        <f>IF(B258="", "", "human-oral")</f>
        <v>0</v>
      </c>
      <c r="D258" s="1">
        <f>IF(B258="", "", "human oral metagenome")</f>
        <v>0</v>
      </c>
      <c r="E258" s="1">
        <f>IF(B258="", "", "447426")</f>
        <v>0</v>
      </c>
    </row>
    <row r="259" spans="1:5">
      <c r="A259">
        <f>IF(COUNTBLANK(B259:E259)&lt;&gt;COLUMNS(B259:E259),258,"")</f>
        <v>0</v>
      </c>
      <c r="C259" s="1">
        <f>IF(B259="", "", "human-oral")</f>
        <v>0</v>
      </c>
      <c r="D259" s="1">
        <f>IF(B259="", "", "human oral metagenome")</f>
        <v>0</v>
      </c>
      <c r="E259" s="1">
        <f>IF(B259="", "", "447426")</f>
        <v>0</v>
      </c>
    </row>
    <row r="260" spans="1:5">
      <c r="A260">
        <f>IF(COUNTBLANK(B260:E260)&lt;&gt;COLUMNS(B260:E260),259,"")</f>
        <v>0</v>
      </c>
      <c r="C260" s="1">
        <f>IF(B260="", "", "human-oral")</f>
        <v>0</v>
      </c>
      <c r="D260" s="1">
        <f>IF(B260="", "", "human oral metagenome")</f>
        <v>0</v>
      </c>
      <c r="E260" s="1">
        <f>IF(B260="", "", "447426")</f>
        <v>0</v>
      </c>
    </row>
    <row r="261" spans="1:5">
      <c r="A261">
        <f>IF(COUNTBLANK(B261:E261)&lt;&gt;COLUMNS(B261:E261),260,"")</f>
        <v>0</v>
      </c>
      <c r="C261" s="1">
        <f>IF(B261="", "", "human-oral")</f>
        <v>0</v>
      </c>
      <c r="D261" s="1">
        <f>IF(B261="", "", "human oral metagenome")</f>
        <v>0</v>
      </c>
      <c r="E261" s="1">
        <f>IF(B261="", "", "447426")</f>
        <v>0</v>
      </c>
    </row>
    <row r="262" spans="1:5">
      <c r="A262">
        <f>IF(COUNTBLANK(B262:E262)&lt;&gt;COLUMNS(B262:E262),261,"")</f>
        <v>0</v>
      </c>
      <c r="C262" s="1">
        <f>IF(B262="", "", "human-oral")</f>
        <v>0</v>
      </c>
      <c r="D262" s="1">
        <f>IF(B262="", "", "human oral metagenome")</f>
        <v>0</v>
      </c>
      <c r="E262" s="1">
        <f>IF(B262="", "", "447426")</f>
        <v>0</v>
      </c>
    </row>
    <row r="263" spans="1:5">
      <c r="A263">
        <f>IF(COUNTBLANK(B263:E263)&lt;&gt;COLUMNS(B263:E263),262,"")</f>
        <v>0</v>
      </c>
      <c r="C263" s="1">
        <f>IF(B263="", "", "human-oral")</f>
        <v>0</v>
      </c>
      <c r="D263" s="1">
        <f>IF(B263="", "", "human oral metagenome")</f>
        <v>0</v>
      </c>
      <c r="E263" s="1">
        <f>IF(B263="", "", "447426")</f>
        <v>0</v>
      </c>
    </row>
    <row r="264" spans="1:5">
      <c r="A264">
        <f>IF(COUNTBLANK(B264:E264)&lt;&gt;COLUMNS(B264:E264),263,"")</f>
        <v>0</v>
      </c>
      <c r="C264" s="1">
        <f>IF(B264="", "", "human-oral")</f>
        <v>0</v>
      </c>
      <c r="D264" s="1">
        <f>IF(B264="", "", "human oral metagenome")</f>
        <v>0</v>
      </c>
      <c r="E264" s="1">
        <f>IF(B264="", "", "447426")</f>
        <v>0</v>
      </c>
    </row>
    <row r="265" spans="1:5">
      <c r="A265">
        <f>IF(COUNTBLANK(B265:E265)&lt;&gt;COLUMNS(B265:E265),264,"")</f>
        <v>0</v>
      </c>
      <c r="C265" s="1">
        <f>IF(B265="", "", "human-oral")</f>
        <v>0</v>
      </c>
      <c r="D265" s="1">
        <f>IF(B265="", "", "human oral metagenome")</f>
        <v>0</v>
      </c>
      <c r="E265" s="1">
        <f>IF(B265="", "", "447426")</f>
        <v>0</v>
      </c>
    </row>
    <row r="266" spans="1:5">
      <c r="A266">
        <f>IF(COUNTBLANK(B266:E266)&lt;&gt;COLUMNS(B266:E266),265,"")</f>
        <v>0</v>
      </c>
      <c r="C266" s="1">
        <f>IF(B266="", "", "human-oral")</f>
        <v>0</v>
      </c>
      <c r="D266" s="1">
        <f>IF(B266="", "", "human oral metagenome")</f>
        <v>0</v>
      </c>
      <c r="E266" s="1">
        <f>IF(B266="", "", "447426")</f>
        <v>0</v>
      </c>
    </row>
    <row r="267" spans="1:5">
      <c r="A267">
        <f>IF(COUNTBLANK(B267:E267)&lt;&gt;COLUMNS(B267:E267),266,"")</f>
        <v>0</v>
      </c>
      <c r="C267" s="1">
        <f>IF(B267="", "", "human-oral")</f>
        <v>0</v>
      </c>
      <c r="D267" s="1">
        <f>IF(B267="", "", "human oral metagenome")</f>
        <v>0</v>
      </c>
      <c r="E267" s="1">
        <f>IF(B267="", "", "447426")</f>
        <v>0</v>
      </c>
    </row>
    <row r="268" spans="1:5">
      <c r="A268">
        <f>IF(COUNTBLANK(B268:E268)&lt;&gt;COLUMNS(B268:E268),267,"")</f>
        <v>0</v>
      </c>
      <c r="C268" s="1">
        <f>IF(B268="", "", "human-oral")</f>
        <v>0</v>
      </c>
      <c r="D268" s="1">
        <f>IF(B268="", "", "human oral metagenome")</f>
        <v>0</v>
      </c>
      <c r="E268" s="1">
        <f>IF(B268="", "", "447426")</f>
        <v>0</v>
      </c>
    </row>
    <row r="269" spans="1:5">
      <c r="A269">
        <f>IF(COUNTBLANK(B269:E269)&lt;&gt;COLUMNS(B269:E269),268,"")</f>
        <v>0</v>
      </c>
      <c r="C269" s="1">
        <f>IF(B269="", "", "human-oral")</f>
        <v>0</v>
      </c>
      <c r="D269" s="1">
        <f>IF(B269="", "", "human oral metagenome")</f>
        <v>0</v>
      </c>
      <c r="E269" s="1">
        <f>IF(B269="", "", "447426")</f>
        <v>0</v>
      </c>
    </row>
    <row r="270" spans="1:5">
      <c r="A270">
        <f>IF(COUNTBLANK(B270:E270)&lt;&gt;COLUMNS(B270:E270),269,"")</f>
        <v>0</v>
      </c>
      <c r="C270" s="1">
        <f>IF(B270="", "", "human-oral")</f>
        <v>0</v>
      </c>
      <c r="D270" s="1">
        <f>IF(B270="", "", "human oral metagenome")</f>
        <v>0</v>
      </c>
      <c r="E270" s="1">
        <f>IF(B270="", "", "447426")</f>
        <v>0</v>
      </c>
    </row>
    <row r="271" spans="1:5">
      <c r="A271">
        <f>IF(COUNTBLANK(B271:E271)&lt;&gt;COLUMNS(B271:E271),270,"")</f>
        <v>0</v>
      </c>
      <c r="C271" s="1">
        <f>IF(B271="", "", "human-oral")</f>
        <v>0</v>
      </c>
      <c r="D271" s="1">
        <f>IF(B271="", "", "human oral metagenome")</f>
        <v>0</v>
      </c>
      <c r="E271" s="1">
        <f>IF(B271="", "", "447426")</f>
        <v>0</v>
      </c>
    </row>
    <row r="272" spans="1:5">
      <c r="A272">
        <f>IF(COUNTBLANK(B272:E272)&lt;&gt;COLUMNS(B272:E272),271,"")</f>
        <v>0</v>
      </c>
      <c r="C272" s="1">
        <f>IF(B272="", "", "human-oral")</f>
        <v>0</v>
      </c>
      <c r="D272" s="1">
        <f>IF(B272="", "", "human oral metagenome")</f>
        <v>0</v>
      </c>
      <c r="E272" s="1">
        <f>IF(B272="", "", "447426")</f>
        <v>0</v>
      </c>
    </row>
    <row r="273" spans="1:5">
      <c r="A273">
        <f>IF(COUNTBLANK(B273:E273)&lt;&gt;COLUMNS(B273:E273),272,"")</f>
        <v>0</v>
      </c>
      <c r="C273" s="1">
        <f>IF(B273="", "", "human-oral")</f>
        <v>0</v>
      </c>
      <c r="D273" s="1">
        <f>IF(B273="", "", "human oral metagenome")</f>
        <v>0</v>
      </c>
      <c r="E273" s="1">
        <f>IF(B273="", "", "447426")</f>
        <v>0</v>
      </c>
    </row>
    <row r="274" spans="1:5">
      <c r="A274">
        <f>IF(COUNTBLANK(B274:E274)&lt;&gt;COLUMNS(B274:E274),273,"")</f>
        <v>0</v>
      </c>
      <c r="C274" s="1">
        <f>IF(B274="", "", "human-oral")</f>
        <v>0</v>
      </c>
      <c r="D274" s="1">
        <f>IF(B274="", "", "human oral metagenome")</f>
        <v>0</v>
      </c>
      <c r="E274" s="1">
        <f>IF(B274="", "", "447426")</f>
        <v>0</v>
      </c>
    </row>
    <row r="275" spans="1:5">
      <c r="A275">
        <f>IF(COUNTBLANK(B275:E275)&lt;&gt;COLUMNS(B275:E275),274,"")</f>
        <v>0</v>
      </c>
      <c r="C275" s="1">
        <f>IF(B275="", "", "human-oral")</f>
        <v>0</v>
      </c>
      <c r="D275" s="1">
        <f>IF(B275="", "", "human oral metagenome")</f>
        <v>0</v>
      </c>
      <c r="E275" s="1">
        <f>IF(B275="", "", "447426")</f>
        <v>0</v>
      </c>
    </row>
    <row r="276" spans="1:5">
      <c r="A276">
        <f>IF(COUNTBLANK(B276:E276)&lt;&gt;COLUMNS(B276:E276),275,"")</f>
        <v>0</v>
      </c>
      <c r="C276" s="1">
        <f>IF(B276="", "", "human-oral")</f>
        <v>0</v>
      </c>
      <c r="D276" s="1">
        <f>IF(B276="", "", "human oral metagenome")</f>
        <v>0</v>
      </c>
      <c r="E276" s="1">
        <f>IF(B276="", "", "447426")</f>
        <v>0</v>
      </c>
    </row>
    <row r="277" spans="1:5">
      <c r="A277">
        <f>IF(COUNTBLANK(B277:E277)&lt;&gt;COLUMNS(B277:E277),276,"")</f>
        <v>0</v>
      </c>
      <c r="C277" s="1">
        <f>IF(B277="", "", "human-oral")</f>
        <v>0</v>
      </c>
      <c r="D277" s="1">
        <f>IF(B277="", "", "human oral metagenome")</f>
        <v>0</v>
      </c>
      <c r="E277" s="1">
        <f>IF(B277="", "", "447426")</f>
        <v>0</v>
      </c>
    </row>
    <row r="278" spans="1:5">
      <c r="A278">
        <f>IF(COUNTBLANK(B278:E278)&lt;&gt;COLUMNS(B278:E278),277,"")</f>
        <v>0</v>
      </c>
      <c r="C278" s="1">
        <f>IF(B278="", "", "human-oral")</f>
        <v>0</v>
      </c>
      <c r="D278" s="1">
        <f>IF(B278="", "", "human oral metagenome")</f>
        <v>0</v>
      </c>
      <c r="E278" s="1">
        <f>IF(B278="", "", "447426")</f>
        <v>0</v>
      </c>
    </row>
    <row r="279" spans="1:5">
      <c r="A279">
        <f>IF(COUNTBLANK(B279:E279)&lt;&gt;COLUMNS(B279:E279),278,"")</f>
        <v>0</v>
      </c>
      <c r="C279" s="1">
        <f>IF(B279="", "", "human-oral")</f>
        <v>0</v>
      </c>
      <c r="D279" s="1">
        <f>IF(B279="", "", "human oral metagenome")</f>
        <v>0</v>
      </c>
      <c r="E279" s="1">
        <f>IF(B279="", "", "447426")</f>
        <v>0</v>
      </c>
    </row>
    <row r="280" spans="1:5">
      <c r="A280">
        <f>IF(COUNTBLANK(B280:E280)&lt;&gt;COLUMNS(B280:E280),279,"")</f>
        <v>0</v>
      </c>
      <c r="C280" s="1">
        <f>IF(B280="", "", "human-oral")</f>
        <v>0</v>
      </c>
      <c r="D280" s="1">
        <f>IF(B280="", "", "human oral metagenome")</f>
        <v>0</v>
      </c>
      <c r="E280" s="1">
        <f>IF(B280="", "", "447426")</f>
        <v>0</v>
      </c>
    </row>
    <row r="281" spans="1:5">
      <c r="A281">
        <f>IF(COUNTBLANK(B281:E281)&lt;&gt;COLUMNS(B281:E281),280,"")</f>
        <v>0</v>
      </c>
      <c r="C281" s="1">
        <f>IF(B281="", "", "human-oral")</f>
        <v>0</v>
      </c>
      <c r="D281" s="1">
        <f>IF(B281="", "", "human oral metagenome")</f>
        <v>0</v>
      </c>
      <c r="E281" s="1">
        <f>IF(B281="", "", "447426")</f>
        <v>0</v>
      </c>
    </row>
    <row r="282" spans="1:5">
      <c r="A282">
        <f>IF(COUNTBLANK(B282:E282)&lt;&gt;COLUMNS(B282:E282),281,"")</f>
        <v>0</v>
      </c>
      <c r="C282" s="1">
        <f>IF(B282="", "", "human-oral")</f>
        <v>0</v>
      </c>
      <c r="D282" s="1">
        <f>IF(B282="", "", "human oral metagenome")</f>
        <v>0</v>
      </c>
      <c r="E282" s="1">
        <f>IF(B282="", "", "447426")</f>
        <v>0</v>
      </c>
    </row>
    <row r="283" spans="1:5">
      <c r="A283">
        <f>IF(COUNTBLANK(B283:E283)&lt;&gt;COLUMNS(B283:E283),282,"")</f>
        <v>0</v>
      </c>
      <c r="C283" s="1">
        <f>IF(B283="", "", "human-oral")</f>
        <v>0</v>
      </c>
      <c r="D283" s="1">
        <f>IF(B283="", "", "human oral metagenome")</f>
        <v>0</v>
      </c>
      <c r="E283" s="1">
        <f>IF(B283="", "", "447426")</f>
        <v>0</v>
      </c>
    </row>
    <row r="284" spans="1:5">
      <c r="A284">
        <f>IF(COUNTBLANK(B284:E284)&lt;&gt;COLUMNS(B284:E284),283,"")</f>
        <v>0</v>
      </c>
      <c r="C284" s="1">
        <f>IF(B284="", "", "human-oral")</f>
        <v>0</v>
      </c>
      <c r="D284" s="1">
        <f>IF(B284="", "", "human oral metagenome")</f>
        <v>0</v>
      </c>
      <c r="E284" s="1">
        <f>IF(B284="", "", "447426")</f>
        <v>0</v>
      </c>
    </row>
    <row r="285" spans="1:5">
      <c r="A285">
        <f>IF(COUNTBLANK(B285:E285)&lt;&gt;COLUMNS(B285:E285),284,"")</f>
        <v>0</v>
      </c>
      <c r="C285" s="1">
        <f>IF(B285="", "", "human-oral")</f>
        <v>0</v>
      </c>
      <c r="D285" s="1">
        <f>IF(B285="", "", "human oral metagenome")</f>
        <v>0</v>
      </c>
      <c r="E285" s="1">
        <f>IF(B285="", "", "447426")</f>
        <v>0</v>
      </c>
    </row>
    <row r="286" spans="1:5">
      <c r="A286">
        <f>IF(COUNTBLANK(B286:E286)&lt;&gt;COLUMNS(B286:E286),285,"")</f>
        <v>0</v>
      </c>
      <c r="C286" s="1">
        <f>IF(B286="", "", "human-oral")</f>
        <v>0</v>
      </c>
      <c r="D286" s="1">
        <f>IF(B286="", "", "human oral metagenome")</f>
        <v>0</v>
      </c>
      <c r="E286" s="1">
        <f>IF(B286="", "", "447426")</f>
        <v>0</v>
      </c>
    </row>
    <row r="287" spans="1:5">
      <c r="A287">
        <f>IF(COUNTBLANK(B287:E287)&lt;&gt;COLUMNS(B287:E287),286,"")</f>
        <v>0</v>
      </c>
      <c r="C287" s="1">
        <f>IF(B287="", "", "human-oral")</f>
        <v>0</v>
      </c>
      <c r="D287" s="1">
        <f>IF(B287="", "", "human oral metagenome")</f>
        <v>0</v>
      </c>
      <c r="E287" s="1">
        <f>IF(B287="", "", "447426")</f>
        <v>0</v>
      </c>
    </row>
    <row r="288" spans="1:5">
      <c r="A288">
        <f>IF(COUNTBLANK(B288:E288)&lt;&gt;COLUMNS(B288:E288),287,"")</f>
        <v>0</v>
      </c>
      <c r="C288" s="1">
        <f>IF(B288="", "", "human-oral")</f>
        <v>0</v>
      </c>
      <c r="D288" s="1">
        <f>IF(B288="", "", "human oral metagenome")</f>
        <v>0</v>
      </c>
      <c r="E288" s="1">
        <f>IF(B288="", "", "447426")</f>
        <v>0</v>
      </c>
    </row>
    <row r="289" spans="1:5">
      <c r="A289">
        <f>IF(COUNTBLANK(B289:E289)&lt;&gt;COLUMNS(B289:E289),288,"")</f>
        <v>0</v>
      </c>
      <c r="C289" s="1">
        <f>IF(B289="", "", "human-oral")</f>
        <v>0</v>
      </c>
      <c r="D289" s="1">
        <f>IF(B289="", "", "human oral metagenome")</f>
        <v>0</v>
      </c>
      <c r="E289" s="1">
        <f>IF(B289="", "", "447426")</f>
        <v>0</v>
      </c>
    </row>
    <row r="290" spans="1:5">
      <c r="A290">
        <f>IF(COUNTBLANK(B290:E290)&lt;&gt;COLUMNS(B290:E290),289,"")</f>
        <v>0</v>
      </c>
      <c r="C290" s="1">
        <f>IF(B290="", "", "human-oral")</f>
        <v>0</v>
      </c>
      <c r="D290" s="1">
        <f>IF(B290="", "", "human oral metagenome")</f>
        <v>0</v>
      </c>
      <c r="E290" s="1">
        <f>IF(B290="", "", "447426")</f>
        <v>0</v>
      </c>
    </row>
    <row r="291" spans="1:5">
      <c r="A291">
        <f>IF(COUNTBLANK(B291:E291)&lt;&gt;COLUMNS(B291:E291),290,"")</f>
        <v>0</v>
      </c>
      <c r="C291" s="1">
        <f>IF(B291="", "", "human-oral")</f>
        <v>0</v>
      </c>
      <c r="D291" s="1">
        <f>IF(B291="", "", "human oral metagenome")</f>
        <v>0</v>
      </c>
      <c r="E291" s="1">
        <f>IF(B291="", "", "447426")</f>
        <v>0</v>
      </c>
    </row>
    <row r="292" spans="1:5">
      <c r="A292">
        <f>IF(COUNTBLANK(B292:E292)&lt;&gt;COLUMNS(B292:E292),291,"")</f>
        <v>0</v>
      </c>
      <c r="C292" s="1">
        <f>IF(B292="", "", "human-oral")</f>
        <v>0</v>
      </c>
      <c r="D292" s="1">
        <f>IF(B292="", "", "human oral metagenome")</f>
        <v>0</v>
      </c>
      <c r="E292" s="1">
        <f>IF(B292="", "", "447426")</f>
        <v>0</v>
      </c>
    </row>
    <row r="293" spans="1:5">
      <c r="A293">
        <f>IF(COUNTBLANK(B293:E293)&lt;&gt;COLUMNS(B293:E293),292,"")</f>
        <v>0</v>
      </c>
      <c r="C293" s="1">
        <f>IF(B293="", "", "human-oral")</f>
        <v>0</v>
      </c>
      <c r="D293" s="1">
        <f>IF(B293="", "", "human oral metagenome")</f>
        <v>0</v>
      </c>
      <c r="E293" s="1">
        <f>IF(B293="", "", "447426")</f>
        <v>0</v>
      </c>
    </row>
    <row r="294" spans="1:5">
      <c r="A294">
        <f>IF(COUNTBLANK(B294:E294)&lt;&gt;COLUMNS(B294:E294),293,"")</f>
        <v>0</v>
      </c>
      <c r="C294" s="1">
        <f>IF(B294="", "", "human-oral")</f>
        <v>0</v>
      </c>
      <c r="D294" s="1">
        <f>IF(B294="", "", "human oral metagenome")</f>
        <v>0</v>
      </c>
      <c r="E294" s="1">
        <f>IF(B294="", "", "447426")</f>
        <v>0</v>
      </c>
    </row>
    <row r="295" spans="1:5">
      <c r="A295">
        <f>IF(COUNTBLANK(B295:E295)&lt;&gt;COLUMNS(B295:E295),294,"")</f>
        <v>0</v>
      </c>
      <c r="C295" s="1">
        <f>IF(B295="", "", "human-oral")</f>
        <v>0</v>
      </c>
      <c r="D295" s="1">
        <f>IF(B295="", "", "human oral metagenome")</f>
        <v>0</v>
      </c>
      <c r="E295" s="1">
        <f>IF(B295="", "", "447426")</f>
        <v>0</v>
      </c>
    </row>
    <row r="296" spans="1:5">
      <c r="A296">
        <f>IF(COUNTBLANK(B296:E296)&lt;&gt;COLUMNS(B296:E296),295,"")</f>
        <v>0</v>
      </c>
      <c r="C296" s="1">
        <f>IF(B296="", "", "human-oral")</f>
        <v>0</v>
      </c>
      <c r="D296" s="1">
        <f>IF(B296="", "", "human oral metagenome")</f>
        <v>0</v>
      </c>
      <c r="E296" s="1">
        <f>IF(B296="", "", "447426")</f>
        <v>0</v>
      </c>
    </row>
    <row r="297" spans="1:5">
      <c r="A297">
        <f>IF(COUNTBLANK(B297:E297)&lt;&gt;COLUMNS(B297:E297),296,"")</f>
        <v>0</v>
      </c>
      <c r="C297" s="1">
        <f>IF(B297="", "", "human-oral")</f>
        <v>0</v>
      </c>
      <c r="D297" s="1">
        <f>IF(B297="", "", "human oral metagenome")</f>
        <v>0</v>
      </c>
      <c r="E297" s="1">
        <f>IF(B297="", "", "447426")</f>
        <v>0</v>
      </c>
    </row>
    <row r="298" spans="1:5">
      <c r="A298">
        <f>IF(COUNTBLANK(B298:E298)&lt;&gt;COLUMNS(B298:E298),297,"")</f>
        <v>0</v>
      </c>
      <c r="C298" s="1">
        <f>IF(B298="", "", "human-oral")</f>
        <v>0</v>
      </c>
      <c r="D298" s="1">
        <f>IF(B298="", "", "human oral metagenome")</f>
        <v>0</v>
      </c>
      <c r="E298" s="1">
        <f>IF(B298="", "", "447426")</f>
        <v>0</v>
      </c>
    </row>
    <row r="299" spans="1:5">
      <c r="A299">
        <f>IF(COUNTBLANK(B299:E299)&lt;&gt;COLUMNS(B299:E299),298,"")</f>
        <v>0</v>
      </c>
      <c r="C299" s="1">
        <f>IF(B299="", "", "human-oral")</f>
        <v>0</v>
      </c>
      <c r="D299" s="1">
        <f>IF(B299="", "", "human oral metagenome")</f>
        <v>0</v>
      </c>
      <c r="E299" s="1">
        <f>IF(B299="", "", "447426")</f>
        <v>0</v>
      </c>
    </row>
    <row r="300" spans="1:5">
      <c r="A300">
        <f>IF(COUNTBLANK(B300:E300)&lt;&gt;COLUMNS(B300:E300),299,"")</f>
        <v>0</v>
      </c>
      <c r="C300" s="1">
        <f>IF(B300="", "", "human-oral")</f>
        <v>0</v>
      </c>
      <c r="D300" s="1">
        <f>IF(B300="", "", "human oral metagenome")</f>
        <v>0</v>
      </c>
      <c r="E300" s="1">
        <f>IF(B300="", "", "447426")</f>
        <v>0</v>
      </c>
    </row>
    <row r="301" spans="1:5">
      <c r="A301">
        <f>IF(COUNTBLANK(B301:E301)&lt;&gt;COLUMNS(B301:E301),300,"")</f>
        <v>0</v>
      </c>
      <c r="C301" s="1">
        <f>IF(B301="", "", "human-oral")</f>
        <v>0</v>
      </c>
      <c r="D301" s="1">
        <f>IF(B301="", "", "human oral metagenome")</f>
        <v>0</v>
      </c>
      <c r="E301" s="1">
        <f>IF(B301="", "", "447426")</f>
        <v>0</v>
      </c>
    </row>
    <row r="302" spans="1:5">
      <c r="A302">
        <f>IF(COUNTBLANK(B302:E302)&lt;&gt;COLUMNS(B302:E302),301,"")</f>
        <v>0</v>
      </c>
      <c r="C302" s="1">
        <f>IF(B302="", "", "human-oral")</f>
        <v>0</v>
      </c>
      <c r="D302" s="1">
        <f>IF(B302="", "", "human oral metagenome")</f>
        <v>0</v>
      </c>
      <c r="E302" s="1">
        <f>IF(B302="", "", "447426")</f>
        <v>0</v>
      </c>
    </row>
    <row r="303" spans="1:5">
      <c r="A303">
        <f>IF(COUNTBLANK(B303:E303)&lt;&gt;COLUMNS(B303:E303),302,"")</f>
        <v>0</v>
      </c>
      <c r="C303" s="1">
        <f>IF(B303="", "", "human-oral")</f>
        <v>0</v>
      </c>
      <c r="D303" s="1">
        <f>IF(B303="", "", "human oral metagenome")</f>
        <v>0</v>
      </c>
      <c r="E303" s="1">
        <f>IF(B303="", "", "447426")</f>
        <v>0</v>
      </c>
    </row>
    <row r="304" spans="1:5">
      <c r="A304">
        <f>IF(COUNTBLANK(B304:E304)&lt;&gt;COLUMNS(B304:E304),303,"")</f>
        <v>0</v>
      </c>
      <c r="C304" s="1">
        <f>IF(B304="", "", "human-oral")</f>
        <v>0</v>
      </c>
      <c r="D304" s="1">
        <f>IF(B304="", "", "human oral metagenome")</f>
        <v>0</v>
      </c>
      <c r="E304" s="1">
        <f>IF(B304="", "", "447426")</f>
        <v>0</v>
      </c>
    </row>
    <row r="305" spans="1:5">
      <c r="A305">
        <f>IF(COUNTBLANK(B305:E305)&lt;&gt;COLUMNS(B305:E305),304,"")</f>
        <v>0</v>
      </c>
      <c r="C305" s="1">
        <f>IF(B305="", "", "human-oral")</f>
        <v>0</v>
      </c>
      <c r="D305" s="1">
        <f>IF(B305="", "", "human oral metagenome")</f>
        <v>0</v>
      </c>
      <c r="E305" s="1">
        <f>IF(B305="", "", "447426")</f>
        <v>0</v>
      </c>
    </row>
    <row r="306" spans="1:5">
      <c r="A306">
        <f>IF(COUNTBLANK(B306:E306)&lt;&gt;COLUMNS(B306:E306),305,"")</f>
        <v>0</v>
      </c>
      <c r="C306" s="1">
        <f>IF(B306="", "", "human-oral")</f>
        <v>0</v>
      </c>
      <c r="D306" s="1">
        <f>IF(B306="", "", "human oral metagenome")</f>
        <v>0</v>
      </c>
      <c r="E306" s="1">
        <f>IF(B306="", "", "447426")</f>
        <v>0</v>
      </c>
    </row>
    <row r="307" spans="1:5">
      <c r="A307">
        <f>IF(COUNTBLANK(B307:E307)&lt;&gt;COLUMNS(B307:E307),306,"")</f>
        <v>0</v>
      </c>
      <c r="C307" s="1">
        <f>IF(B307="", "", "human-oral")</f>
        <v>0</v>
      </c>
      <c r="D307" s="1">
        <f>IF(B307="", "", "human oral metagenome")</f>
        <v>0</v>
      </c>
      <c r="E307" s="1">
        <f>IF(B307="", "", "447426")</f>
        <v>0</v>
      </c>
    </row>
    <row r="308" spans="1:5">
      <c r="A308">
        <f>IF(COUNTBLANK(B308:E308)&lt;&gt;COLUMNS(B308:E308),307,"")</f>
        <v>0</v>
      </c>
      <c r="C308" s="1">
        <f>IF(B308="", "", "human-oral")</f>
        <v>0</v>
      </c>
      <c r="D308" s="1">
        <f>IF(B308="", "", "human oral metagenome")</f>
        <v>0</v>
      </c>
      <c r="E308" s="1">
        <f>IF(B308="", "", "447426")</f>
        <v>0</v>
      </c>
    </row>
    <row r="309" spans="1:5">
      <c r="A309">
        <f>IF(COUNTBLANK(B309:E309)&lt;&gt;COLUMNS(B309:E309),308,"")</f>
        <v>0</v>
      </c>
      <c r="C309" s="1">
        <f>IF(B309="", "", "human-oral")</f>
        <v>0</v>
      </c>
      <c r="D309" s="1">
        <f>IF(B309="", "", "human oral metagenome")</f>
        <v>0</v>
      </c>
      <c r="E309" s="1">
        <f>IF(B309="", "", "447426")</f>
        <v>0</v>
      </c>
    </row>
    <row r="310" spans="1:5">
      <c r="A310">
        <f>IF(COUNTBLANK(B310:E310)&lt;&gt;COLUMNS(B310:E310),309,"")</f>
        <v>0</v>
      </c>
      <c r="C310" s="1">
        <f>IF(B310="", "", "human-oral")</f>
        <v>0</v>
      </c>
      <c r="D310" s="1">
        <f>IF(B310="", "", "human oral metagenome")</f>
        <v>0</v>
      </c>
      <c r="E310" s="1">
        <f>IF(B310="", "", "447426")</f>
        <v>0</v>
      </c>
    </row>
    <row r="311" spans="1:5">
      <c r="A311">
        <f>IF(COUNTBLANK(B311:E311)&lt;&gt;COLUMNS(B311:E311),310,"")</f>
        <v>0</v>
      </c>
      <c r="C311" s="1">
        <f>IF(B311="", "", "human-oral")</f>
        <v>0</v>
      </c>
      <c r="D311" s="1">
        <f>IF(B311="", "", "human oral metagenome")</f>
        <v>0</v>
      </c>
      <c r="E311" s="1">
        <f>IF(B311="", "", "447426")</f>
        <v>0</v>
      </c>
    </row>
    <row r="312" spans="1:5">
      <c r="A312">
        <f>IF(COUNTBLANK(B312:E312)&lt;&gt;COLUMNS(B312:E312),311,"")</f>
        <v>0</v>
      </c>
      <c r="C312" s="1">
        <f>IF(B312="", "", "human-oral")</f>
        <v>0</v>
      </c>
      <c r="D312" s="1">
        <f>IF(B312="", "", "human oral metagenome")</f>
        <v>0</v>
      </c>
      <c r="E312" s="1">
        <f>IF(B312="", "", "447426")</f>
        <v>0</v>
      </c>
    </row>
    <row r="313" spans="1:5">
      <c r="A313">
        <f>IF(COUNTBLANK(B313:E313)&lt;&gt;COLUMNS(B313:E313),312,"")</f>
        <v>0</v>
      </c>
      <c r="C313" s="1">
        <f>IF(B313="", "", "human-oral")</f>
        <v>0</v>
      </c>
      <c r="D313" s="1">
        <f>IF(B313="", "", "human oral metagenome")</f>
        <v>0</v>
      </c>
      <c r="E313" s="1">
        <f>IF(B313="", "", "447426")</f>
        <v>0</v>
      </c>
    </row>
    <row r="314" spans="1:5">
      <c r="A314">
        <f>IF(COUNTBLANK(B314:E314)&lt;&gt;COLUMNS(B314:E314),313,"")</f>
        <v>0</v>
      </c>
      <c r="C314" s="1">
        <f>IF(B314="", "", "human-oral")</f>
        <v>0</v>
      </c>
      <c r="D314" s="1">
        <f>IF(B314="", "", "human oral metagenome")</f>
        <v>0</v>
      </c>
      <c r="E314" s="1">
        <f>IF(B314="", "", "447426")</f>
        <v>0</v>
      </c>
    </row>
    <row r="315" spans="1:5">
      <c r="A315">
        <f>IF(COUNTBLANK(B315:E315)&lt;&gt;COLUMNS(B315:E315),314,"")</f>
        <v>0</v>
      </c>
      <c r="C315" s="1">
        <f>IF(B315="", "", "human-oral")</f>
        <v>0</v>
      </c>
      <c r="D315" s="1">
        <f>IF(B315="", "", "human oral metagenome")</f>
        <v>0</v>
      </c>
      <c r="E315" s="1">
        <f>IF(B315="", "", "447426")</f>
        <v>0</v>
      </c>
    </row>
    <row r="316" spans="1:5">
      <c r="A316">
        <f>IF(COUNTBLANK(B316:E316)&lt;&gt;COLUMNS(B316:E316),315,"")</f>
        <v>0</v>
      </c>
      <c r="C316" s="1">
        <f>IF(B316="", "", "human-oral")</f>
        <v>0</v>
      </c>
      <c r="D316" s="1">
        <f>IF(B316="", "", "human oral metagenome")</f>
        <v>0</v>
      </c>
      <c r="E316" s="1">
        <f>IF(B316="", "", "447426")</f>
        <v>0</v>
      </c>
    </row>
    <row r="317" spans="1:5">
      <c r="A317">
        <f>IF(COUNTBLANK(B317:E317)&lt;&gt;COLUMNS(B317:E317),316,"")</f>
        <v>0</v>
      </c>
      <c r="C317" s="1">
        <f>IF(B317="", "", "human-oral")</f>
        <v>0</v>
      </c>
      <c r="D317" s="1">
        <f>IF(B317="", "", "human oral metagenome")</f>
        <v>0</v>
      </c>
      <c r="E317" s="1">
        <f>IF(B317="", "", "447426")</f>
        <v>0</v>
      </c>
    </row>
    <row r="318" spans="1:5">
      <c r="A318">
        <f>IF(COUNTBLANK(B318:E318)&lt;&gt;COLUMNS(B318:E318),317,"")</f>
        <v>0</v>
      </c>
      <c r="C318" s="1">
        <f>IF(B318="", "", "human-oral")</f>
        <v>0</v>
      </c>
      <c r="D318" s="1">
        <f>IF(B318="", "", "human oral metagenome")</f>
        <v>0</v>
      </c>
      <c r="E318" s="1">
        <f>IF(B318="", "", "447426")</f>
        <v>0</v>
      </c>
    </row>
    <row r="319" spans="1:5">
      <c r="A319">
        <f>IF(COUNTBLANK(B319:E319)&lt;&gt;COLUMNS(B319:E319),318,"")</f>
        <v>0</v>
      </c>
      <c r="C319" s="1">
        <f>IF(B319="", "", "human-oral")</f>
        <v>0</v>
      </c>
      <c r="D319" s="1">
        <f>IF(B319="", "", "human oral metagenome")</f>
        <v>0</v>
      </c>
      <c r="E319" s="1">
        <f>IF(B319="", "", "447426")</f>
        <v>0</v>
      </c>
    </row>
    <row r="320" spans="1:5">
      <c r="A320">
        <f>IF(COUNTBLANK(B320:E320)&lt;&gt;COLUMNS(B320:E320),319,"")</f>
        <v>0</v>
      </c>
      <c r="C320" s="1">
        <f>IF(B320="", "", "human-oral")</f>
        <v>0</v>
      </c>
      <c r="D320" s="1">
        <f>IF(B320="", "", "human oral metagenome")</f>
        <v>0</v>
      </c>
      <c r="E320" s="1">
        <f>IF(B320="", "", "447426")</f>
        <v>0</v>
      </c>
    </row>
    <row r="321" spans="1:5">
      <c r="A321">
        <f>IF(COUNTBLANK(B321:E321)&lt;&gt;COLUMNS(B321:E321),320,"")</f>
        <v>0</v>
      </c>
      <c r="C321" s="1">
        <f>IF(B321="", "", "human-oral")</f>
        <v>0</v>
      </c>
      <c r="D321" s="1">
        <f>IF(B321="", "", "human oral metagenome")</f>
        <v>0</v>
      </c>
      <c r="E321" s="1">
        <f>IF(B321="", "", "447426")</f>
        <v>0</v>
      </c>
    </row>
    <row r="322" spans="1:5">
      <c r="A322">
        <f>IF(COUNTBLANK(B322:E322)&lt;&gt;COLUMNS(B322:E322),321,"")</f>
        <v>0</v>
      </c>
      <c r="C322" s="1">
        <f>IF(B322="", "", "human-oral")</f>
        <v>0</v>
      </c>
      <c r="D322" s="1">
        <f>IF(B322="", "", "human oral metagenome")</f>
        <v>0</v>
      </c>
      <c r="E322" s="1">
        <f>IF(B322="", "", "447426")</f>
        <v>0</v>
      </c>
    </row>
    <row r="323" spans="1:5">
      <c r="A323">
        <f>IF(COUNTBLANK(B323:E323)&lt;&gt;COLUMNS(B323:E323),322,"")</f>
        <v>0</v>
      </c>
      <c r="C323" s="1">
        <f>IF(B323="", "", "human-oral")</f>
        <v>0</v>
      </c>
      <c r="D323" s="1">
        <f>IF(B323="", "", "human oral metagenome")</f>
        <v>0</v>
      </c>
      <c r="E323" s="1">
        <f>IF(B323="", "", "447426")</f>
        <v>0</v>
      </c>
    </row>
    <row r="324" spans="1:5">
      <c r="A324">
        <f>IF(COUNTBLANK(B324:E324)&lt;&gt;COLUMNS(B324:E324),323,"")</f>
        <v>0</v>
      </c>
      <c r="C324" s="1">
        <f>IF(B324="", "", "human-oral")</f>
        <v>0</v>
      </c>
      <c r="D324" s="1">
        <f>IF(B324="", "", "human oral metagenome")</f>
        <v>0</v>
      </c>
      <c r="E324" s="1">
        <f>IF(B324="", "", "447426")</f>
        <v>0</v>
      </c>
    </row>
    <row r="325" spans="1:5">
      <c r="A325">
        <f>IF(COUNTBLANK(B325:E325)&lt;&gt;COLUMNS(B325:E325),324,"")</f>
        <v>0</v>
      </c>
      <c r="C325" s="1">
        <f>IF(B325="", "", "human-oral")</f>
        <v>0</v>
      </c>
      <c r="D325" s="1">
        <f>IF(B325="", "", "human oral metagenome")</f>
        <v>0</v>
      </c>
      <c r="E325" s="1">
        <f>IF(B325="", "", "447426")</f>
        <v>0</v>
      </c>
    </row>
    <row r="326" spans="1:5">
      <c r="A326">
        <f>IF(COUNTBLANK(B326:E326)&lt;&gt;COLUMNS(B326:E326),325,"")</f>
        <v>0</v>
      </c>
      <c r="C326" s="1">
        <f>IF(B326="", "", "human-oral")</f>
        <v>0</v>
      </c>
      <c r="D326" s="1">
        <f>IF(B326="", "", "human oral metagenome")</f>
        <v>0</v>
      </c>
      <c r="E326" s="1">
        <f>IF(B326="", "", "447426")</f>
        <v>0</v>
      </c>
    </row>
    <row r="327" spans="1:5">
      <c r="A327">
        <f>IF(COUNTBLANK(B327:E327)&lt;&gt;COLUMNS(B327:E327),326,"")</f>
        <v>0</v>
      </c>
      <c r="C327" s="1">
        <f>IF(B327="", "", "human-oral")</f>
        <v>0</v>
      </c>
      <c r="D327" s="1">
        <f>IF(B327="", "", "human oral metagenome")</f>
        <v>0</v>
      </c>
      <c r="E327" s="1">
        <f>IF(B327="", "", "447426")</f>
        <v>0</v>
      </c>
    </row>
    <row r="328" spans="1:5">
      <c r="A328">
        <f>IF(COUNTBLANK(B328:E328)&lt;&gt;COLUMNS(B328:E328),327,"")</f>
        <v>0</v>
      </c>
      <c r="C328" s="1">
        <f>IF(B328="", "", "human-oral")</f>
        <v>0</v>
      </c>
      <c r="D328" s="1">
        <f>IF(B328="", "", "human oral metagenome")</f>
        <v>0</v>
      </c>
      <c r="E328" s="1">
        <f>IF(B328="", "", "447426")</f>
        <v>0</v>
      </c>
    </row>
    <row r="329" spans="1:5">
      <c r="A329">
        <f>IF(COUNTBLANK(B329:E329)&lt;&gt;COLUMNS(B329:E329),328,"")</f>
        <v>0</v>
      </c>
      <c r="C329" s="1">
        <f>IF(B329="", "", "human-oral")</f>
        <v>0</v>
      </c>
      <c r="D329" s="1">
        <f>IF(B329="", "", "human oral metagenome")</f>
        <v>0</v>
      </c>
      <c r="E329" s="1">
        <f>IF(B329="", "", "447426")</f>
        <v>0</v>
      </c>
    </row>
    <row r="330" spans="1:5">
      <c r="A330">
        <f>IF(COUNTBLANK(B330:E330)&lt;&gt;COLUMNS(B330:E330),329,"")</f>
        <v>0</v>
      </c>
      <c r="C330" s="1">
        <f>IF(B330="", "", "human-oral")</f>
        <v>0</v>
      </c>
      <c r="D330" s="1">
        <f>IF(B330="", "", "human oral metagenome")</f>
        <v>0</v>
      </c>
      <c r="E330" s="1">
        <f>IF(B330="", "", "447426")</f>
        <v>0</v>
      </c>
    </row>
    <row r="331" spans="1:5">
      <c r="A331">
        <f>IF(COUNTBLANK(B331:E331)&lt;&gt;COLUMNS(B331:E331),330,"")</f>
        <v>0</v>
      </c>
      <c r="C331" s="1">
        <f>IF(B331="", "", "human-oral")</f>
        <v>0</v>
      </c>
      <c r="D331" s="1">
        <f>IF(B331="", "", "human oral metagenome")</f>
        <v>0</v>
      </c>
      <c r="E331" s="1">
        <f>IF(B331="", "", "447426")</f>
        <v>0</v>
      </c>
    </row>
    <row r="332" spans="1:5">
      <c r="A332">
        <f>IF(COUNTBLANK(B332:E332)&lt;&gt;COLUMNS(B332:E332),331,"")</f>
        <v>0</v>
      </c>
      <c r="C332" s="1">
        <f>IF(B332="", "", "human-oral")</f>
        <v>0</v>
      </c>
      <c r="D332" s="1">
        <f>IF(B332="", "", "human oral metagenome")</f>
        <v>0</v>
      </c>
      <c r="E332" s="1">
        <f>IF(B332="", "", "447426")</f>
        <v>0</v>
      </c>
    </row>
    <row r="333" spans="1:5">
      <c r="A333">
        <f>IF(COUNTBLANK(B333:E333)&lt;&gt;COLUMNS(B333:E333),332,"")</f>
        <v>0</v>
      </c>
      <c r="C333" s="1">
        <f>IF(B333="", "", "human-oral")</f>
        <v>0</v>
      </c>
      <c r="D333" s="1">
        <f>IF(B333="", "", "human oral metagenome")</f>
        <v>0</v>
      </c>
      <c r="E333" s="1">
        <f>IF(B333="", "", "447426")</f>
        <v>0</v>
      </c>
    </row>
    <row r="334" spans="1:5">
      <c r="A334">
        <f>IF(COUNTBLANK(B334:E334)&lt;&gt;COLUMNS(B334:E334),333,"")</f>
        <v>0</v>
      </c>
      <c r="C334" s="1">
        <f>IF(B334="", "", "human-oral")</f>
        <v>0</v>
      </c>
      <c r="D334" s="1">
        <f>IF(B334="", "", "human oral metagenome")</f>
        <v>0</v>
      </c>
      <c r="E334" s="1">
        <f>IF(B334="", "", "447426")</f>
        <v>0</v>
      </c>
    </row>
    <row r="335" spans="1:5">
      <c r="A335">
        <f>IF(COUNTBLANK(B335:E335)&lt;&gt;COLUMNS(B335:E335),334,"")</f>
        <v>0</v>
      </c>
      <c r="C335" s="1">
        <f>IF(B335="", "", "human-oral")</f>
        <v>0</v>
      </c>
      <c r="D335" s="1">
        <f>IF(B335="", "", "human oral metagenome")</f>
        <v>0</v>
      </c>
      <c r="E335" s="1">
        <f>IF(B335="", "", "447426")</f>
        <v>0</v>
      </c>
    </row>
    <row r="336" spans="1:5">
      <c r="A336">
        <f>IF(COUNTBLANK(B336:E336)&lt;&gt;COLUMNS(B336:E336),335,"")</f>
        <v>0</v>
      </c>
      <c r="C336" s="1">
        <f>IF(B336="", "", "human-oral")</f>
        <v>0</v>
      </c>
      <c r="D336" s="1">
        <f>IF(B336="", "", "human oral metagenome")</f>
        <v>0</v>
      </c>
      <c r="E336" s="1">
        <f>IF(B336="", "", "447426")</f>
        <v>0</v>
      </c>
    </row>
    <row r="337" spans="1:5">
      <c r="A337">
        <f>IF(COUNTBLANK(B337:E337)&lt;&gt;COLUMNS(B337:E337),336,"")</f>
        <v>0</v>
      </c>
      <c r="C337" s="1">
        <f>IF(B337="", "", "human-oral")</f>
        <v>0</v>
      </c>
      <c r="D337" s="1">
        <f>IF(B337="", "", "human oral metagenome")</f>
        <v>0</v>
      </c>
      <c r="E337" s="1">
        <f>IF(B337="", "", "447426")</f>
        <v>0</v>
      </c>
    </row>
    <row r="338" spans="1:5">
      <c r="A338">
        <f>IF(COUNTBLANK(B338:E338)&lt;&gt;COLUMNS(B338:E338),337,"")</f>
        <v>0</v>
      </c>
      <c r="C338" s="1">
        <f>IF(B338="", "", "human-oral")</f>
        <v>0</v>
      </c>
      <c r="D338" s="1">
        <f>IF(B338="", "", "human oral metagenome")</f>
        <v>0</v>
      </c>
      <c r="E338" s="1">
        <f>IF(B338="", "", "447426")</f>
        <v>0</v>
      </c>
    </row>
    <row r="339" spans="1:5">
      <c r="A339">
        <f>IF(COUNTBLANK(B339:E339)&lt;&gt;COLUMNS(B339:E339),338,"")</f>
        <v>0</v>
      </c>
      <c r="C339" s="1">
        <f>IF(B339="", "", "human-oral")</f>
        <v>0</v>
      </c>
      <c r="D339" s="1">
        <f>IF(B339="", "", "human oral metagenome")</f>
        <v>0</v>
      </c>
      <c r="E339" s="1">
        <f>IF(B339="", "", "447426")</f>
        <v>0</v>
      </c>
    </row>
    <row r="340" spans="1:5">
      <c r="A340">
        <f>IF(COUNTBLANK(B340:E340)&lt;&gt;COLUMNS(B340:E340),339,"")</f>
        <v>0</v>
      </c>
      <c r="C340" s="1">
        <f>IF(B340="", "", "human-oral")</f>
        <v>0</v>
      </c>
      <c r="D340" s="1">
        <f>IF(B340="", "", "human oral metagenome")</f>
        <v>0</v>
      </c>
      <c r="E340" s="1">
        <f>IF(B340="", "", "447426")</f>
        <v>0</v>
      </c>
    </row>
    <row r="341" spans="1:5">
      <c r="A341">
        <f>IF(COUNTBLANK(B341:E341)&lt;&gt;COLUMNS(B341:E341),340,"")</f>
        <v>0</v>
      </c>
      <c r="C341" s="1">
        <f>IF(B341="", "", "human-oral")</f>
        <v>0</v>
      </c>
      <c r="D341" s="1">
        <f>IF(B341="", "", "human oral metagenome")</f>
        <v>0</v>
      </c>
      <c r="E341" s="1">
        <f>IF(B341="", "", "447426")</f>
        <v>0</v>
      </c>
    </row>
    <row r="342" spans="1:5">
      <c r="A342">
        <f>IF(COUNTBLANK(B342:E342)&lt;&gt;COLUMNS(B342:E342),341,"")</f>
        <v>0</v>
      </c>
      <c r="C342" s="1">
        <f>IF(B342="", "", "human-oral")</f>
        <v>0</v>
      </c>
      <c r="D342" s="1">
        <f>IF(B342="", "", "human oral metagenome")</f>
        <v>0</v>
      </c>
      <c r="E342" s="1">
        <f>IF(B342="", "", "447426")</f>
        <v>0</v>
      </c>
    </row>
    <row r="343" spans="1:5">
      <c r="A343">
        <f>IF(COUNTBLANK(B343:E343)&lt;&gt;COLUMNS(B343:E343),342,"")</f>
        <v>0</v>
      </c>
      <c r="C343" s="1">
        <f>IF(B343="", "", "human-oral")</f>
        <v>0</v>
      </c>
      <c r="D343" s="1">
        <f>IF(B343="", "", "human oral metagenome")</f>
        <v>0</v>
      </c>
      <c r="E343" s="1">
        <f>IF(B343="", "", "447426")</f>
        <v>0</v>
      </c>
    </row>
    <row r="344" spans="1:5">
      <c r="A344">
        <f>IF(COUNTBLANK(B344:E344)&lt;&gt;COLUMNS(B344:E344),343,"")</f>
        <v>0</v>
      </c>
      <c r="C344" s="1">
        <f>IF(B344="", "", "human-oral")</f>
        <v>0</v>
      </c>
      <c r="D344" s="1">
        <f>IF(B344="", "", "human oral metagenome")</f>
        <v>0</v>
      </c>
      <c r="E344" s="1">
        <f>IF(B344="", "", "447426")</f>
        <v>0</v>
      </c>
    </row>
    <row r="345" spans="1:5">
      <c r="A345">
        <f>IF(COUNTBLANK(B345:E345)&lt;&gt;COLUMNS(B345:E345),344,"")</f>
        <v>0</v>
      </c>
      <c r="C345" s="1">
        <f>IF(B345="", "", "human-oral")</f>
        <v>0</v>
      </c>
      <c r="D345" s="1">
        <f>IF(B345="", "", "human oral metagenome")</f>
        <v>0</v>
      </c>
      <c r="E345" s="1">
        <f>IF(B345="", "", "447426")</f>
        <v>0</v>
      </c>
    </row>
    <row r="346" spans="1:5">
      <c r="A346">
        <f>IF(COUNTBLANK(B346:E346)&lt;&gt;COLUMNS(B346:E346),345,"")</f>
        <v>0</v>
      </c>
      <c r="C346" s="1">
        <f>IF(B346="", "", "human-oral")</f>
        <v>0</v>
      </c>
      <c r="D346" s="1">
        <f>IF(B346="", "", "human oral metagenome")</f>
        <v>0</v>
      </c>
      <c r="E346" s="1">
        <f>IF(B346="", "", "447426")</f>
        <v>0</v>
      </c>
    </row>
    <row r="347" spans="1:5">
      <c r="A347">
        <f>IF(COUNTBLANK(B347:E347)&lt;&gt;COLUMNS(B347:E347),346,"")</f>
        <v>0</v>
      </c>
      <c r="C347" s="1">
        <f>IF(B347="", "", "human-oral")</f>
        <v>0</v>
      </c>
      <c r="D347" s="1">
        <f>IF(B347="", "", "human oral metagenome")</f>
        <v>0</v>
      </c>
      <c r="E347" s="1">
        <f>IF(B347="", "", "447426")</f>
        <v>0</v>
      </c>
    </row>
    <row r="348" spans="1:5">
      <c r="A348">
        <f>IF(COUNTBLANK(B348:E348)&lt;&gt;COLUMNS(B348:E348),347,"")</f>
        <v>0</v>
      </c>
      <c r="C348" s="1">
        <f>IF(B348="", "", "human-oral")</f>
        <v>0</v>
      </c>
      <c r="D348" s="1">
        <f>IF(B348="", "", "human oral metagenome")</f>
        <v>0</v>
      </c>
      <c r="E348" s="1">
        <f>IF(B348="", "", "447426")</f>
        <v>0</v>
      </c>
    </row>
    <row r="349" spans="1:5">
      <c r="A349">
        <f>IF(COUNTBLANK(B349:E349)&lt;&gt;COLUMNS(B349:E349),348,"")</f>
        <v>0</v>
      </c>
      <c r="C349" s="1">
        <f>IF(B349="", "", "human-oral")</f>
        <v>0</v>
      </c>
      <c r="D349" s="1">
        <f>IF(B349="", "", "human oral metagenome")</f>
        <v>0</v>
      </c>
      <c r="E349" s="1">
        <f>IF(B349="", "", "447426")</f>
        <v>0</v>
      </c>
    </row>
    <row r="350" spans="1:5">
      <c r="A350">
        <f>IF(COUNTBLANK(B350:E350)&lt;&gt;COLUMNS(B350:E350),349,"")</f>
        <v>0</v>
      </c>
      <c r="C350" s="1">
        <f>IF(B350="", "", "human-oral")</f>
        <v>0</v>
      </c>
      <c r="D350" s="1">
        <f>IF(B350="", "", "human oral metagenome")</f>
        <v>0</v>
      </c>
      <c r="E350" s="1">
        <f>IF(B350="", "", "447426")</f>
        <v>0</v>
      </c>
    </row>
    <row r="351" spans="1:5">
      <c r="A351">
        <f>IF(COUNTBLANK(B351:E351)&lt;&gt;COLUMNS(B351:E351),350,"")</f>
        <v>0</v>
      </c>
      <c r="C351" s="1">
        <f>IF(B351="", "", "human-oral")</f>
        <v>0</v>
      </c>
      <c r="D351" s="1">
        <f>IF(B351="", "", "human oral metagenome")</f>
        <v>0</v>
      </c>
      <c r="E351" s="1">
        <f>IF(B351="", "", "447426")</f>
        <v>0</v>
      </c>
    </row>
    <row r="352" spans="1:5">
      <c r="A352">
        <f>IF(COUNTBLANK(B352:E352)&lt;&gt;COLUMNS(B352:E352),351,"")</f>
        <v>0</v>
      </c>
      <c r="C352" s="1">
        <f>IF(B352="", "", "human-oral")</f>
        <v>0</v>
      </c>
      <c r="D352" s="1">
        <f>IF(B352="", "", "human oral metagenome")</f>
        <v>0</v>
      </c>
      <c r="E352" s="1">
        <f>IF(B352="", "", "447426")</f>
        <v>0</v>
      </c>
    </row>
    <row r="353" spans="1:5">
      <c r="A353">
        <f>IF(COUNTBLANK(B353:E353)&lt;&gt;COLUMNS(B353:E353),352,"")</f>
        <v>0</v>
      </c>
      <c r="C353" s="1">
        <f>IF(B353="", "", "human-oral")</f>
        <v>0</v>
      </c>
      <c r="D353" s="1">
        <f>IF(B353="", "", "human oral metagenome")</f>
        <v>0</v>
      </c>
      <c r="E353" s="1">
        <f>IF(B353="", "", "447426")</f>
        <v>0</v>
      </c>
    </row>
    <row r="354" spans="1:5">
      <c r="A354">
        <f>IF(COUNTBLANK(B354:E354)&lt;&gt;COLUMNS(B354:E354),353,"")</f>
        <v>0</v>
      </c>
      <c r="C354" s="1">
        <f>IF(B354="", "", "human-oral")</f>
        <v>0</v>
      </c>
      <c r="D354" s="1">
        <f>IF(B354="", "", "human oral metagenome")</f>
        <v>0</v>
      </c>
      <c r="E354" s="1">
        <f>IF(B354="", "", "447426")</f>
        <v>0</v>
      </c>
    </row>
    <row r="355" spans="1:5">
      <c r="A355">
        <f>IF(COUNTBLANK(B355:E355)&lt;&gt;COLUMNS(B355:E355),354,"")</f>
        <v>0</v>
      </c>
      <c r="C355" s="1">
        <f>IF(B355="", "", "human-oral")</f>
        <v>0</v>
      </c>
      <c r="D355" s="1">
        <f>IF(B355="", "", "human oral metagenome")</f>
        <v>0</v>
      </c>
      <c r="E355" s="1">
        <f>IF(B355="", "", "447426")</f>
        <v>0</v>
      </c>
    </row>
    <row r="356" spans="1:5">
      <c r="A356">
        <f>IF(COUNTBLANK(B356:E356)&lt;&gt;COLUMNS(B356:E356),355,"")</f>
        <v>0</v>
      </c>
      <c r="C356" s="1">
        <f>IF(B356="", "", "human-oral")</f>
        <v>0</v>
      </c>
      <c r="D356" s="1">
        <f>IF(B356="", "", "human oral metagenome")</f>
        <v>0</v>
      </c>
      <c r="E356" s="1">
        <f>IF(B356="", "", "447426")</f>
        <v>0</v>
      </c>
    </row>
    <row r="357" spans="1:5">
      <c r="A357">
        <f>IF(COUNTBLANK(B357:E357)&lt;&gt;COLUMNS(B357:E357),356,"")</f>
        <v>0</v>
      </c>
      <c r="C357" s="1">
        <f>IF(B357="", "", "human-oral")</f>
        <v>0</v>
      </c>
      <c r="D357" s="1">
        <f>IF(B357="", "", "human oral metagenome")</f>
        <v>0</v>
      </c>
      <c r="E357" s="1">
        <f>IF(B357="", "", "447426")</f>
        <v>0</v>
      </c>
    </row>
    <row r="358" spans="1:5">
      <c r="A358">
        <f>IF(COUNTBLANK(B358:E358)&lt;&gt;COLUMNS(B358:E358),357,"")</f>
        <v>0</v>
      </c>
      <c r="C358" s="1">
        <f>IF(B358="", "", "human-oral")</f>
        <v>0</v>
      </c>
      <c r="D358" s="1">
        <f>IF(B358="", "", "human oral metagenome")</f>
        <v>0</v>
      </c>
      <c r="E358" s="1">
        <f>IF(B358="", "", "447426")</f>
        <v>0</v>
      </c>
    </row>
    <row r="359" spans="1:5">
      <c r="A359">
        <f>IF(COUNTBLANK(B359:E359)&lt;&gt;COLUMNS(B359:E359),358,"")</f>
        <v>0</v>
      </c>
      <c r="C359" s="1">
        <f>IF(B359="", "", "human-oral")</f>
        <v>0</v>
      </c>
      <c r="D359" s="1">
        <f>IF(B359="", "", "human oral metagenome")</f>
        <v>0</v>
      </c>
      <c r="E359" s="1">
        <f>IF(B359="", "", "447426")</f>
        <v>0</v>
      </c>
    </row>
    <row r="360" spans="1:5">
      <c r="A360">
        <f>IF(COUNTBLANK(B360:E360)&lt;&gt;COLUMNS(B360:E360),359,"")</f>
        <v>0</v>
      </c>
      <c r="C360" s="1">
        <f>IF(B360="", "", "human-oral")</f>
        <v>0</v>
      </c>
      <c r="D360" s="1">
        <f>IF(B360="", "", "human oral metagenome")</f>
        <v>0</v>
      </c>
      <c r="E360" s="1">
        <f>IF(B360="", "", "447426")</f>
        <v>0</v>
      </c>
    </row>
    <row r="361" spans="1:5">
      <c r="A361">
        <f>IF(COUNTBLANK(B361:E361)&lt;&gt;COLUMNS(B361:E361),360,"")</f>
        <v>0</v>
      </c>
      <c r="C361" s="1">
        <f>IF(B361="", "", "human-oral")</f>
        <v>0</v>
      </c>
      <c r="D361" s="1">
        <f>IF(B361="", "", "human oral metagenome")</f>
        <v>0</v>
      </c>
      <c r="E361" s="1">
        <f>IF(B361="", "", "447426")</f>
        <v>0</v>
      </c>
    </row>
    <row r="362" spans="1:5">
      <c r="A362">
        <f>IF(COUNTBLANK(B362:E362)&lt;&gt;COLUMNS(B362:E362),361,"")</f>
        <v>0</v>
      </c>
      <c r="C362" s="1">
        <f>IF(B362="", "", "human-oral")</f>
        <v>0</v>
      </c>
      <c r="D362" s="1">
        <f>IF(B362="", "", "human oral metagenome")</f>
        <v>0</v>
      </c>
      <c r="E362" s="1">
        <f>IF(B362="", "", "447426")</f>
        <v>0</v>
      </c>
    </row>
    <row r="363" spans="1:5">
      <c r="A363">
        <f>IF(COUNTBLANK(B363:E363)&lt;&gt;COLUMNS(B363:E363),362,"")</f>
        <v>0</v>
      </c>
      <c r="C363" s="1">
        <f>IF(B363="", "", "human-oral")</f>
        <v>0</v>
      </c>
      <c r="D363" s="1">
        <f>IF(B363="", "", "human oral metagenome")</f>
        <v>0</v>
      </c>
      <c r="E363" s="1">
        <f>IF(B363="", "", "447426")</f>
        <v>0</v>
      </c>
    </row>
    <row r="364" spans="1:5">
      <c r="A364">
        <f>IF(COUNTBLANK(B364:E364)&lt;&gt;COLUMNS(B364:E364),363,"")</f>
        <v>0</v>
      </c>
      <c r="C364" s="1">
        <f>IF(B364="", "", "human-oral")</f>
        <v>0</v>
      </c>
      <c r="D364" s="1">
        <f>IF(B364="", "", "human oral metagenome")</f>
        <v>0</v>
      </c>
      <c r="E364" s="1">
        <f>IF(B364="", "", "447426")</f>
        <v>0</v>
      </c>
    </row>
    <row r="365" spans="1:5">
      <c r="A365">
        <f>IF(COUNTBLANK(B365:E365)&lt;&gt;COLUMNS(B365:E365),364,"")</f>
        <v>0</v>
      </c>
      <c r="C365" s="1">
        <f>IF(B365="", "", "human-oral")</f>
        <v>0</v>
      </c>
      <c r="D365" s="1">
        <f>IF(B365="", "", "human oral metagenome")</f>
        <v>0</v>
      </c>
      <c r="E365" s="1">
        <f>IF(B365="", "", "447426")</f>
        <v>0</v>
      </c>
    </row>
    <row r="366" spans="1:5">
      <c r="A366">
        <f>IF(COUNTBLANK(B366:E366)&lt;&gt;COLUMNS(B366:E366),365,"")</f>
        <v>0</v>
      </c>
      <c r="C366" s="1">
        <f>IF(B366="", "", "human-oral")</f>
        <v>0</v>
      </c>
      <c r="D366" s="1">
        <f>IF(B366="", "", "human oral metagenome")</f>
        <v>0</v>
      </c>
      <c r="E366" s="1">
        <f>IF(B366="", "", "447426")</f>
        <v>0</v>
      </c>
    </row>
    <row r="367" spans="1:5">
      <c r="A367">
        <f>IF(COUNTBLANK(B367:E367)&lt;&gt;COLUMNS(B367:E367),366,"")</f>
        <v>0</v>
      </c>
      <c r="C367" s="1">
        <f>IF(B367="", "", "human-oral")</f>
        <v>0</v>
      </c>
      <c r="D367" s="1">
        <f>IF(B367="", "", "human oral metagenome")</f>
        <v>0</v>
      </c>
      <c r="E367" s="1">
        <f>IF(B367="", "", "447426")</f>
        <v>0</v>
      </c>
    </row>
    <row r="368" spans="1:5">
      <c r="A368">
        <f>IF(COUNTBLANK(B368:E368)&lt;&gt;COLUMNS(B368:E368),367,"")</f>
        <v>0</v>
      </c>
      <c r="C368" s="1">
        <f>IF(B368="", "", "human-oral")</f>
        <v>0</v>
      </c>
      <c r="D368" s="1">
        <f>IF(B368="", "", "human oral metagenome")</f>
        <v>0</v>
      </c>
      <c r="E368" s="1">
        <f>IF(B368="", "", "447426")</f>
        <v>0</v>
      </c>
    </row>
    <row r="369" spans="1:5">
      <c r="A369">
        <f>IF(COUNTBLANK(B369:E369)&lt;&gt;COLUMNS(B369:E369),368,"")</f>
        <v>0</v>
      </c>
      <c r="C369" s="1">
        <f>IF(B369="", "", "human-oral")</f>
        <v>0</v>
      </c>
      <c r="D369" s="1">
        <f>IF(B369="", "", "human oral metagenome")</f>
        <v>0</v>
      </c>
      <c r="E369" s="1">
        <f>IF(B369="", "", "447426")</f>
        <v>0</v>
      </c>
    </row>
    <row r="370" spans="1:5">
      <c r="A370">
        <f>IF(COUNTBLANK(B370:E370)&lt;&gt;COLUMNS(B370:E370),369,"")</f>
        <v>0</v>
      </c>
      <c r="C370" s="1">
        <f>IF(B370="", "", "human-oral")</f>
        <v>0</v>
      </c>
      <c r="D370" s="1">
        <f>IF(B370="", "", "human oral metagenome")</f>
        <v>0</v>
      </c>
      <c r="E370" s="1">
        <f>IF(B370="", "", "447426")</f>
        <v>0</v>
      </c>
    </row>
    <row r="371" spans="1:5">
      <c r="A371">
        <f>IF(COUNTBLANK(B371:E371)&lt;&gt;COLUMNS(B371:E371),370,"")</f>
        <v>0</v>
      </c>
      <c r="C371" s="1">
        <f>IF(B371="", "", "human-oral")</f>
        <v>0</v>
      </c>
      <c r="D371" s="1">
        <f>IF(B371="", "", "human oral metagenome")</f>
        <v>0</v>
      </c>
      <c r="E371" s="1">
        <f>IF(B371="", "", "447426")</f>
        <v>0</v>
      </c>
    </row>
    <row r="372" spans="1:5">
      <c r="A372">
        <f>IF(COUNTBLANK(B372:E372)&lt;&gt;COLUMNS(B372:E372),371,"")</f>
        <v>0</v>
      </c>
      <c r="C372" s="1">
        <f>IF(B372="", "", "human-oral")</f>
        <v>0</v>
      </c>
      <c r="D372" s="1">
        <f>IF(B372="", "", "human oral metagenome")</f>
        <v>0</v>
      </c>
      <c r="E372" s="1">
        <f>IF(B372="", "", "447426")</f>
        <v>0</v>
      </c>
    </row>
    <row r="373" spans="1:5">
      <c r="A373">
        <f>IF(COUNTBLANK(B373:E373)&lt;&gt;COLUMNS(B373:E373),372,"")</f>
        <v>0</v>
      </c>
      <c r="C373" s="1">
        <f>IF(B373="", "", "human-oral")</f>
        <v>0</v>
      </c>
      <c r="D373" s="1">
        <f>IF(B373="", "", "human oral metagenome")</f>
        <v>0</v>
      </c>
      <c r="E373" s="1">
        <f>IF(B373="", "", "447426")</f>
        <v>0</v>
      </c>
    </row>
    <row r="374" spans="1:5">
      <c r="A374">
        <f>IF(COUNTBLANK(B374:E374)&lt;&gt;COLUMNS(B374:E374),373,"")</f>
        <v>0</v>
      </c>
      <c r="C374" s="1">
        <f>IF(B374="", "", "human-oral")</f>
        <v>0</v>
      </c>
      <c r="D374" s="1">
        <f>IF(B374="", "", "human oral metagenome")</f>
        <v>0</v>
      </c>
      <c r="E374" s="1">
        <f>IF(B374="", "", "447426")</f>
        <v>0</v>
      </c>
    </row>
    <row r="375" spans="1:5">
      <c r="A375">
        <f>IF(COUNTBLANK(B375:E375)&lt;&gt;COLUMNS(B375:E375),374,"")</f>
        <v>0</v>
      </c>
      <c r="C375" s="1">
        <f>IF(B375="", "", "human-oral")</f>
        <v>0</v>
      </c>
      <c r="D375" s="1">
        <f>IF(B375="", "", "human oral metagenome")</f>
        <v>0</v>
      </c>
      <c r="E375" s="1">
        <f>IF(B375="", "", "447426")</f>
        <v>0</v>
      </c>
    </row>
    <row r="376" spans="1:5">
      <c r="A376">
        <f>IF(COUNTBLANK(B376:E376)&lt;&gt;COLUMNS(B376:E376),375,"")</f>
        <v>0</v>
      </c>
      <c r="C376" s="1">
        <f>IF(B376="", "", "human-oral")</f>
        <v>0</v>
      </c>
      <c r="D376" s="1">
        <f>IF(B376="", "", "human oral metagenome")</f>
        <v>0</v>
      </c>
      <c r="E376" s="1">
        <f>IF(B376="", "", "447426")</f>
        <v>0</v>
      </c>
    </row>
    <row r="377" spans="1:5">
      <c r="A377">
        <f>IF(COUNTBLANK(B377:E377)&lt;&gt;COLUMNS(B377:E377),376,"")</f>
        <v>0</v>
      </c>
      <c r="C377" s="1">
        <f>IF(B377="", "", "human-oral")</f>
        <v>0</v>
      </c>
      <c r="D377" s="1">
        <f>IF(B377="", "", "human oral metagenome")</f>
        <v>0</v>
      </c>
      <c r="E377" s="1">
        <f>IF(B377="", "", "447426")</f>
        <v>0</v>
      </c>
    </row>
    <row r="378" spans="1:5">
      <c r="A378">
        <f>IF(COUNTBLANK(B378:E378)&lt;&gt;COLUMNS(B378:E378),377,"")</f>
        <v>0</v>
      </c>
      <c r="C378" s="1">
        <f>IF(B378="", "", "human-oral")</f>
        <v>0</v>
      </c>
      <c r="D378" s="1">
        <f>IF(B378="", "", "human oral metagenome")</f>
        <v>0</v>
      </c>
      <c r="E378" s="1">
        <f>IF(B378="", "", "447426")</f>
        <v>0</v>
      </c>
    </row>
    <row r="379" spans="1:5">
      <c r="A379">
        <f>IF(COUNTBLANK(B379:E379)&lt;&gt;COLUMNS(B379:E379),378,"")</f>
        <v>0</v>
      </c>
      <c r="C379" s="1">
        <f>IF(B379="", "", "human-oral")</f>
        <v>0</v>
      </c>
      <c r="D379" s="1">
        <f>IF(B379="", "", "human oral metagenome")</f>
        <v>0</v>
      </c>
      <c r="E379" s="1">
        <f>IF(B379="", "", "447426")</f>
        <v>0</v>
      </c>
    </row>
    <row r="380" spans="1:5">
      <c r="A380">
        <f>IF(COUNTBLANK(B380:E380)&lt;&gt;COLUMNS(B380:E380),379,"")</f>
        <v>0</v>
      </c>
      <c r="C380" s="1">
        <f>IF(B380="", "", "human-oral")</f>
        <v>0</v>
      </c>
      <c r="D380" s="1">
        <f>IF(B380="", "", "human oral metagenome")</f>
        <v>0</v>
      </c>
      <c r="E380" s="1">
        <f>IF(B380="", "", "447426")</f>
        <v>0</v>
      </c>
    </row>
    <row r="381" spans="1:5">
      <c r="A381">
        <f>IF(COUNTBLANK(B381:E381)&lt;&gt;COLUMNS(B381:E381),380,"")</f>
        <v>0</v>
      </c>
      <c r="C381" s="1">
        <f>IF(B381="", "", "human-oral")</f>
        <v>0</v>
      </c>
      <c r="D381" s="1">
        <f>IF(B381="", "", "human oral metagenome")</f>
        <v>0</v>
      </c>
      <c r="E381" s="1">
        <f>IF(B381="", "", "447426")</f>
        <v>0</v>
      </c>
    </row>
    <row r="382" spans="1:5">
      <c r="A382">
        <f>IF(COUNTBLANK(B382:E382)&lt;&gt;COLUMNS(B382:E382),381,"")</f>
        <v>0</v>
      </c>
      <c r="C382" s="1">
        <f>IF(B382="", "", "human-oral")</f>
        <v>0</v>
      </c>
      <c r="D382" s="1">
        <f>IF(B382="", "", "human oral metagenome")</f>
        <v>0</v>
      </c>
      <c r="E382" s="1">
        <f>IF(B382="", "", "447426")</f>
        <v>0</v>
      </c>
    </row>
    <row r="383" spans="1:5">
      <c r="A383">
        <f>IF(COUNTBLANK(B383:E383)&lt;&gt;COLUMNS(B383:E383),382,"")</f>
        <v>0</v>
      </c>
      <c r="C383" s="1">
        <f>IF(B383="", "", "human-oral")</f>
        <v>0</v>
      </c>
      <c r="D383" s="1">
        <f>IF(B383="", "", "human oral metagenome")</f>
        <v>0</v>
      </c>
      <c r="E383" s="1">
        <f>IF(B383="", "", "447426")</f>
        <v>0</v>
      </c>
    </row>
    <row r="384" spans="1:5">
      <c r="A384">
        <f>IF(COUNTBLANK(B384:E384)&lt;&gt;COLUMNS(B384:E384),383,"")</f>
        <v>0</v>
      </c>
      <c r="C384" s="1">
        <f>IF(B384="", "", "human-oral")</f>
        <v>0</v>
      </c>
      <c r="D384" s="1">
        <f>IF(B384="", "", "human oral metagenome")</f>
        <v>0</v>
      </c>
      <c r="E384" s="1">
        <f>IF(B384="", "", "447426")</f>
        <v>0</v>
      </c>
    </row>
    <row r="385" spans="1:5">
      <c r="A385">
        <f>IF(COUNTBLANK(B385:E385)&lt;&gt;COLUMNS(B385:E385),384,"")</f>
        <v>0</v>
      </c>
      <c r="C385" s="1">
        <f>IF(B385="", "", "human-oral")</f>
        <v>0</v>
      </c>
      <c r="D385" s="1">
        <f>IF(B385="", "", "human oral metagenome")</f>
        <v>0</v>
      </c>
      <c r="E385" s="1">
        <f>IF(B385="", "", "447426")</f>
        <v>0</v>
      </c>
    </row>
    <row r="386" spans="1:5">
      <c r="A386">
        <f>IF(COUNTBLANK(B386:E386)&lt;&gt;COLUMNS(B386:E386),385,"")</f>
        <v>0</v>
      </c>
      <c r="C386" s="1">
        <f>IF(B386="", "", "human-oral")</f>
        <v>0</v>
      </c>
      <c r="D386" s="1">
        <f>IF(B386="", "", "human oral metagenome")</f>
        <v>0</v>
      </c>
      <c r="E386" s="1">
        <f>IF(B386="", "", "447426")</f>
        <v>0</v>
      </c>
    </row>
    <row r="387" spans="1:5">
      <c r="A387">
        <f>IF(COUNTBLANK(B387:E387)&lt;&gt;COLUMNS(B387:E387),386,"")</f>
        <v>0</v>
      </c>
      <c r="C387" s="1">
        <f>IF(B387="", "", "human-oral")</f>
        <v>0</v>
      </c>
      <c r="D387" s="1">
        <f>IF(B387="", "", "human oral metagenome")</f>
        <v>0</v>
      </c>
      <c r="E387" s="1">
        <f>IF(B387="", "", "447426")</f>
        <v>0</v>
      </c>
    </row>
    <row r="388" spans="1:5">
      <c r="A388">
        <f>IF(COUNTBLANK(B388:E388)&lt;&gt;COLUMNS(B388:E388),387,"")</f>
        <v>0</v>
      </c>
      <c r="C388" s="1">
        <f>IF(B388="", "", "human-oral")</f>
        <v>0</v>
      </c>
      <c r="D388" s="1">
        <f>IF(B388="", "", "human oral metagenome")</f>
        <v>0</v>
      </c>
      <c r="E388" s="1">
        <f>IF(B388="", "", "447426")</f>
        <v>0</v>
      </c>
    </row>
    <row r="389" spans="1:5">
      <c r="A389">
        <f>IF(COUNTBLANK(B389:E389)&lt;&gt;COLUMNS(B389:E389),388,"")</f>
        <v>0</v>
      </c>
      <c r="C389" s="1">
        <f>IF(B389="", "", "human-oral")</f>
        <v>0</v>
      </c>
      <c r="D389" s="1">
        <f>IF(B389="", "", "human oral metagenome")</f>
        <v>0</v>
      </c>
      <c r="E389" s="1">
        <f>IF(B389="", "", "447426")</f>
        <v>0</v>
      </c>
    </row>
    <row r="390" spans="1:5">
      <c r="A390">
        <f>IF(COUNTBLANK(B390:E390)&lt;&gt;COLUMNS(B390:E390),389,"")</f>
        <v>0</v>
      </c>
      <c r="C390" s="1">
        <f>IF(B390="", "", "human-oral")</f>
        <v>0</v>
      </c>
      <c r="D390" s="1">
        <f>IF(B390="", "", "human oral metagenome")</f>
        <v>0</v>
      </c>
      <c r="E390" s="1">
        <f>IF(B390="", "", "447426")</f>
        <v>0</v>
      </c>
    </row>
    <row r="391" spans="1:5">
      <c r="A391">
        <f>IF(COUNTBLANK(B391:E391)&lt;&gt;COLUMNS(B391:E391),390,"")</f>
        <v>0</v>
      </c>
      <c r="C391" s="1">
        <f>IF(B391="", "", "human-oral")</f>
        <v>0</v>
      </c>
      <c r="D391" s="1">
        <f>IF(B391="", "", "human oral metagenome")</f>
        <v>0</v>
      </c>
      <c r="E391" s="1">
        <f>IF(B391="", "", "447426")</f>
        <v>0</v>
      </c>
    </row>
    <row r="392" spans="1:5">
      <c r="A392">
        <f>IF(COUNTBLANK(B392:E392)&lt;&gt;COLUMNS(B392:E392),391,"")</f>
        <v>0</v>
      </c>
      <c r="C392" s="1">
        <f>IF(B392="", "", "human-oral")</f>
        <v>0</v>
      </c>
      <c r="D392" s="1">
        <f>IF(B392="", "", "human oral metagenome")</f>
        <v>0</v>
      </c>
      <c r="E392" s="1">
        <f>IF(B392="", "", "447426")</f>
        <v>0</v>
      </c>
    </row>
    <row r="393" spans="1:5">
      <c r="A393">
        <f>IF(COUNTBLANK(B393:E393)&lt;&gt;COLUMNS(B393:E393),392,"")</f>
        <v>0</v>
      </c>
      <c r="C393" s="1">
        <f>IF(B393="", "", "human-oral")</f>
        <v>0</v>
      </c>
      <c r="D393" s="1">
        <f>IF(B393="", "", "human oral metagenome")</f>
        <v>0</v>
      </c>
      <c r="E393" s="1">
        <f>IF(B393="", "", "447426")</f>
        <v>0</v>
      </c>
    </row>
    <row r="394" spans="1:5">
      <c r="A394">
        <f>IF(COUNTBLANK(B394:E394)&lt;&gt;COLUMNS(B394:E394),393,"")</f>
        <v>0</v>
      </c>
      <c r="C394" s="1">
        <f>IF(B394="", "", "human-oral")</f>
        <v>0</v>
      </c>
      <c r="D394" s="1">
        <f>IF(B394="", "", "human oral metagenome")</f>
        <v>0</v>
      </c>
      <c r="E394" s="1">
        <f>IF(B394="", "", "447426")</f>
        <v>0</v>
      </c>
    </row>
    <row r="395" spans="1:5">
      <c r="A395">
        <f>IF(COUNTBLANK(B395:E395)&lt;&gt;COLUMNS(B395:E395),394,"")</f>
        <v>0</v>
      </c>
      <c r="C395" s="1">
        <f>IF(B395="", "", "human-oral")</f>
        <v>0</v>
      </c>
      <c r="D395" s="1">
        <f>IF(B395="", "", "human oral metagenome")</f>
        <v>0</v>
      </c>
      <c r="E395" s="1">
        <f>IF(B395="", "", "447426")</f>
        <v>0</v>
      </c>
    </row>
    <row r="396" spans="1:5">
      <c r="A396">
        <f>IF(COUNTBLANK(B396:E396)&lt;&gt;COLUMNS(B396:E396),395,"")</f>
        <v>0</v>
      </c>
      <c r="C396" s="1">
        <f>IF(B396="", "", "human-oral")</f>
        <v>0</v>
      </c>
      <c r="D396" s="1">
        <f>IF(B396="", "", "human oral metagenome")</f>
        <v>0</v>
      </c>
      <c r="E396" s="1">
        <f>IF(B396="", "", "447426")</f>
        <v>0</v>
      </c>
    </row>
    <row r="397" spans="1:5">
      <c r="A397">
        <f>IF(COUNTBLANK(B397:E397)&lt;&gt;COLUMNS(B397:E397),396,"")</f>
        <v>0</v>
      </c>
      <c r="C397" s="1">
        <f>IF(B397="", "", "human-oral")</f>
        <v>0</v>
      </c>
      <c r="D397" s="1">
        <f>IF(B397="", "", "human oral metagenome")</f>
        <v>0</v>
      </c>
      <c r="E397" s="1">
        <f>IF(B397="", "", "447426")</f>
        <v>0</v>
      </c>
    </row>
    <row r="398" spans="1:5">
      <c r="A398">
        <f>IF(COUNTBLANK(B398:E398)&lt;&gt;COLUMNS(B398:E398),397,"")</f>
        <v>0</v>
      </c>
      <c r="C398" s="1">
        <f>IF(B398="", "", "human-oral")</f>
        <v>0</v>
      </c>
      <c r="D398" s="1">
        <f>IF(B398="", "", "human oral metagenome")</f>
        <v>0</v>
      </c>
      <c r="E398" s="1">
        <f>IF(B398="", "", "447426")</f>
        <v>0</v>
      </c>
    </row>
    <row r="399" spans="1:5">
      <c r="A399">
        <f>IF(COUNTBLANK(B399:E399)&lt;&gt;COLUMNS(B399:E399),398,"")</f>
        <v>0</v>
      </c>
      <c r="C399" s="1">
        <f>IF(B399="", "", "human-oral")</f>
        <v>0</v>
      </c>
      <c r="D399" s="1">
        <f>IF(B399="", "", "human oral metagenome")</f>
        <v>0</v>
      </c>
      <c r="E399" s="1">
        <f>IF(B399="", "", "447426")</f>
        <v>0</v>
      </c>
    </row>
    <row r="400" spans="1:5">
      <c r="A400">
        <f>IF(COUNTBLANK(B400:E400)&lt;&gt;COLUMNS(B400:E400),399,"")</f>
        <v>0</v>
      </c>
      <c r="C400" s="1">
        <f>IF(B400="", "", "human-oral")</f>
        <v>0</v>
      </c>
      <c r="D400" s="1">
        <f>IF(B400="", "", "human oral metagenome")</f>
        <v>0</v>
      </c>
      <c r="E400" s="1">
        <f>IF(B400="", "", "447426")</f>
        <v>0</v>
      </c>
    </row>
    <row r="401" spans="1:5">
      <c r="A401">
        <f>IF(COUNTBLANK(B401:E401)&lt;&gt;COLUMNS(B401:E401),400,"")</f>
        <v>0</v>
      </c>
      <c r="C401" s="1">
        <f>IF(B401="", "", "human-oral")</f>
        <v>0</v>
      </c>
      <c r="D401" s="1">
        <f>IF(B401="", "", "human oral metagenome")</f>
        <v>0</v>
      </c>
      <c r="E401" s="1">
        <f>IF(B401="", "", "447426")</f>
        <v>0</v>
      </c>
    </row>
    <row r="402" spans="1:5">
      <c r="A402">
        <f>IF(COUNTBLANK(B402:E402)&lt;&gt;COLUMNS(B402:E402),401,"")</f>
        <v>0</v>
      </c>
      <c r="C402" s="1">
        <f>IF(B402="", "", "human-oral")</f>
        <v>0</v>
      </c>
      <c r="D402" s="1">
        <f>IF(B402="", "", "human oral metagenome")</f>
        <v>0</v>
      </c>
      <c r="E402" s="1">
        <f>IF(B402="", "", "447426")</f>
        <v>0</v>
      </c>
    </row>
    <row r="403" spans="1:5">
      <c r="A403">
        <f>IF(COUNTBLANK(B403:E403)&lt;&gt;COLUMNS(B403:E403),402,"")</f>
        <v>0</v>
      </c>
      <c r="C403" s="1">
        <f>IF(B403="", "", "human-oral")</f>
        <v>0</v>
      </c>
      <c r="D403" s="1">
        <f>IF(B403="", "", "human oral metagenome")</f>
        <v>0</v>
      </c>
      <c r="E403" s="1">
        <f>IF(B403="", "", "447426")</f>
        <v>0</v>
      </c>
    </row>
    <row r="404" spans="1:5">
      <c r="A404">
        <f>IF(COUNTBLANK(B404:E404)&lt;&gt;COLUMNS(B404:E404),403,"")</f>
        <v>0</v>
      </c>
      <c r="C404" s="1">
        <f>IF(B404="", "", "human-oral")</f>
        <v>0</v>
      </c>
      <c r="D404" s="1">
        <f>IF(B404="", "", "human oral metagenome")</f>
        <v>0</v>
      </c>
      <c r="E404" s="1">
        <f>IF(B404="", "", "447426")</f>
        <v>0</v>
      </c>
    </row>
    <row r="405" spans="1:5">
      <c r="A405">
        <f>IF(COUNTBLANK(B405:E405)&lt;&gt;COLUMNS(B405:E405),404,"")</f>
        <v>0</v>
      </c>
      <c r="C405" s="1">
        <f>IF(B405="", "", "human-oral")</f>
        <v>0</v>
      </c>
      <c r="D405" s="1">
        <f>IF(B405="", "", "human oral metagenome")</f>
        <v>0</v>
      </c>
      <c r="E405" s="1">
        <f>IF(B405="", "", "447426")</f>
        <v>0</v>
      </c>
    </row>
    <row r="406" spans="1:5">
      <c r="A406">
        <f>IF(COUNTBLANK(B406:E406)&lt;&gt;COLUMNS(B406:E406),405,"")</f>
        <v>0</v>
      </c>
      <c r="C406" s="1">
        <f>IF(B406="", "", "human-oral")</f>
        <v>0</v>
      </c>
      <c r="D406" s="1">
        <f>IF(B406="", "", "human oral metagenome")</f>
        <v>0</v>
      </c>
      <c r="E406" s="1">
        <f>IF(B406="", "", "447426")</f>
        <v>0</v>
      </c>
    </row>
    <row r="407" spans="1:5">
      <c r="A407">
        <f>IF(COUNTBLANK(B407:E407)&lt;&gt;COLUMNS(B407:E407),406,"")</f>
        <v>0</v>
      </c>
      <c r="C407" s="1">
        <f>IF(B407="", "", "human-oral")</f>
        <v>0</v>
      </c>
      <c r="D407" s="1">
        <f>IF(B407="", "", "human oral metagenome")</f>
        <v>0</v>
      </c>
      <c r="E407" s="1">
        <f>IF(B407="", "", "447426")</f>
        <v>0</v>
      </c>
    </row>
    <row r="408" spans="1:5">
      <c r="A408">
        <f>IF(COUNTBLANK(B408:E408)&lt;&gt;COLUMNS(B408:E408),407,"")</f>
        <v>0</v>
      </c>
      <c r="C408" s="1">
        <f>IF(B408="", "", "human-oral")</f>
        <v>0</v>
      </c>
      <c r="D408" s="1">
        <f>IF(B408="", "", "human oral metagenome")</f>
        <v>0</v>
      </c>
      <c r="E408" s="1">
        <f>IF(B408="", "", "447426")</f>
        <v>0</v>
      </c>
    </row>
    <row r="409" spans="1:5">
      <c r="A409">
        <f>IF(COUNTBLANK(B409:E409)&lt;&gt;COLUMNS(B409:E409),408,"")</f>
        <v>0</v>
      </c>
      <c r="C409" s="1">
        <f>IF(B409="", "", "human-oral")</f>
        <v>0</v>
      </c>
      <c r="D409" s="1">
        <f>IF(B409="", "", "human oral metagenome")</f>
        <v>0</v>
      </c>
      <c r="E409" s="1">
        <f>IF(B409="", "", "447426")</f>
        <v>0</v>
      </c>
    </row>
    <row r="410" spans="1:5">
      <c r="A410">
        <f>IF(COUNTBLANK(B410:E410)&lt;&gt;COLUMNS(B410:E410),409,"")</f>
        <v>0</v>
      </c>
      <c r="C410" s="1">
        <f>IF(B410="", "", "human-oral")</f>
        <v>0</v>
      </c>
      <c r="D410" s="1">
        <f>IF(B410="", "", "human oral metagenome")</f>
        <v>0</v>
      </c>
      <c r="E410" s="1">
        <f>IF(B410="", "", "447426")</f>
        <v>0</v>
      </c>
    </row>
    <row r="411" spans="1:5">
      <c r="A411">
        <f>IF(COUNTBLANK(B411:E411)&lt;&gt;COLUMNS(B411:E411),410,"")</f>
        <v>0</v>
      </c>
      <c r="C411" s="1">
        <f>IF(B411="", "", "human-oral")</f>
        <v>0</v>
      </c>
      <c r="D411" s="1">
        <f>IF(B411="", "", "human oral metagenome")</f>
        <v>0</v>
      </c>
      <c r="E411" s="1">
        <f>IF(B411="", "", "447426")</f>
        <v>0</v>
      </c>
    </row>
    <row r="412" spans="1:5">
      <c r="A412">
        <f>IF(COUNTBLANK(B412:E412)&lt;&gt;COLUMNS(B412:E412),411,"")</f>
        <v>0</v>
      </c>
      <c r="C412" s="1">
        <f>IF(B412="", "", "human-oral")</f>
        <v>0</v>
      </c>
      <c r="D412" s="1">
        <f>IF(B412="", "", "human oral metagenome")</f>
        <v>0</v>
      </c>
      <c r="E412" s="1">
        <f>IF(B412="", "", "447426")</f>
        <v>0</v>
      </c>
    </row>
    <row r="413" spans="1:5">
      <c r="A413">
        <f>IF(COUNTBLANK(B413:E413)&lt;&gt;COLUMNS(B413:E413),412,"")</f>
        <v>0</v>
      </c>
      <c r="C413" s="1">
        <f>IF(B413="", "", "human-oral")</f>
        <v>0</v>
      </c>
      <c r="D413" s="1">
        <f>IF(B413="", "", "human oral metagenome")</f>
        <v>0</v>
      </c>
      <c r="E413" s="1">
        <f>IF(B413="", "", "447426")</f>
        <v>0</v>
      </c>
    </row>
    <row r="414" spans="1:5">
      <c r="A414">
        <f>IF(COUNTBLANK(B414:E414)&lt;&gt;COLUMNS(B414:E414),413,"")</f>
        <v>0</v>
      </c>
      <c r="C414" s="1">
        <f>IF(B414="", "", "human-oral")</f>
        <v>0</v>
      </c>
      <c r="D414" s="1">
        <f>IF(B414="", "", "human oral metagenome")</f>
        <v>0</v>
      </c>
      <c r="E414" s="1">
        <f>IF(B414="", "", "447426")</f>
        <v>0</v>
      </c>
    </row>
    <row r="415" spans="1:5">
      <c r="A415">
        <f>IF(COUNTBLANK(B415:E415)&lt;&gt;COLUMNS(B415:E415),414,"")</f>
        <v>0</v>
      </c>
      <c r="C415" s="1">
        <f>IF(B415="", "", "human-oral")</f>
        <v>0</v>
      </c>
      <c r="D415" s="1">
        <f>IF(B415="", "", "human oral metagenome")</f>
        <v>0</v>
      </c>
      <c r="E415" s="1">
        <f>IF(B415="", "", "447426")</f>
        <v>0</v>
      </c>
    </row>
    <row r="416" spans="1:5">
      <c r="A416">
        <f>IF(COUNTBLANK(B416:E416)&lt;&gt;COLUMNS(B416:E416),415,"")</f>
        <v>0</v>
      </c>
      <c r="C416" s="1">
        <f>IF(B416="", "", "human-oral")</f>
        <v>0</v>
      </c>
      <c r="D416" s="1">
        <f>IF(B416="", "", "human oral metagenome")</f>
        <v>0</v>
      </c>
      <c r="E416" s="1">
        <f>IF(B416="", "", "447426")</f>
        <v>0</v>
      </c>
    </row>
    <row r="417" spans="1:5">
      <c r="A417">
        <f>IF(COUNTBLANK(B417:E417)&lt;&gt;COLUMNS(B417:E417),416,"")</f>
        <v>0</v>
      </c>
      <c r="C417" s="1">
        <f>IF(B417="", "", "human-oral")</f>
        <v>0</v>
      </c>
      <c r="D417" s="1">
        <f>IF(B417="", "", "human oral metagenome")</f>
        <v>0</v>
      </c>
      <c r="E417" s="1">
        <f>IF(B417="", "", "447426")</f>
        <v>0</v>
      </c>
    </row>
    <row r="418" spans="1:5">
      <c r="A418">
        <f>IF(COUNTBLANK(B418:E418)&lt;&gt;COLUMNS(B418:E418),417,"")</f>
        <v>0</v>
      </c>
      <c r="C418" s="1">
        <f>IF(B418="", "", "human-oral")</f>
        <v>0</v>
      </c>
      <c r="D418" s="1">
        <f>IF(B418="", "", "human oral metagenome")</f>
        <v>0</v>
      </c>
      <c r="E418" s="1">
        <f>IF(B418="", "", "447426")</f>
        <v>0</v>
      </c>
    </row>
    <row r="419" spans="1:5">
      <c r="A419">
        <f>IF(COUNTBLANK(B419:E419)&lt;&gt;COLUMNS(B419:E419),418,"")</f>
        <v>0</v>
      </c>
      <c r="C419" s="1">
        <f>IF(B419="", "", "human-oral")</f>
        <v>0</v>
      </c>
      <c r="D419" s="1">
        <f>IF(B419="", "", "human oral metagenome")</f>
        <v>0</v>
      </c>
      <c r="E419" s="1">
        <f>IF(B419="", "", "447426")</f>
        <v>0</v>
      </c>
    </row>
    <row r="420" spans="1:5">
      <c r="A420">
        <f>IF(COUNTBLANK(B420:E420)&lt;&gt;COLUMNS(B420:E420),419,"")</f>
        <v>0</v>
      </c>
      <c r="C420" s="1">
        <f>IF(B420="", "", "human-oral")</f>
        <v>0</v>
      </c>
      <c r="D420" s="1">
        <f>IF(B420="", "", "human oral metagenome")</f>
        <v>0</v>
      </c>
      <c r="E420" s="1">
        <f>IF(B420="", "", "447426")</f>
        <v>0</v>
      </c>
    </row>
    <row r="421" spans="1:5">
      <c r="A421">
        <f>IF(COUNTBLANK(B421:E421)&lt;&gt;COLUMNS(B421:E421),420,"")</f>
        <v>0</v>
      </c>
      <c r="C421" s="1">
        <f>IF(B421="", "", "human-oral")</f>
        <v>0</v>
      </c>
      <c r="D421" s="1">
        <f>IF(B421="", "", "human oral metagenome")</f>
        <v>0</v>
      </c>
      <c r="E421" s="1">
        <f>IF(B421="", "", "447426")</f>
        <v>0</v>
      </c>
    </row>
    <row r="422" spans="1:5">
      <c r="A422">
        <f>IF(COUNTBLANK(B422:E422)&lt;&gt;COLUMNS(B422:E422),421,"")</f>
        <v>0</v>
      </c>
      <c r="C422" s="1">
        <f>IF(B422="", "", "human-oral")</f>
        <v>0</v>
      </c>
      <c r="D422" s="1">
        <f>IF(B422="", "", "human oral metagenome")</f>
        <v>0</v>
      </c>
      <c r="E422" s="1">
        <f>IF(B422="", "", "447426")</f>
        <v>0</v>
      </c>
    </row>
    <row r="423" spans="1:5">
      <c r="A423">
        <f>IF(COUNTBLANK(B423:E423)&lt;&gt;COLUMNS(B423:E423),422,"")</f>
        <v>0</v>
      </c>
      <c r="C423" s="1">
        <f>IF(B423="", "", "human-oral")</f>
        <v>0</v>
      </c>
      <c r="D423" s="1">
        <f>IF(B423="", "", "human oral metagenome")</f>
        <v>0</v>
      </c>
      <c r="E423" s="1">
        <f>IF(B423="", "", "447426")</f>
        <v>0</v>
      </c>
    </row>
    <row r="424" spans="1:5">
      <c r="A424">
        <f>IF(COUNTBLANK(B424:E424)&lt;&gt;COLUMNS(B424:E424),423,"")</f>
        <v>0</v>
      </c>
      <c r="C424" s="1">
        <f>IF(B424="", "", "human-oral")</f>
        <v>0</v>
      </c>
      <c r="D424" s="1">
        <f>IF(B424="", "", "human oral metagenome")</f>
        <v>0</v>
      </c>
      <c r="E424" s="1">
        <f>IF(B424="", "", "447426")</f>
        <v>0</v>
      </c>
    </row>
    <row r="425" spans="1:5">
      <c r="A425">
        <f>IF(COUNTBLANK(B425:E425)&lt;&gt;COLUMNS(B425:E425),424,"")</f>
        <v>0</v>
      </c>
      <c r="C425" s="1">
        <f>IF(B425="", "", "human-oral")</f>
        <v>0</v>
      </c>
      <c r="D425" s="1">
        <f>IF(B425="", "", "human oral metagenome")</f>
        <v>0</v>
      </c>
      <c r="E425" s="1">
        <f>IF(B425="", "", "447426")</f>
        <v>0</v>
      </c>
    </row>
    <row r="426" spans="1:5">
      <c r="A426">
        <f>IF(COUNTBLANK(B426:E426)&lt;&gt;COLUMNS(B426:E426),425,"")</f>
        <v>0</v>
      </c>
      <c r="C426" s="1">
        <f>IF(B426="", "", "human-oral")</f>
        <v>0</v>
      </c>
      <c r="D426" s="1">
        <f>IF(B426="", "", "human oral metagenome")</f>
        <v>0</v>
      </c>
      <c r="E426" s="1">
        <f>IF(B426="", "", "447426")</f>
        <v>0</v>
      </c>
    </row>
    <row r="427" spans="1:5">
      <c r="A427">
        <f>IF(COUNTBLANK(B427:E427)&lt;&gt;COLUMNS(B427:E427),426,"")</f>
        <v>0</v>
      </c>
      <c r="C427" s="1">
        <f>IF(B427="", "", "human-oral")</f>
        <v>0</v>
      </c>
      <c r="D427" s="1">
        <f>IF(B427="", "", "human oral metagenome")</f>
        <v>0</v>
      </c>
      <c r="E427" s="1">
        <f>IF(B427="", "", "447426")</f>
        <v>0</v>
      </c>
    </row>
    <row r="428" spans="1:5">
      <c r="A428">
        <f>IF(COUNTBLANK(B428:E428)&lt;&gt;COLUMNS(B428:E428),427,"")</f>
        <v>0</v>
      </c>
      <c r="C428" s="1">
        <f>IF(B428="", "", "human-oral")</f>
        <v>0</v>
      </c>
      <c r="D428" s="1">
        <f>IF(B428="", "", "human oral metagenome")</f>
        <v>0</v>
      </c>
      <c r="E428" s="1">
        <f>IF(B428="", "", "447426")</f>
        <v>0</v>
      </c>
    </row>
    <row r="429" spans="1:5">
      <c r="A429">
        <f>IF(COUNTBLANK(B429:E429)&lt;&gt;COLUMNS(B429:E429),428,"")</f>
        <v>0</v>
      </c>
      <c r="C429" s="1">
        <f>IF(B429="", "", "human-oral")</f>
        <v>0</v>
      </c>
      <c r="D429" s="1">
        <f>IF(B429="", "", "human oral metagenome")</f>
        <v>0</v>
      </c>
      <c r="E429" s="1">
        <f>IF(B429="", "", "447426")</f>
        <v>0</v>
      </c>
    </row>
    <row r="430" spans="1:5">
      <c r="A430">
        <f>IF(COUNTBLANK(B430:E430)&lt;&gt;COLUMNS(B430:E430),429,"")</f>
        <v>0</v>
      </c>
      <c r="C430" s="1">
        <f>IF(B430="", "", "human-oral")</f>
        <v>0</v>
      </c>
      <c r="D430" s="1">
        <f>IF(B430="", "", "human oral metagenome")</f>
        <v>0</v>
      </c>
      <c r="E430" s="1">
        <f>IF(B430="", "", "447426")</f>
        <v>0</v>
      </c>
    </row>
    <row r="431" spans="1:5">
      <c r="A431">
        <f>IF(COUNTBLANK(B431:E431)&lt;&gt;COLUMNS(B431:E431),430,"")</f>
        <v>0</v>
      </c>
      <c r="C431" s="1">
        <f>IF(B431="", "", "human-oral")</f>
        <v>0</v>
      </c>
      <c r="D431" s="1">
        <f>IF(B431="", "", "human oral metagenome")</f>
        <v>0</v>
      </c>
      <c r="E431" s="1">
        <f>IF(B431="", "", "447426")</f>
        <v>0</v>
      </c>
    </row>
    <row r="432" spans="1:5">
      <c r="A432">
        <f>IF(COUNTBLANK(B432:E432)&lt;&gt;COLUMNS(B432:E432),431,"")</f>
        <v>0</v>
      </c>
      <c r="C432" s="1">
        <f>IF(B432="", "", "human-oral")</f>
        <v>0</v>
      </c>
      <c r="D432" s="1">
        <f>IF(B432="", "", "human oral metagenome")</f>
        <v>0</v>
      </c>
      <c r="E432" s="1">
        <f>IF(B432="", "", "447426")</f>
        <v>0</v>
      </c>
    </row>
    <row r="433" spans="1:5">
      <c r="A433">
        <f>IF(COUNTBLANK(B433:E433)&lt;&gt;COLUMNS(B433:E433),432,"")</f>
        <v>0</v>
      </c>
      <c r="C433" s="1">
        <f>IF(B433="", "", "human-oral")</f>
        <v>0</v>
      </c>
      <c r="D433" s="1">
        <f>IF(B433="", "", "human oral metagenome")</f>
        <v>0</v>
      </c>
      <c r="E433" s="1">
        <f>IF(B433="", "", "447426")</f>
        <v>0</v>
      </c>
    </row>
    <row r="434" spans="1:5">
      <c r="A434">
        <f>IF(COUNTBLANK(B434:E434)&lt;&gt;COLUMNS(B434:E434),433,"")</f>
        <v>0</v>
      </c>
      <c r="C434" s="1">
        <f>IF(B434="", "", "human-oral")</f>
        <v>0</v>
      </c>
      <c r="D434" s="1">
        <f>IF(B434="", "", "human oral metagenome")</f>
        <v>0</v>
      </c>
      <c r="E434" s="1">
        <f>IF(B434="", "", "447426")</f>
        <v>0</v>
      </c>
    </row>
    <row r="435" spans="1:5">
      <c r="A435">
        <f>IF(COUNTBLANK(B435:E435)&lt;&gt;COLUMNS(B435:E435),434,"")</f>
        <v>0</v>
      </c>
      <c r="C435" s="1">
        <f>IF(B435="", "", "human-oral")</f>
        <v>0</v>
      </c>
      <c r="D435" s="1">
        <f>IF(B435="", "", "human oral metagenome")</f>
        <v>0</v>
      </c>
      <c r="E435" s="1">
        <f>IF(B435="", "", "447426")</f>
        <v>0</v>
      </c>
    </row>
    <row r="436" spans="1:5">
      <c r="A436">
        <f>IF(COUNTBLANK(B436:E436)&lt;&gt;COLUMNS(B436:E436),435,"")</f>
        <v>0</v>
      </c>
      <c r="C436" s="1">
        <f>IF(B436="", "", "human-oral")</f>
        <v>0</v>
      </c>
      <c r="D436" s="1">
        <f>IF(B436="", "", "human oral metagenome")</f>
        <v>0</v>
      </c>
      <c r="E436" s="1">
        <f>IF(B436="", "", "447426")</f>
        <v>0</v>
      </c>
    </row>
    <row r="437" spans="1:5">
      <c r="A437">
        <f>IF(COUNTBLANK(B437:E437)&lt;&gt;COLUMNS(B437:E437),436,"")</f>
        <v>0</v>
      </c>
      <c r="C437" s="1">
        <f>IF(B437="", "", "human-oral")</f>
        <v>0</v>
      </c>
      <c r="D437" s="1">
        <f>IF(B437="", "", "human oral metagenome")</f>
        <v>0</v>
      </c>
      <c r="E437" s="1">
        <f>IF(B437="", "", "447426")</f>
        <v>0</v>
      </c>
    </row>
    <row r="438" spans="1:5">
      <c r="A438">
        <f>IF(COUNTBLANK(B438:E438)&lt;&gt;COLUMNS(B438:E438),437,"")</f>
        <v>0</v>
      </c>
      <c r="C438" s="1">
        <f>IF(B438="", "", "human-oral")</f>
        <v>0</v>
      </c>
      <c r="D438" s="1">
        <f>IF(B438="", "", "human oral metagenome")</f>
        <v>0</v>
      </c>
      <c r="E438" s="1">
        <f>IF(B438="", "", "447426")</f>
        <v>0</v>
      </c>
    </row>
    <row r="439" spans="1:5">
      <c r="A439">
        <f>IF(COUNTBLANK(B439:E439)&lt;&gt;COLUMNS(B439:E439),438,"")</f>
        <v>0</v>
      </c>
      <c r="C439" s="1">
        <f>IF(B439="", "", "human-oral")</f>
        <v>0</v>
      </c>
      <c r="D439" s="1">
        <f>IF(B439="", "", "human oral metagenome")</f>
        <v>0</v>
      </c>
      <c r="E439" s="1">
        <f>IF(B439="", "", "447426")</f>
        <v>0</v>
      </c>
    </row>
    <row r="440" spans="1:5">
      <c r="A440">
        <f>IF(COUNTBLANK(B440:E440)&lt;&gt;COLUMNS(B440:E440),439,"")</f>
        <v>0</v>
      </c>
      <c r="C440" s="1">
        <f>IF(B440="", "", "human-oral")</f>
        <v>0</v>
      </c>
      <c r="D440" s="1">
        <f>IF(B440="", "", "human oral metagenome")</f>
        <v>0</v>
      </c>
      <c r="E440" s="1">
        <f>IF(B440="", "", "447426")</f>
        <v>0</v>
      </c>
    </row>
    <row r="441" spans="1:5">
      <c r="A441">
        <f>IF(COUNTBLANK(B441:E441)&lt;&gt;COLUMNS(B441:E441),440,"")</f>
        <v>0</v>
      </c>
      <c r="C441" s="1">
        <f>IF(B441="", "", "human-oral")</f>
        <v>0</v>
      </c>
      <c r="D441" s="1">
        <f>IF(B441="", "", "human oral metagenome")</f>
        <v>0</v>
      </c>
      <c r="E441" s="1">
        <f>IF(B441="", "", "447426")</f>
        <v>0</v>
      </c>
    </row>
    <row r="442" spans="1:5">
      <c r="A442">
        <f>IF(COUNTBLANK(B442:E442)&lt;&gt;COLUMNS(B442:E442),441,"")</f>
        <v>0</v>
      </c>
      <c r="C442" s="1">
        <f>IF(B442="", "", "human-oral")</f>
        <v>0</v>
      </c>
      <c r="D442" s="1">
        <f>IF(B442="", "", "human oral metagenome")</f>
        <v>0</v>
      </c>
      <c r="E442" s="1">
        <f>IF(B442="", "", "447426")</f>
        <v>0</v>
      </c>
    </row>
    <row r="443" spans="1:5">
      <c r="A443">
        <f>IF(COUNTBLANK(B443:E443)&lt;&gt;COLUMNS(B443:E443),442,"")</f>
        <v>0</v>
      </c>
      <c r="C443" s="1">
        <f>IF(B443="", "", "human-oral")</f>
        <v>0</v>
      </c>
      <c r="D443" s="1">
        <f>IF(B443="", "", "human oral metagenome")</f>
        <v>0</v>
      </c>
      <c r="E443" s="1">
        <f>IF(B443="", "", "447426")</f>
        <v>0</v>
      </c>
    </row>
    <row r="444" spans="1:5">
      <c r="A444">
        <f>IF(COUNTBLANK(B444:E444)&lt;&gt;COLUMNS(B444:E444),443,"")</f>
        <v>0</v>
      </c>
      <c r="C444" s="1">
        <f>IF(B444="", "", "human-oral")</f>
        <v>0</v>
      </c>
      <c r="D444" s="1">
        <f>IF(B444="", "", "human oral metagenome")</f>
        <v>0</v>
      </c>
      <c r="E444" s="1">
        <f>IF(B444="", "", "447426")</f>
        <v>0</v>
      </c>
    </row>
    <row r="445" spans="1:5">
      <c r="A445">
        <f>IF(COUNTBLANK(B445:E445)&lt;&gt;COLUMNS(B445:E445),444,"")</f>
        <v>0</v>
      </c>
      <c r="C445" s="1">
        <f>IF(B445="", "", "human-oral")</f>
        <v>0</v>
      </c>
      <c r="D445" s="1">
        <f>IF(B445="", "", "human oral metagenome")</f>
        <v>0</v>
      </c>
      <c r="E445" s="1">
        <f>IF(B445="", "", "447426")</f>
        <v>0</v>
      </c>
    </row>
    <row r="446" spans="1:5">
      <c r="A446">
        <f>IF(COUNTBLANK(B446:E446)&lt;&gt;COLUMNS(B446:E446),445,"")</f>
        <v>0</v>
      </c>
      <c r="C446" s="1">
        <f>IF(B446="", "", "human-oral")</f>
        <v>0</v>
      </c>
      <c r="D446" s="1">
        <f>IF(B446="", "", "human oral metagenome")</f>
        <v>0</v>
      </c>
      <c r="E446" s="1">
        <f>IF(B446="", "", "447426")</f>
        <v>0</v>
      </c>
    </row>
    <row r="447" spans="1:5">
      <c r="A447">
        <f>IF(COUNTBLANK(B447:E447)&lt;&gt;COLUMNS(B447:E447),446,"")</f>
        <v>0</v>
      </c>
      <c r="C447" s="1">
        <f>IF(B447="", "", "human-oral")</f>
        <v>0</v>
      </c>
      <c r="D447" s="1">
        <f>IF(B447="", "", "human oral metagenome")</f>
        <v>0</v>
      </c>
      <c r="E447" s="1">
        <f>IF(B447="", "", "447426")</f>
        <v>0</v>
      </c>
    </row>
    <row r="448" spans="1:5">
      <c r="A448">
        <f>IF(COUNTBLANK(B448:E448)&lt;&gt;COLUMNS(B448:E448),447,"")</f>
        <v>0</v>
      </c>
      <c r="C448" s="1">
        <f>IF(B448="", "", "human-oral")</f>
        <v>0</v>
      </c>
      <c r="D448" s="1">
        <f>IF(B448="", "", "human oral metagenome")</f>
        <v>0</v>
      </c>
      <c r="E448" s="1">
        <f>IF(B448="", "", "447426")</f>
        <v>0</v>
      </c>
    </row>
    <row r="449" spans="1:5">
      <c r="A449">
        <f>IF(COUNTBLANK(B449:E449)&lt;&gt;COLUMNS(B449:E449),448,"")</f>
        <v>0</v>
      </c>
      <c r="C449" s="1">
        <f>IF(B449="", "", "human-oral")</f>
        <v>0</v>
      </c>
      <c r="D449" s="1">
        <f>IF(B449="", "", "human oral metagenome")</f>
        <v>0</v>
      </c>
      <c r="E449" s="1">
        <f>IF(B449="", "", "447426")</f>
        <v>0</v>
      </c>
    </row>
    <row r="450" spans="1:5">
      <c r="A450">
        <f>IF(COUNTBLANK(B450:E450)&lt;&gt;COLUMNS(B450:E450),449,"")</f>
        <v>0</v>
      </c>
      <c r="C450" s="1">
        <f>IF(B450="", "", "human-oral")</f>
        <v>0</v>
      </c>
      <c r="D450" s="1">
        <f>IF(B450="", "", "human oral metagenome")</f>
        <v>0</v>
      </c>
      <c r="E450" s="1">
        <f>IF(B450="", "", "447426")</f>
        <v>0</v>
      </c>
    </row>
    <row r="451" spans="1:5">
      <c r="A451">
        <f>IF(COUNTBLANK(B451:E451)&lt;&gt;COLUMNS(B451:E451),450,"")</f>
        <v>0</v>
      </c>
      <c r="C451" s="1">
        <f>IF(B451="", "", "human-oral")</f>
        <v>0</v>
      </c>
      <c r="D451" s="1">
        <f>IF(B451="", "", "human oral metagenome")</f>
        <v>0</v>
      </c>
      <c r="E451" s="1">
        <f>IF(B451="", "", "447426")</f>
        <v>0</v>
      </c>
    </row>
    <row r="452" spans="1:5">
      <c r="A452">
        <f>IF(COUNTBLANK(B452:E452)&lt;&gt;COLUMNS(B452:E452),451,"")</f>
        <v>0</v>
      </c>
      <c r="C452" s="1">
        <f>IF(B452="", "", "human-oral")</f>
        <v>0</v>
      </c>
      <c r="D452" s="1">
        <f>IF(B452="", "", "human oral metagenome")</f>
        <v>0</v>
      </c>
      <c r="E452" s="1">
        <f>IF(B452="", "", "447426")</f>
        <v>0</v>
      </c>
    </row>
    <row r="453" spans="1:5">
      <c r="A453">
        <f>IF(COUNTBLANK(B453:E453)&lt;&gt;COLUMNS(B453:E453),452,"")</f>
        <v>0</v>
      </c>
      <c r="C453" s="1">
        <f>IF(B453="", "", "human-oral")</f>
        <v>0</v>
      </c>
      <c r="D453" s="1">
        <f>IF(B453="", "", "human oral metagenome")</f>
        <v>0</v>
      </c>
      <c r="E453" s="1">
        <f>IF(B453="", "", "447426")</f>
        <v>0</v>
      </c>
    </row>
    <row r="454" spans="1:5">
      <c r="A454">
        <f>IF(COUNTBLANK(B454:E454)&lt;&gt;COLUMNS(B454:E454),453,"")</f>
        <v>0</v>
      </c>
      <c r="C454" s="1">
        <f>IF(B454="", "", "human-oral")</f>
        <v>0</v>
      </c>
      <c r="D454" s="1">
        <f>IF(B454="", "", "human oral metagenome")</f>
        <v>0</v>
      </c>
      <c r="E454" s="1">
        <f>IF(B454="", "", "447426")</f>
        <v>0</v>
      </c>
    </row>
    <row r="455" spans="1:5">
      <c r="A455">
        <f>IF(COUNTBLANK(B455:E455)&lt;&gt;COLUMNS(B455:E455),454,"")</f>
        <v>0</v>
      </c>
      <c r="C455" s="1">
        <f>IF(B455="", "", "human-oral")</f>
        <v>0</v>
      </c>
      <c r="D455" s="1">
        <f>IF(B455="", "", "human oral metagenome")</f>
        <v>0</v>
      </c>
      <c r="E455" s="1">
        <f>IF(B455="", "", "447426")</f>
        <v>0</v>
      </c>
    </row>
    <row r="456" spans="1:5">
      <c r="A456">
        <f>IF(COUNTBLANK(B456:E456)&lt;&gt;COLUMNS(B456:E456),455,"")</f>
        <v>0</v>
      </c>
      <c r="C456" s="1">
        <f>IF(B456="", "", "human-oral")</f>
        <v>0</v>
      </c>
      <c r="D456" s="1">
        <f>IF(B456="", "", "human oral metagenome")</f>
        <v>0</v>
      </c>
      <c r="E456" s="1">
        <f>IF(B456="", "", "447426")</f>
        <v>0</v>
      </c>
    </row>
    <row r="457" spans="1:5">
      <c r="A457">
        <f>IF(COUNTBLANK(B457:E457)&lt;&gt;COLUMNS(B457:E457),456,"")</f>
        <v>0</v>
      </c>
      <c r="C457" s="1">
        <f>IF(B457="", "", "human-oral")</f>
        <v>0</v>
      </c>
      <c r="D457" s="1">
        <f>IF(B457="", "", "human oral metagenome")</f>
        <v>0</v>
      </c>
      <c r="E457" s="1">
        <f>IF(B457="", "", "447426")</f>
        <v>0</v>
      </c>
    </row>
    <row r="458" spans="1:5">
      <c r="A458">
        <f>IF(COUNTBLANK(B458:E458)&lt;&gt;COLUMNS(B458:E458),457,"")</f>
        <v>0</v>
      </c>
      <c r="C458" s="1">
        <f>IF(B458="", "", "human-oral")</f>
        <v>0</v>
      </c>
      <c r="D458" s="1">
        <f>IF(B458="", "", "human oral metagenome")</f>
        <v>0</v>
      </c>
      <c r="E458" s="1">
        <f>IF(B458="", "", "447426")</f>
        <v>0</v>
      </c>
    </row>
    <row r="459" spans="1:5">
      <c r="A459">
        <f>IF(COUNTBLANK(B459:E459)&lt;&gt;COLUMNS(B459:E459),458,"")</f>
        <v>0</v>
      </c>
      <c r="C459" s="1">
        <f>IF(B459="", "", "human-oral")</f>
        <v>0</v>
      </c>
      <c r="D459" s="1">
        <f>IF(B459="", "", "human oral metagenome")</f>
        <v>0</v>
      </c>
      <c r="E459" s="1">
        <f>IF(B459="", "", "447426")</f>
        <v>0</v>
      </c>
    </row>
    <row r="460" spans="1:5">
      <c r="A460">
        <f>IF(COUNTBLANK(B460:E460)&lt;&gt;COLUMNS(B460:E460),459,"")</f>
        <v>0</v>
      </c>
      <c r="C460" s="1">
        <f>IF(B460="", "", "human-oral")</f>
        <v>0</v>
      </c>
      <c r="D460" s="1">
        <f>IF(B460="", "", "human oral metagenome")</f>
        <v>0</v>
      </c>
      <c r="E460" s="1">
        <f>IF(B460="", "", "447426")</f>
        <v>0</v>
      </c>
    </row>
    <row r="461" spans="1:5">
      <c r="A461">
        <f>IF(COUNTBLANK(B461:E461)&lt;&gt;COLUMNS(B461:E461),460,"")</f>
        <v>0</v>
      </c>
      <c r="C461" s="1">
        <f>IF(B461="", "", "human-oral")</f>
        <v>0</v>
      </c>
      <c r="D461" s="1">
        <f>IF(B461="", "", "human oral metagenome")</f>
        <v>0</v>
      </c>
      <c r="E461" s="1">
        <f>IF(B461="", "", "447426")</f>
        <v>0</v>
      </c>
    </row>
    <row r="462" spans="1:5">
      <c r="A462">
        <f>IF(COUNTBLANK(B462:E462)&lt;&gt;COLUMNS(B462:E462),461,"")</f>
        <v>0</v>
      </c>
      <c r="C462" s="1">
        <f>IF(B462="", "", "human-oral")</f>
        <v>0</v>
      </c>
      <c r="D462" s="1">
        <f>IF(B462="", "", "human oral metagenome")</f>
        <v>0</v>
      </c>
      <c r="E462" s="1">
        <f>IF(B462="", "", "447426")</f>
        <v>0</v>
      </c>
    </row>
    <row r="463" spans="1:5">
      <c r="A463">
        <f>IF(COUNTBLANK(B463:E463)&lt;&gt;COLUMNS(B463:E463),462,"")</f>
        <v>0</v>
      </c>
      <c r="C463" s="1">
        <f>IF(B463="", "", "human-oral")</f>
        <v>0</v>
      </c>
      <c r="D463" s="1">
        <f>IF(B463="", "", "human oral metagenome")</f>
        <v>0</v>
      </c>
      <c r="E463" s="1">
        <f>IF(B463="", "", "447426")</f>
        <v>0</v>
      </c>
    </row>
    <row r="464" spans="1:5">
      <c r="A464">
        <f>IF(COUNTBLANK(B464:E464)&lt;&gt;COLUMNS(B464:E464),463,"")</f>
        <v>0</v>
      </c>
      <c r="C464" s="1">
        <f>IF(B464="", "", "human-oral")</f>
        <v>0</v>
      </c>
      <c r="D464" s="1">
        <f>IF(B464="", "", "human oral metagenome")</f>
        <v>0</v>
      </c>
      <c r="E464" s="1">
        <f>IF(B464="", "", "447426")</f>
        <v>0</v>
      </c>
    </row>
    <row r="465" spans="1:5">
      <c r="A465">
        <f>IF(COUNTBLANK(B465:E465)&lt;&gt;COLUMNS(B465:E465),464,"")</f>
        <v>0</v>
      </c>
      <c r="C465" s="1">
        <f>IF(B465="", "", "human-oral")</f>
        <v>0</v>
      </c>
      <c r="D465" s="1">
        <f>IF(B465="", "", "human oral metagenome")</f>
        <v>0</v>
      </c>
      <c r="E465" s="1">
        <f>IF(B465="", "", "447426")</f>
        <v>0</v>
      </c>
    </row>
    <row r="466" spans="1:5">
      <c r="A466">
        <f>IF(COUNTBLANK(B466:E466)&lt;&gt;COLUMNS(B466:E466),465,"")</f>
        <v>0</v>
      </c>
      <c r="C466" s="1">
        <f>IF(B466="", "", "human-oral")</f>
        <v>0</v>
      </c>
      <c r="D466" s="1">
        <f>IF(B466="", "", "human oral metagenome")</f>
        <v>0</v>
      </c>
      <c r="E466" s="1">
        <f>IF(B466="", "", "447426")</f>
        <v>0</v>
      </c>
    </row>
    <row r="467" spans="1:5">
      <c r="A467">
        <f>IF(COUNTBLANK(B467:E467)&lt;&gt;COLUMNS(B467:E467),466,"")</f>
        <v>0</v>
      </c>
      <c r="C467" s="1">
        <f>IF(B467="", "", "human-oral")</f>
        <v>0</v>
      </c>
      <c r="D467" s="1">
        <f>IF(B467="", "", "human oral metagenome")</f>
        <v>0</v>
      </c>
      <c r="E467" s="1">
        <f>IF(B467="", "", "447426")</f>
        <v>0</v>
      </c>
    </row>
    <row r="468" spans="1:5">
      <c r="A468">
        <f>IF(COUNTBLANK(B468:E468)&lt;&gt;COLUMNS(B468:E468),467,"")</f>
        <v>0</v>
      </c>
      <c r="C468" s="1">
        <f>IF(B468="", "", "human-oral")</f>
        <v>0</v>
      </c>
      <c r="D468" s="1">
        <f>IF(B468="", "", "human oral metagenome")</f>
        <v>0</v>
      </c>
      <c r="E468" s="1">
        <f>IF(B468="", "", "447426")</f>
        <v>0</v>
      </c>
    </row>
    <row r="469" spans="1:5">
      <c r="A469">
        <f>IF(COUNTBLANK(B469:E469)&lt;&gt;COLUMNS(B469:E469),468,"")</f>
        <v>0</v>
      </c>
      <c r="C469" s="1">
        <f>IF(B469="", "", "human-oral")</f>
        <v>0</v>
      </c>
      <c r="D469" s="1">
        <f>IF(B469="", "", "human oral metagenome")</f>
        <v>0</v>
      </c>
      <c r="E469" s="1">
        <f>IF(B469="", "", "447426")</f>
        <v>0</v>
      </c>
    </row>
    <row r="470" spans="1:5">
      <c r="A470">
        <f>IF(COUNTBLANK(B470:E470)&lt;&gt;COLUMNS(B470:E470),469,"")</f>
        <v>0</v>
      </c>
      <c r="C470" s="1">
        <f>IF(B470="", "", "human-oral")</f>
        <v>0</v>
      </c>
      <c r="D470" s="1">
        <f>IF(B470="", "", "human oral metagenome")</f>
        <v>0</v>
      </c>
      <c r="E470" s="1">
        <f>IF(B470="", "", "447426")</f>
        <v>0</v>
      </c>
    </row>
    <row r="471" spans="1:5">
      <c r="A471">
        <f>IF(COUNTBLANK(B471:E471)&lt;&gt;COLUMNS(B471:E471),470,"")</f>
        <v>0</v>
      </c>
      <c r="C471" s="1">
        <f>IF(B471="", "", "human-oral")</f>
        <v>0</v>
      </c>
      <c r="D471" s="1">
        <f>IF(B471="", "", "human oral metagenome")</f>
        <v>0</v>
      </c>
      <c r="E471" s="1">
        <f>IF(B471="", "", "447426")</f>
        <v>0</v>
      </c>
    </row>
    <row r="472" spans="1:5">
      <c r="A472">
        <f>IF(COUNTBLANK(B472:E472)&lt;&gt;COLUMNS(B472:E472),471,"")</f>
        <v>0</v>
      </c>
      <c r="C472" s="1">
        <f>IF(B472="", "", "human-oral")</f>
        <v>0</v>
      </c>
      <c r="D472" s="1">
        <f>IF(B472="", "", "human oral metagenome")</f>
        <v>0</v>
      </c>
      <c r="E472" s="1">
        <f>IF(B472="", "", "447426")</f>
        <v>0</v>
      </c>
    </row>
    <row r="473" spans="1:5">
      <c r="A473">
        <f>IF(COUNTBLANK(B473:E473)&lt;&gt;COLUMNS(B473:E473),472,"")</f>
        <v>0</v>
      </c>
      <c r="C473" s="1">
        <f>IF(B473="", "", "human-oral")</f>
        <v>0</v>
      </c>
      <c r="D473" s="1">
        <f>IF(B473="", "", "human oral metagenome")</f>
        <v>0</v>
      </c>
      <c r="E473" s="1">
        <f>IF(B473="", "", "447426")</f>
        <v>0</v>
      </c>
    </row>
    <row r="474" spans="1:5">
      <c r="A474">
        <f>IF(COUNTBLANK(B474:E474)&lt;&gt;COLUMNS(B474:E474),473,"")</f>
        <v>0</v>
      </c>
      <c r="C474" s="1">
        <f>IF(B474="", "", "human-oral")</f>
        <v>0</v>
      </c>
      <c r="D474" s="1">
        <f>IF(B474="", "", "human oral metagenome")</f>
        <v>0</v>
      </c>
      <c r="E474" s="1">
        <f>IF(B474="", "", "447426")</f>
        <v>0</v>
      </c>
    </row>
    <row r="475" spans="1:5">
      <c r="A475">
        <f>IF(COUNTBLANK(B475:E475)&lt;&gt;COLUMNS(B475:E475),474,"")</f>
        <v>0</v>
      </c>
      <c r="C475" s="1">
        <f>IF(B475="", "", "human-oral")</f>
        <v>0</v>
      </c>
      <c r="D475" s="1">
        <f>IF(B475="", "", "human oral metagenome")</f>
        <v>0</v>
      </c>
      <c r="E475" s="1">
        <f>IF(B475="", "", "447426")</f>
        <v>0</v>
      </c>
    </row>
    <row r="476" spans="1:5">
      <c r="A476">
        <f>IF(COUNTBLANK(B476:E476)&lt;&gt;COLUMNS(B476:E476),475,"")</f>
        <v>0</v>
      </c>
      <c r="C476" s="1">
        <f>IF(B476="", "", "human-oral")</f>
        <v>0</v>
      </c>
      <c r="D476" s="1">
        <f>IF(B476="", "", "human oral metagenome")</f>
        <v>0</v>
      </c>
      <c r="E476" s="1">
        <f>IF(B476="", "", "447426")</f>
        <v>0</v>
      </c>
    </row>
    <row r="477" spans="1:5">
      <c r="A477">
        <f>IF(COUNTBLANK(B477:E477)&lt;&gt;COLUMNS(B477:E477),476,"")</f>
        <v>0</v>
      </c>
      <c r="C477" s="1">
        <f>IF(B477="", "", "human-oral")</f>
        <v>0</v>
      </c>
      <c r="D477" s="1">
        <f>IF(B477="", "", "human oral metagenome")</f>
        <v>0</v>
      </c>
      <c r="E477" s="1">
        <f>IF(B477="", "", "447426")</f>
        <v>0</v>
      </c>
    </row>
    <row r="478" spans="1:5">
      <c r="A478">
        <f>IF(COUNTBLANK(B478:E478)&lt;&gt;COLUMNS(B478:E478),477,"")</f>
        <v>0</v>
      </c>
      <c r="C478" s="1">
        <f>IF(B478="", "", "human-oral")</f>
        <v>0</v>
      </c>
      <c r="D478" s="1">
        <f>IF(B478="", "", "human oral metagenome")</f>
        <v>0</v>
      </c>
      <c r="E478" s="1">
        <f>IF(B478="", "", "447426")</f>
        <v>0</v>
      </c>
    </row>
    <row r="479" spans="1:5">
      <c r="A479">
        <f>IF(COUNTBLANK(B479:E479)&lt;&gt;COLUMNS(B479:E479),478,"")</f>
        <v>0</v>
      </c>
      <c r="C479" s="1">
        <f>IF(B479="", "", "human-oral")</f>
        <v>0</v>
      </c>
      <c r="D479" s="1">
        <f>IF(B479="", "", "human oral metagenome")</f>
        <v>0</v>
      </c>
      <c r="E479" s="1">
        <f>IF(B479="", "", "447426")</f>
        <v>0</v>
      </c>
    </row>
    <row r="480" spans="1:5">
      <c r="A480">
        <f>IF(COUNTBLANK(B480:E480)&lt;&gt;COLUMNS(B480:E480),479,"")</f>
        <v>0</v>
      </c>
      <c r="C480" s="1">
        <f>IF(B480="", "", "human-oral")</f>
        <v>0</v>
      </c>
      <c r="D480" s="1">
        <f>IF(B480="", "", "human oral metagenome")</f>
        <v>0</v>
      </c>
      <c r="E480" s="1">
        <f>IF(B480="", "", "447426")</f>
        <v>0</v>
      </c>
    </row>
    <row r="481" spans="1:5">
      <c r="A481">
        <f>IF(COUNTBLANK(B481:E481)&lt;&gt;COLUMNS(B481:E481),480,"")</f>
        <v>0</v>
      </c>
      <c r="C481" s="1">
        <f>IF(B481="", "", "human-oral")</f>
        <v>0</v>
      </c>
      <c r="D481" s="1">
        <f>IF(B481="", "", "human oral metagenome")</f>
        <v>0</v>
      </c>
      <c r="E481" s="1">
        <f>IF(B481="", "", "447426")</f>
        <v>0</v>
      </c>
    </row>
    <row r="482" spans="1:5">
      <c r="A482">
        <f>IF(COUNTBLANK(B482:E482)&lt;&gt;COLUMNS(B482:E482),481,"")</f>
        <v>0</v>
      </c>
      <c r="C482" s="1">
        <f>IF(B482="", "", "human-oral")</f>
        <v>0</v>
      </c>
      <c r="D482" s="1">
        <f>IF(B482="", "", "human oral metagenome")</f>
        <v>0</v>
      </c>
      <c r="E482" s="1">
        <f>IF(B482="", "", "447426")</f>
        <v>0</v>
      </c>
    </row>
    <row r="483" spans="1:5">
      <c r="A483">
        <f>IF(COUNTBLANK(B483:E483)&lt;&gt;COLUMNS(B483:E483),482,"")</f>
        <v>0</v>
      </c>
      <c r="C483" s="1">
        <f>IF(B483="", "", "human-oral")</f>
        <v>0</v>
      </c>
      <c r="D483" s="1">
        <f>IF(B483="", "", "human oral metagenome")</f>
        <v>0</v>
      </c>
      <c r="E483" s="1">
        <f>IF(B483="", "", "447426")</f>
        <v>0</v>
      </c>
    </row>
    <row r="484" spans="1:5">
      <c r="A484">
        <f>IF(COUNTBLANK(B484:E484)&lt;&gt;COLUMNS(B484:E484),483,"")</f>
        <v>0</v>
      </c>
      <c r="C484" s="1">
        <f>IF(B484="", "", "human-oral")</f>
        <v>0</v>
      </c>
      <c r="D484" s="1">
        <f>IF(B484="", "", "human oral metagenome")</f>
        <v>0</v>
      </c>
      <c r="E484" s="1">
        <f>IF(B484="", "", "447426")</f>
        <v>0</v>
      </c>
    </row>
    <row r="485" spans="1:5">
      <c r="A485">
        <f>IF(COUNTBLANK(B485:E485)&lt;&gt;COLUMNS(B485:E485),484,"")</f>
        <v>0</v>
      </c>
      <c r="C485" s="1">
        <f>IF(B485="", "", "human-oral")</f>
        <v>0</v>
      </c>
      <c r="D485" s="1">
        <f>IF(B485="", "", "human oral metagenome")</f>
        <v>0</v>
      </c>
      <c r="E485" s="1">
        <f>IF(B485="", "", "447426")</f>
        <v>0</v>
      </c>
    </row>
    <row r="486" spans="1:5">
      <c r="A486">
        <f>IF(COUNTBLANK(B486:E486)&lt;&gt;COLUMNS(B486:E486),485,"")</f>
        <v>0</v>
      </c>
      <c r="C486" s="1">
        <f>IF(B486="", "", "human-oral")</f>
        <v>0</v>
      </c>
      <c r="D486" s="1">
        <f>IF(B486="", "", "human oral metagenome")</f>
        <v>0</v>
      </c>
      <c r="E486" s="1">
        <f>IF(B486="", "", "447426")</f>
        <v>0</v>
      </c>
    </row>
    <row r="487" spans="1:5">
      <c r="A487">
        <f>IF(COUNTBLANK(B487:E487)&lt;&gt;COLUMNS(B487:E487),486,"")</f>
        <v>0</v>
      </c>
      <c r="C487" s="1">
        <f>IF(B487="", "", "human-oral")</f>
        <v>0</v>
      </c>
      <c r="D487" s="1">
        <f>IF(B487="", "", "human oral metagenome")</f>
        <v>0</v>
      </c>
      <c r="E487" s="1">
        <f>IF(B487="", "", "447426")</f>
        <v>0</v>
      </c>
    </row>
    <row r="488" spans="1:5">
      <c r="A488">
        <f>IF(COUNTBLANK(B488:E488)&lt;&gt;COLUMNS(B488:E488),487,"")</f>
        <v>0</v>
      </c>
      <c r="C488" s="1">
        <f>IF(B488="", "", "human-oral")</f>
        <v>0</v>
      </c>
      <c r="D488" s="1">
        <f>IF(B488="", "", "human oral metagenome")</f>
        <v>0</v>
      </c>
      <c r="E488" s="1">
        <f>IF(B488="", "", "447426")</f>
        <v>0</v>
      </c>
    </row>
    <row r="489" spans="1:5">
      <c r="A489">
        <f>IF(COUNTBLANK(B489:E489)&lt;&gt;COLUMNS(B489:E489),488,"")</f>
        <v>0</v>
      </c>
      <c r="C489" s="1">
        <f>IF(B489="", "", "human-oral")</f>
        <v>0</v>
      </c>
      <c r="D489" s="1">
        <f>IF(B489="", "", "human oral metagenome")</f>
        <v>0</v>
      </c>
      <c r="E489" s="1">
        <f>IF(B489="", "", "447426")</f>
        <v>0</v>
      </c>
    </row>
    <row r="490" spans="1:5">
      <c r="A490">
        <f>IF(COUNTBLANK(B490:E490)&lt;&gt;COLUMNS(B490:E490),489,"")</f>
        <v>0</v>
      </c>
      <c r="C490" s="1">
        <f>IF(B490="", "", "human-oral")</f>
        <v>0</v>
      </c>
      <c r="D490" s="1">
        <f>IF(B490="", "", "human oral metagenome")</f>
        <v>0</v>
      </c>
      <c r="E490" s="1">
        <f>IF(B490="", "", "447426")</f>
        <v>0</v>
      </c>
    </row>
    <row r="491" spans="1:5">
      <c r="A491">
        <f>IF(COUNTBLANK(B491:E491)&lt;&gt;COLUMNS(B491:E491),490,"")</f>
        <v>0</v>
      </c>
      <c r="C491" s="1">
        <f>IF(B491="", "", "human-oral")</f>
        <v>0</v>
      </c>
      <c r="D491" s="1">
        <f>IF(B491="", "", "human oral metagenome")</f>
        <v>0</v>
      </c>
      <c r="E491" s="1">
        <f>IF(B491="", "", "447426")</f>
        <v>0</v>
      </c>
    </row>
    <row r="492" spans="1:5">
      <c r="A492">
        <f>IF(COUNTBLANK(B492:E492)&lt;&gt;COLUMNS(B492:E492),491,"")</f>
        <v>0</v>
      </c>
      <c r="C492" s="1">
        <f>IF(B492="", "", "human-oral")</f>
        <v>0</v>
      </c>
      <c r="D492" s="1">
        <f>IF(B492="", "", "human oral metagenome")</f>
        <v>0</v>
      </c>
      <c r="E492" s="1">
        <f>IF(B492="", "", "447426")</f>
        <v>0</v>
      </c>
    </row>
    <row r="493" spans="1:5">
      <c r="A493">
        <f>IF(COUNTBLANK(B493:E493)&lt;&gt;COLUMNS(B493:E493),492,"")</f>
        <v>0</v>
      </c>
      <c r="C493" s="1">
        <f>IF(B493="", "", "human-oral")</f>
        <v>0</v>
      </c>
      <c r="D493" s="1">
        <f>IF(B493="", "", "human oral metagenome")</f>
        <v>0</v>
      </c>
      <c r="E493" s="1">
        <f>IF(B493="", "", "447426")</f>
        <v>0</v>
      </c>
    </row>
    <row r="494" spans="1:5">
      <c r="A494">
        <f>IF(COUNTBLANK(B494:E494)&lt;&gt;COLUMNS(B494:E494),493,"")</f>
        <v>0</v>
      </c>
      <c r="C494" s="1">
        <f>IF(B494="", "", "human-oral")</f>
        <v>0</v>
      </c>
      <c r="D494" s="1">
        <f>IF(B494="", "", "human oral metagenome")</f>
        <v>0</v>
      </c>
      <c r="E494" s="1">
        <f>IF(B494="", "", "447426")</f>
        <v>0</v>
      </c>
    </row>
    <row r="495" spans="1:5">
      <c r="A495">
        <f>IF(COUNTBLANK(B495:E495)&lt;&gt;COLUMNS(B495:E495),494,"")</f>
        <v>0</v>
      </c>
      <c r="C495" s="1">
        <f>IF(B495="", "", "human-oral")</f>
        <v>0</v>
      </c>
      <c r="D495" s="1">
        <f>IF(B495="", "", "human oral metagenome")</f>
        <v>0</v>
      </c>
      <c r="E495" s="1">
        <f>IF(B495="", "", "447426")</f>
        <v>0</v>
      </c>
    </row>
    <row r="496" spans="1:5">
      <c r="A496">
        <f>IF(COUNTBLANK(B496:E496)&lt;&gt;COLUMNS(B496:E496),495,"")</f>
        <v>0</v>
      </c>
      <c r="C496" s="1">
        <f>IF(B496="", "", "human-oral")</f>
        <v>0</v>
      </c>
      <c r="D496" s="1">
        <f>IF(B496="", "", "human oral metagenome")</f>
        <v>0</v>
      </c>
      <c r="E496" s="1">
        <f>IF(B496="", "", "447426")</f>
        <v>0</v>
      </c>
    </row>
    <row r="497" spans="1:5">
      <c r="A497">
        <f>IF(COUNTBLANK(B497:E497)&lt;&gt;COLUMNS(B497:E497),496,"")</f>
        <v>0</v>
      </c>
      <c r="C497" s="1">
        <f>IF(B497="", "", "human-oral")</f>
        <v>0</v>
      </c>
      <c r="D497" s="1">
        <f>IF(B497="", "", "human oral metagenome")</f>
        <v>0</v>
      </c>
      <c r="E497" s="1">
        <f>IF(B497="", "", "447426")</f>
        <v>0</v>
      </c>
    </row>
    <row r="498" spans="1:5">
      <c r="A498">
        <f>IF(COUNTBLANK(B498:E498)&lt;&gt;COLUMNS(B498:E498),497,"")</f>
        <v>0</v>
      </c>
      <c r="C498" s="1">
        <f>IF(B498="", "", "human-oral")</f>
        <v>0</v>
      </c>
      <c r="D498" s="1">
        <f>IF(B498="", "", "human oral metagenome")</f>
        <v>0</v>
      </c>
      <c r="E498" s="1">
        <f>IF(B498="", "", "447426")</f>
        <v>0</v>
      </c>
    </row>
    <row r="499" spans="1:5">
      <c r="A499">
        <f>IF(COUNTBLANK(B499:E499)&lt;&gt;COLUMNS(B499:E499),498,"")</f>
        <v>0</v>
      </c>
      <c r="C499" s="1">
        <f>IF(B499="", "", "human-oral")</f>
        <v>0</v>
      </c>
      <c r="D499" s="1">
        <f>IF(B499="", "", "human oral metagenome")</f>
        <v>0</v>
      </c>
      <c r="E499" s="1">
        <f>IF(B499="", "", "447426")</f>
        <v>0</v>
      </c>
    </row>
    <row r="500" spans="1:5">
      <c r="A500">
        <f>IF(COUNTBLANK(B500:E500)&lt;&gt;COLUMNS(B500:E500),499,"")</f>
        <v>0</v>
      </c>
      <c r="C500" s="1">
        <f>IF(B500="", "", "human-oral")</f>
        <v>0</v>
      </c>
      <c r="D500" s="1">
        <f>IF(B500="", "", "human oral metagenome")</f>
        <v>0</v>
      </c>
      <c r="E500" s="1">
        <f>IF(B500="", "", "447426")</f>
        <v>0</v>
      </c>
    </row>
    <row r="501" spans="1:5">
      <c r="A501">
        <f>IF(COUNTBLANK(B501:E501)&lt;&gt;COLUMNS(B501:E501),500,"")</f>
        <v>0</v>
      </c>
      <c r="C501" s="1">
        <f>IF(B501="", "", "human-oral")</f>
        <v>0</v>
      </c>
      <c r="D501" s="1">
        <f>IF(B501="", "", "human oral metagenome")</f>
        <v>0</v>
      </c>
      <c r="E501" s="1">
        <f>IF(B501="", "", "447426")</f>
        <v>0</v>
      </c>
    </row>
    <row r="502" spans="1:5">
      <c r="A502">
        <f>IF(COUNTBLANK(B502:E502)&lt;&gt;COLUMNS(B502:E502),501,"")</f>
        <v>0</v>
      </c>
      <c r="C502" s="1">
        <f>IF(B502="", "", "human-oral")</f>
        <v>0</v>
      </c>
      <c r="D502" s="1">
        <f>IF(B502="", "", "human oral metagenome")</f>
        <v>0</v>
      </c>
      <c r="E502" s="1">
        <f>IF(B502="", "", "447426")</f>
        <v>0</v>
      </c>
    </row>
    <row r="503" spans="1:5">
      <c r="A503">
        <f>IF(COUNTBLANK(B503:E503)&lt;&gt;COLUMNS(B503:E503),502,"")</f>
        <v>0</v>
      </c>
      <c r="C503" s="1">
        <f>IF(B503="", "", "human-oral")</f>
        <v>0</v>
      </c>
      <c r="D503" s="1">
        <f>IF(B503="", "", "human oral metagenome")</f>
        <v>0</v>
      </c>
      <c r="E503" s="1">
        <f>IF(B503="", "", "447426")</f>
        <v>0</v>
      </c>
    </row>
    <row r="504" spans="1:5">
      <c r="A504">
        <f>IF(COUNTBLANK(B504:E504)&lt;&gt;COLUMNS(B504:E504),503,"")</f>
        <v>0</v>
      </c>
      <c r="C504" s="1">
        <f>IF(B504="", "", "human-oral")</f>
        <v>0</v>
      </c>
      <c r="D504" s="1">
        <f>IF(B504="", "", "human oral metagenome")</f>
        <v>0</v>
      </c>
      <c r="E504" s="1">
        <f>IF(B504="", "", "447426")</f>
        <v>0</v>
      </c>
    </row>
    <row r="505" spans="1:5">
      <c r="A505">
        <f>IF(COUNTBLANK(B505:E505)&lt;&gt;COLUMNS(B505:E505),504,"")</f>
        <v>0</v>
      </c>
      <c r="C505" s="1">
        <f>IF(B505="", "", "human-oral")</f>
        <v>0</v>
      </c>
      <c r="D505" s="1">
        <f>IF(B505="", "", "human oral metagenome")</f>
        <v>0</v>
      </c>
      <c r="E505" s="1">
        <f>IF(B505="", "", "447426")</f>
        <v>0</v>
      </c>
    </row>
    <row r="506" spans="1:5">
      <c r="A506">
        <f>IF(COUNTBLANK(B506:E506)&lt;&gt;COLUMNS(B506:E506),505,"")</f>
        <v>0</v>
      </c>
      <c r="C506" s="1">
        <f>IF(B506="", "", "human-oral")</f>
        <v>0</v>
      </c>
      <c r="D506" s="1">
        <f>IF(B506="", "", "human oral metagenome")</f>
        <v>0</v>
      </c>
      <c r="E506" s="1">
        <f>IF(B506="", "", "447426")</f>
        <v>0</v>
      </c>
    </row>
    <row r="507" spans="1:5">
      <c r="A507">
        <f>IF(COUNTBLANK(B507:E507)&lt;&gt;COLUMNS(B507:E507),506,"")</f>
        <v>0</v>
      </c>
      <c r="C507" s="1">
        <f>IF(B507="", "", "human-oral")</f>
        <v>0</v>
      </c>
      <c r="D507" s="1">
        <f>IF(B507="", "", "human oral metagenome")</f>
        <v>0</v>
      </c>
      <c r="E507" s="1">
        <f>IF(B507="", "", "447426")</f>
        <v>0</v>
      </c>
    </row>
    <row r="508" spans="1:5">
      <c r="A508">
        <f>IF(COUNTBLANK(B508:E508)&lt;&gt;COLUMNS(B508:E508),507,"")</f>
        <v>0</v>
      </c>
      <c r="C508" s="1">
        <f>IF(B508="", "", "human-oral")</f>
        <v>0</v>
      </c>
      <c r="D508" s="1">
        <f>IF(B508="", "", "human oral metagenome")</f>
        <v>0</v>
      </c>
      <c r="E508" s="1">
        <f>IF(B508="", "", "447426")</f>
        <v>0</v>
      </c>
    </row>
    <row r="509" spans="1:5">
      <c r="A509">
        <f>IF(COUNTBLANK(B509:E509)&lt;&gt;COLUMNS(B509:E509),508,"")</f>
        <v>0</v>
      </c>
      <c r="C509" s="1">
        <f>IF(B509="", "", "human-oral")</f>
        <v>0</v>
      </c>
      <c r="D509" s="1">
        <f>IF(B509="", "", "human oral metagenome")</f>
        <v>0</v>
      </c>
      <c r="E509" s="1">
        <f>IF(B509="", "", "447426")</f>
        <v>0</v>
      </c>
    </row>
    <row r="510" spans="1:5">
      <c r="A510">
        <f>IF(COUNTBLANK(B510:E510)&lt;&gt;COLUMNS(B510:E510),509,"")</f>
        <v>0</v>
      </c>
      <c r="C510" s="1">
        <f>IF(B510="", "", "human-oral")</f>
        <v>0</v>
      </c>
      <c r="D510" s="1">
        <f>IF(B510="", "", "human oral metagenome")</f>
        <v>0</v>
      </c>
      <c r="E510" s="1">
        <f>IF(B510="", "", "447426")</f>
        <v>0</v>
      </c>
    </row>
    <row r="511" spans="1:5">
      <c r="A511">
        <f>IF(COUNTBLANK(B511:E511)&lt;&gt;COLUMNS(B511:E511),510,"")</f>
        <v>0</v>
      </c>
      <c r="C511" s="1">
        <f>IF(B511="", "", "human-oral")</f>
        <v>0</v>
      </c>
      <c r="D511" s="1">
        <f>IF(B511="", "", "human oral metagenome")</f>
        <v>0</v>
      </c>
      <c r="E511" s="1">
        <f>IF(B511="", "", "447426")</f>
        <v>0</v>
      </c>
    </row>
    <row r="512" spans="1:5">
      <c r="A512">
        <f>IF(COUNTBLANK(B512:E512)&lt;&gt;COLUMNS(B512:E512),511,"")</f>
        <v>0</v>
      </c>
      <c r="C512" s="1">
        <f>IF(B512="", "", "human-oral")</f>
        <v>0</v>
      </c>
      <c r="D512" s="1">
        <f>IF(B512="", "", "human oral metagenome")</f>
        <v>0</v>
      </c>
      <c r="E512" s="1">
        <f>IF(B512="", "", "447426")</f>
        <v>0</v>
      </c>
    </row>
    <row r="513" spans="1:5">
      <c r="A513">
        <f>IF(COUNTBLANK(B513:E513)&lt;&gt;COLUMNS(B513:E513),512,"")</f>
        <v>0</v>
      </c>
      <c r="C513" s="1">
        <f>IF(B513="", "", "human-oral")</f>
        <v>0</v>
      </c>
      <c r="D513" s="1">
        <f>IF(B513="", "", "human oral metagenome")</f>
        <v>0</v>
      </c>
      <c r="E513" s="1">
        <f>IF(B513="", "", "447426")</f>
        <v>0</v>
      </c>
    </row>
    <row r="514" spans="1:5">
      <c r="A514">
        <f>IF(COUNTBLANK(B514:E514)&lt;&gt;COLUMNS(B514:E514),513,"")</f>
        <v>0</v>
      </c>
      <c r="C514" s="1">
        <f>IF(B514="", "", "human-oral")</f>
        <v>0</v>
      </c>
      <c r="D514" s="1">
        <f>IF(B514="", "", "human oral metagenome")</f>
        <v>0</v>
      </c>
      <c r="E514" s="1">
        <f>IF(B514="", "", "447426")</f>
        <v>0</v>
      </c>
    </row>
    <row r="515" spans="1:5">
      <c r="A515">
        <f>IF(COUNTBLANK(B515:E515)&lt;&gt;COLUMNS(B515:E515),514,"")</f>
        <v>0</v>
      </c>
      <c r="C515" s="1">
        <f>IF(B515="", "", "human-oral")</f>
        <v>0</v>
      </c>
      <c r="D515" s="1">
        <f>IF(B515="", "", "human oral metagenome")</f>
        <v>0</v>
      </c>
      <c r="E515" s="1">
        <f>IF(B515="", "", "447426")</f>
        <v>0</v>
      </c>
    </row>
    <row r="516" spans="1:5">
      <c r="A516">
        <f>IF(COUNTBLANK(B516:E516)&lt;&gt;COLUMNS(B516:E516),515,"")</f>
        <v>0</v>
      </c>
      <c r="C516" s="1">
        <f>IF(B516="", "", "human-oral")</f>
        <v>0</v>
      </c>
      <c r="D516" s="1">
        <f>IF(B516="", "", "human oral metagenome")</f>
        <v>0</v>
      </c>
      <c r="E516" s="1">
        <f>IF(B516="", "", "447426")</f>
        <v>0</v>
      </c>
    </row>
    <row r="517" spans="1:5">
      <c r="A517">
        <f>IF(COUNTBLANK(B517:E517)&lt;&gt;COLUMNS(B517:E517),516,"")</f>
        <v>0</v>
      </c>
      <c r="C517" s="1">
        <f>IF(B517="", "", "human-oral")</f>
        <v>0</v>
      </c>
      <c r="D517" s="1">
        <f>IF(B517="", "", "human oral metagenome")</f>
        <v>0</v>
      </c>
      <c r="E517" s="1">
        <f>IF(B517="", "", "447426")</f>
        <v>0</v>
      </c>
    </row>
    <row r="518" spans="1:5">
      <c r="A518">
        <f>IF(COUNTBLANK(B518:E518)&lt;&gt;COLUMNS(B518:E518),517,"")</f>
        <v>0</v>
      </c>
      <c r="C518" s="1">
        <f>IF(B518="", "", "human-oral")</f>
        <v>0</v>
      </c>
      <c r="D518" s="1">
        <f>IF(B518="", "", "human oral metagenome")</f>
        <v>0</v>
      </c>
      <c r="E518" s="1">
        <f>IF(B518="", "", "447426")</f>
        <v>0</v>
      </c>
    </row>
    <row r="519" spans="1:5">
      <c r="A519">
        <f>IF(COUNTBLANK(B519:E519)&lt;&gt;COLUMNS(B519:E519),518,"")</f>
        <v>0</v>
      </c>
      <c r="C519" s="1">
        <f>IF(B519="", "", "human-oral")</f>
        <v>0</v>
      </c>
      <c r="D519" s="1">
        <f>IF(B519="", "", "human oral metagenome")</f>
        <v>0</v>
      </c>
      <c r="E519" s="1">
        <f>IF(B519="", "", "447426")</f>
        <v>0</v>
      </c>
    </row>
    <row r="520" spans="1:5">
      <c r="A520">
        <f>IF(COUNTBLANK(B520:E520)&lt;&gt;COLUMNS(B520:E520),519,"")</f>
        <v>0</v>
      </c>
      <c r="C520" s="1">
        <f>IF(B520="", "", "human-oral")</f>
        <v>0</v>
      </c>
      <c r="D520" s="1">
        <f>IF(B520="", "", "human oral metagenome")</f>
        <v>0</v>
      </c>
      <c r="E520" s="1">
        <f>IF(B520="", "", "447426")</f>
        <v>0</v>
      </c>
    </row>
    <row r="521" spans="1:5">
      <c r="A521">
        <f>IF(COUNTBLANK(B521:E521)&lt;&gt;COLUMNS(B521:E521),520,"")</f>
        <v>0</v>
      </c>
      <c r="C521" s="1">
        <f>IF(B521="", "", "human-oral")</f>
        <v>0</v>
      </c>
      <c r="D521" s="1">
        <f>IF(B521="", "", "human oral metagenome")</f>
        <v>0</v>
      </c>
      <c r="E521" s="1">
        <f>IF(B521="", "", "447426")</f>
        <v>0</v>
      </c>
    </row>
    <row r="522" spans="1:5">
      <c r="A522">
        <f>IF(COUNTBLANK(B522:E522)&lt;&gt;COLUMNS(B522:E522),521,"")</f>
        <v>0</v>
      </c>
      <c r="C522" s="1">
        <f>IF(B522="", "", "human-oral")</f>
        <v>0</v>
      </c>
      <c r="D522" s="1">
        <f>IF(B522="", "", "human oral metagenome")</f>
        <v>0</v>
      </c>
      <c r="E522" s="1">
        <f>IF(B522="", "", "447426")</f>
        <v>0</v>
      </c>
    </row>
    <row r="523" spans="1:5">
      <c r="A523">
        <f>IF(COUNTBLANK(B523:E523)&lt;&gt;COLUMNS(B523:E523),522,"")</f>
        <v>0</v>
      </c>
      <c r="C523" s="1">
        <f>IF(B523="", "", "human-oral")</f>
        <v>0</v>
      </c>
      <c r="D523" s="1">
        <f>IF(B523="", "", "human oral metagenome")</f>
        <v>0</v>
      </c>
      <c r="E523" s="1">
        <f>IF(B523="", "", "447426")</f>
        <v>0</v>
      </c>
    </row>
    <row r="524" spans="1:5">
      <c r="A524">
        <f>IF(COUNTBLANK(B524:E524)&lt;&gt;COLUMNS(B524:E524),523,"")</f>
        <v>0</v>
      </c>
      <c r="C524" s="1">
        <f>IF(B524="", "", "human-oral")</f>
        <v>0</v>
      </c>
      <c r="D524" s="1">
        <f>IF(B524="", "", "human oral metagenome")</f>
        <v>0</v>
      </c>
      <c r="E524" s="1">
        <f>IF(B524="", "", "447426")</f>
        <v>0</v>
      </c>
    </row>
    <row r="525" spans="1:5">
      <c r="A525">
        <f>IF(COUNTBLANK(B525:E525)&lt;&gt;COLUMNS(B525:E525),524,"")</f>
        <v>0</v>
      </c>
      <c r="C525" s="1">
        <f>IF(B525="", "", "human-oral")</f>
        <v>0</v>
      </c>
      <c r="D525" s="1">
        <f>IF(B525="", "", "human oral metagenome")</f>
        <v>0</v>
      </c>
      <c r="E525" s="1">
        <f>IF(B525="", "", "447426")</f>
        <v>0</v>
      </c>
    </row>
    <row r="526" spans="1:5">
      <c r="A526">
        <f>IF(COUNTBLANK(B526:E526)&lt;&gt;COLUMNS(B526:E526),525,"")</f>
        <v>0</v>
      </c>
      <c r="C526" s="1">
        <f>IF(B526="", "", "human-oral")</f>
        <v>0</v>
      </c>
      <c r="D526" s="1">
        <f>IF(B526="", "", "human oral metagenome")</f>
        <v>0</v>
      </c>
      <c r="E526" s="1">
        <f>IF(B526="", "", "447426")</f>
        <v>0</v>
      </c>
    </row>
    <row r="527" spans="1:5">
      <c r="A527">
        <f>IF(COUNTBLANK(B527:E527)&lt;&gt;COLUMNS(B527:E527),526,"")</f>
        <v>0</v>
      </c>
      <c r="C527" s="1">
        <f>IF(B527="", "", "human-oral")</f>
        <v>0</v>
      </c>
      <c r="D527" s="1">
        <f>IF(B527="", "", "human oral metagenome")</f>
        <v>0</v>
      </c>
      <c r="E527" s="1">
        <f>IF(B527="", "", "447426")</f>
        <v>0</v>
      </c>
    </row>
    <row r="528" spans="1:5">
      <c r="A528">
        <f>IF(COUNTBLANK(B528:E528)&lt;&gt;COLUMNS(B528:E528),527,"")</f>
        <v>0</v>
      </c>
      <c r="C528" s="1">
        <f>IF(B528="", "", "human-oral")</f>
        <v>0</v>
      </c>
      <c r="D528" s="1">
        <f>IF(B528="", "", "human oral metagenome")</f>
        <v>0</v>
      </c>
      <c r="E528" s="1">
        <f>IF(B528="", "", "447426")</f>
        <v>0</v>
      </c>
    </row>
    <row r="529" spans="1:5">
      <c r="A529">
        <f>IF(COUNTBLANK(B529:E529)&lt;&gt;COLUMNS(B529:E529),528,"")</f>
        <v>0</v>
      </c>
      <c r="C529" s="1">
        <f>IF(B529="", "", "human-oral")</f>
        <v>0</v>
      </c>
      <c r="D529" s="1">
        <f>IF(B529="", "", "human oral metagenome")</f>
        <v>0</v>
      </c>
      <c r="E529" s="1">
        <f>IF(B529="", "", "447426")</f>
        <v>0</v>
      </c>
    </row>
    <row r="530" spans="1:5">
      <c r="A530">
        <f>IF(COUNTBLANK(B530:E530)&lt;&gt;COLUMNS(B530:E530),529,"")</f>
        <v>0</v>
      </c>
      <c r="C530" s="1">
        <f>IF(B530="", "", "human-oral")</f>
        <v>0</v>
      </c>
      <c r="D530" s="1">
        <f>IF(B530="", "", "human oral metagenome")</f>
        <v>0</v>
      </c>
      <c r="E530" s="1">
        <f>IF(B530="", "", "447426")</f>
        <v>0</v>
      </c>
    </row>
    <row r="531" spans="1:5">
      <c r="A531">
        <f>IF(COUNTBLANK(B531:E531)&lt;&gt;COLUMNS(B531:E531),530,"")</f>
        <v>0</v>
      </c>
      <c r="C531" s="1">
        <f>IF(B531="", "", "human-oral")</f>
        <v>0</v>
      </c>
      <c r="D531" s="1">
        <f>IF(B531="", "", "human oral metagenome")</f>
        <v>0</v>
      </c>
      <c r="E531" s="1">
        <f>IF(B531="", "", "447426")</f>
        <v>0</v>
      </c>
    </row>
    <row r="532" spans="1:5">
      <c r="A532">
        <f>IF(COUNTBLANK(B532:E532)&lt;&gt;COLUMNS(B532:E532),531,"")</f>
        <v>0</v>
      </c>
      <c r="C532" s="1">
        <f>IF(B532="", "", "human-oral")</f>
        <v>0</v>
      </c>
      <c r="D532" s="1">
        <f>IF(B532="", "", "human oral metagenome")</f>
        <v>0</v>
      </c>
      <c r="E532" s="1">
        <f>IF(B532="", "", "447426")</f>
        <v>0</v>
      </c>
    </row>
    <row r="533" spans="1:5">
      <c r="A533">
        <f>IF(COUNTBLANK(B533:E533)&lt;&gt;COLUMNS(B533:E533),532,"")</f>
        <v>0</v>
      </c>
      <c r="C533" s="1">
        <f>IF(B533="", "", "human-oral")</f>
        <v>0</v>
      </c>
      <c r="D533" s="1">
        <f>IF(B533="", "", "human oral metagenome")</f>
        <v>0</v>
      </c>
      <c r="E533" s="1">
        <f>IF(B533="", "", "447426")</f>
        <v>0</v>
      </c>
    </row>
    <row r="534" spans="1:5">
      <c r="A534">
        <f>IF(COUNTBLANK(B534:E534)&lt;&gt;COLUMNS(B534:E534),533,"")</f>
        <v>0</v>
      </c>
      <c r="C534" s="1">
        <f>IF(B534="", "", "human-oral")</f>
        <v>0</v>
      </c>
      <c r="D534" s="1">
        <f>IF(B534="", "", "human oral metagenome")</f>
        <v>0</v>
      </c>
      <c r="E534" s="1">
        <f>IF(B534="", "", "447426")</f>
        <v>0</v>
      </c>
    </row>
    <row r="535" spans="1:5">
      <c r="A535">
        <f>IF(COUNTBLANK(B535:E535)&lt;&gt;COLUMNS(B535:E535),534,"")</f>
        <v>0</v>
      </c>
      <c r="C535" s="1">
        <f>IF(B535="", "", "human-oral")</f>
        <v>0</v>
      </c>
      <c r="D535" s="1">
        <f>IF(B535="", "", "human oral metagenome")</f>
        <v>0</v>
      </c>
      <c r="E535" s="1">
        <f>IF(B535="", "", "447426")</f>
        <v>0</v>
      </c>
    </row>
    <row r="536" spans="1:5">
      <c r="A536">
        <f>IF(COUNTBLANK(B536:E536)&lt;&gt;COLUMNS(B536:E536),535,"")</f>
        <v>0</v>
      </c>
      <c r="C536" s="1">
        <f>IF(B536="", "", "human-oral")</f>
        <v>0</v>
      </c>
      <c r="D536" s="1">
        <f>IF(B536="", "", "human oral metagenome")</f>
        <v>0</v>
      </c>
      <c r="E536" s="1">
        <f>IF(B536="", "", "447426")</f>
        <v>0</v>
      </c>
    </row>
    <row r="537" spans="1:5">
      <c r="A537">
        <f>IF(COUNTBLANK(B537:E537)&lt;&gt;COLUMNS(B537:E537),536,"")</f>
        <v>0</v>
      </c>
      <c r="C537" s="1">
        <f>IF(B537="", "", "human-oral")</f>
        <v>0</v>
      </c>
      <c r="D537" s="1">
        <f>IF(B537="", "", "human oral metagenome")</f>
        <v>0</v>
      </c>
      <c r="E537" s="1">
        <f>IF(B537="", "", "447426")</f>
        <v>0</v>
      </c>
    </row>
    <row r="538" spans="1:5">
      <c r="A538">
        <f>IF(COUNTBLANK(B538:E538)&lt;&gt;COLUMNS(B538:E538),537,"")</f>
        <v>0</v>
      </c>
      <c r="C538" s="1">
        <f>IF(B538="", "", "human-oral")</f>
        <v>0</v>
      </c>
      <c r="D538" s="1">
        <f>IF(B538="", "", "human oral metagenome")</f>
        <v>0</v>
      </c>
      <c r="E538" s="1">
        <f>IF(B538="", "", "447426")</f>
        <v>0</v>
      </c>
    </row>
    <row r="539" spans="1:5">
      <c r="A539">
        <f>IF(COUNTBLANK(B539:E539)&lt;&gt;COLUMNS(B539:E539),538,"")</f>
        <v>0</v>
      </c>
      <c r="C539" s="1">
        <f>IF(B539="", "", "human-oral")</f>
        <v>0</v>
      </c>
      <c r="D539" s="1">
        <f>IF(B539="", "", "human oral metagenome")</f>
        <v>0</v>
      </c>
      <c r="E539" s="1">
        <f>IF(B539="", "", "447426")</f>
        <v>0</v>
      </c>
    </row>
    <row r="540" spans="1:5">
      <c r="A540">
        <f>IF(COUNTBLANK(B540:E540)&lt;&gt;COLUMNS(B540:E540),539,"")</f>
        <v>0</v>
      </c>
      <c r="C540" s="1">
        <f>IF(B540="", "", "human-oral")</f>
        <v>0</v>
      </c>
      <c r="D540" s="1">
        <f>IF(B540="", "", "human oral metagenome")</f>
        <v>0</v>
      </c>
      <c r="E540" s="1">
        <f>IF(B540="", "", "447426")</f>
        <v>0</v>
      </c>
    </row>
    <row r="541" spans="1:5">
      <c r="A541">
        <f>IF(COUNTBLANK(B541:E541)&lt;&gt;COLUMNS(B541:E541),540,"")</f>
        <v>0</v>
      </c>
      <c r="C541" s="1">
        <f>IF(B541="", "", "human-oral")</f>
        <v>0</v>
      </c>
      <c r="D541" s="1">
        <f>IF(B541="", "", "human oral metagenome")</f>
        <v>0</v>
      </c>
      <c r="E541" s="1">
        <f>IF(B541="", "", "447426")</f>
        <v>0</v>
      </c>
    </row>
    <row r="542" spans="1:5">
      <c r="A542">
        <f>IF(COUNTBLANK(B542:E542)&lt;&gt;COLUMNS(B542:E542),541,"")</f>
        <v>0</v>
      </c>
      <c r="C542" s="1">
        <f>IF(B542="", "", "human-oral")</f>
        <v>0</v>
      </c>
      <c r="D542" s="1">
        <f>IF(B542="", "", "human oral metagenome")</f>
        <v>0</v>
      </c>
      <c r="E542" s="1">
        <f>IF(B542="", "", "447426")</f>
        <v>0</v>
      </c>
    </row>
    <row r="543" spans="1:5">
      <c r="A543">
        <f>IF(COUNTBLANK(B543:E543)&lt;&gt;COLUMNS(B543:E543),542,"")</f>
        <v>0</v>
      </c>
      <c r="C543" s="1">
        <f>IF(B543="", "", "human-oral")</f>
        <v>0</v>
      </c>
      <c r="D543" s="1">
        <f>IF(B543="", "", "human oral metagenome")</f>
        <v>0</v>
      </c>
      <c r="E543" s="1">
        <f>IF(B543="", "", "447426")</f>
        <v>0</v>
      </c>
    </row>
    <row r="544" spans="1:5">
      <c r="A544">
        <f>IF(COUNTBLANK(B544:E544)&lt;&gt;COLUMNS(B544:E544),543,"")</f>
        <v>0</v>
      </c>
      <c r="C544" s="1">
        <f>IF(B544="", "", "human-oral")</f>
        <v>0</v>
      </c>
      <c r="D544" s="1">
        <f>IF(B544="", "", "human oral metagenome")</f>
        <v>0</v>
      </c>
      <c r="E544" s="1">
        <f>IF(B544="", "", "447426")</f>
        <v>0</v>
      </c>
    </row>
    <row r="545" spans="1:5">
      <c r="A545">
        <f>IF(COUNTBLANK(B545:E545)&lt;&gt;COLUMNS(B545:E545),544,"")</f>
        <v>0</v>
      </c>
      <c r="C545" s="1">
        <f>IF(B545="", "", "human-oral")</f>
        <v>0</v>
      </c>
      <c r="D545" s="1">
        <f>IF(B545="", "", "human oral metagenome")</f>
        <v>0</v>
      </c>
      <c r="E545" s="1">
        <f>IF(B545="", "", "447426")</f>
        <v>0</v>
      </c>
    </row>
    <row r="546" spans="1:5">
      <c r="A546">
        <f>IF(COUNTBLANK(B546:E546)&lt;&gt;COLUMNS(B546:E546),545,"")</f>
        <v>0</v>
      </c>
      <c r="C546" s="1">
        <f>IF(B546="", "", "human-oral")</f>
        <v>0</v>
      </c>
      <c r="D546" s="1">
        <f>IF(B546="", "", "human oral metagenome")</f>
        <v>0</v>
      </c>
      <c r="E546" s="1">
        <f>IF(B546="", "", "447426")</f>
        <v>0</v>
      </c>
    </row>
    <row r="547" spans="1:5">
      <c r="A547">
        <f>IF(COUNTBLANK(B547:E547)&lt;&gt;COLUMNS(B547:E547),546,"")</f>
        <v>0</v>
      </c>
      <c r="C547" s="1">
        <f>IF(B547="", "", "human-oral")</f>
        <v>0</v>
      </c>
      <c r="D547" s="1">
        <f>IF(B547="", "", "human oral metagenome")</f>
        <v>0</v>
      </c>
      <c r="E547" s="1">
        <f>IF(B547="", "", "447426")</f>
        <v>0</v>
      </c>
    </row>
    <row r="548" spans="1:5">
      <c r="A548">
        <f>IF(COUNTBLANK(B548:E548)&lt;&gt;COLUMNS(B548:E548),547,"")</f>
        <v>0</v>
      </c>
      <c r="C548" s="1">
        <f>IF(B548="", "", "human-oral")</f>
        <v>0</v>
      </c>
      <c r="D548" s="1">
        <f>IF(B548="", "", "human oral metagenome")</f>
        <v>0</v>
      </c>
      <c r="E548" s="1">
        <f>IF(B548="", "", "447426")</f>
        <v>0</v>
      </c>
    </row>
    <row r="549" spans="1:5">
      <c r="A549">
        <f>IF(COUNTBLANK(B549:E549)&lt;&gt;COLUMNS(B549:E549),548,"")</f>
        <v>0</v>
      </c>
      <c r="C549" s="1">
        <f>IF(B549="", "", "human-oral")</f>
        <v>0</v>
      </c>
      <c r="D549" s="1">
        <f>IF(B549="", "", "human oral metagenome")</f>
        <v>0</v>
      </c>
      <c r="E549" s="1">
        <f>IF(B549="", "", "447426")</f>
        <v>0</v>
      </c>
    </row>
    <row r="550" spans="1:5">
      <c r="A550">
        <f>IF(COUNTBLANK(B550:E550)&lt;&gt;COLUMNS(B550:E550),549,"")</f>
        <v>0</v>
      </c>
      <c r="C550" s="1">
        <f>IF(B550="", "", "human-oral")</f>
        <v>0</v>
      </c>
      <c r="D550" s="1">
        <f>IF(B550="", "", "human oral metagenome")</f>
        <v>0</v>
      </c>
      <c r="E550" s="1">
        <f>IF(B550="", "", "447426")</f>
        <v>0</v>
      </c>
    </row>
    <row r="551" spans="1:5">
      <c r="A551">
        <f>IF(COUNTBLANK(B551:E551)&lt;&gt;COLUMNS(B551:E551),550,"")</f>
        <v>0</v>
      </c>
      <c r="C551" s="1">
        <f>IF(B551="", "", "human-oral")</f>
        <v>0</v>
      </c>
      <c r="D551" s="1">
        <f>IF(B551="", "", "human oral metagenome")</f>
        <v>0</v>
      </c>
      <c r="E551" s="1">
        <f>IF(B551="", "", "447426")</f>
        <v>0</v>
      </c>
    </row>
    <row r="552" spans="1:5">
      <c r="A552">
        <f>IF(COUNTBLANK(B552:E552)&lt;&gt;COLUMNS(B552:E552),551,"")</f>
        <v>0</v>
      </c>
      <c r="C552" s="1">
        <f>IF(B552="", "", "human-oral")</f>
        <v>0</v>
      </c>
      <c r="D552" s="1">
        <f>IF(B552="", "", "human oral metagenome")</f>
        <v>0</v>
      </c>
      <c r="E552" s="1">
        <f>IF(B552="", "", "447426")</f>
        <v>0</v>
      </c>
    </row>
    <row r="553" spans="1:5">
      <c r="A553">
        <f>IF(COUNTBLANK(B553:E553)&lt;&gt;COLUMNS(B553:E553),552,"")</f>
        <v>0</v>
      </c>
      <c r="C553" s="1">
        <f>IF(B553="", "", "human-oral")</f>
        <v>0</v>
      </c>
      <c r="D553" s="1">
        <f>IF(B553="", "", "human oral metagenome")</f>
        <v>0</v>
      </c>
      <c r="E553" s="1">
        <f>IF(B553="", "", "447426")</f>
        <v>0</v>
      </c>
    </row>
    <row r="554" spans="1:5">
      <c r="A554">
        <f>IF(COUNTBLANK(B554:E554)&lt;&gt;COLUMNS(B554:E554),553,"")</f>
        <v>0</v>
      </c>
      <c r="C554" s="1">
        <f>IF(B554="", "", "human-oral")</f>
        <v>0</v>
      </c>
      <c r="D554" s="1">
        <f>IF(B554="", "", "human oral metagenome")</f>
        <v>0</v>
      </c>
      <c r="E554" s="1">
        <f>IF(B554="", "", "447426")</f>
        <v>0</v>
      </c>
    </row>
    <row r="555" spans="1:5">
      <c r="A555">
        <f>IF(COUNTBLANK(B555:E555)&lt;&gt;COLUMNS(B555:E555),554,"")</f>
        <v>0</v>
      </c>
      <c r="C555" s="1">
        <f>IF(B555="", "", "human-oral")</f>
        <v>0</v>
      </c>
      <c r="D555" s="1">
        <f>IF(B555="", "", "human oral metagenome")</f>
        <v>0</v>
      </c>
      <c r="E555" s="1">
        <f>IF(B555="", "", "447426")</f>
        <v>0</v>
      </c>
    </row>
    <row r="556" spans="1:5">
      <c r="A556">
        <f>IF(COUNTBLANK(B556:E556)&lt;&gt;COLUMNS(B556:E556),555,"")</f>
        <v>0</v>
      </c>
      <c r="C556" s="1">
        <f>IF(B556="", "", "human-oral")</f>
        <v>0</v>
      </c>
      <c r="D556" s="1">
        <f>IF(B556="", "", "human oral metagenome")</f>
        <v>0</v>
      </c>
      <c r="E556" s="1">
        <f>IF(B556="", "", "447426")</f>
        <v>0</v>
      </c>
    </row>
    <row r="557" spans="1:5">
      <c r="A557">
        <f>IF(COUNTBLANK(B557:E557)&lt;&gt;COLUMNS(B557:E557),556,"")</f>
        <v>0</v>
      </c>
      <c r="C557" s="1">
        <f>IF(B557="", "", "human-oral")</f>
        <v>0</v>
      </c>
      <c r="D557" s="1">
        <f>IF(B557="", "", "human oral metagenome")</f>
        <v>0</v>
      </c>
      <c r="E557" s="1">
        <f>IF(B557="", "", "447426")</f>
        <v>0</v>
      </c>
    </row>
    <row r="558" spans="1:5">
      <c r="A558">
        <f>IF(COUNTBLANK(B558:E558)&lt;&gt;COLUMNS(B558:E558),557,"")</f>
        <v>0</v>
      </c>
      <c r="C558" s="1">
        <f>IF(B558="", "", "human-oral")</f>
        <v>0</v>
      </c>
      <c r="D558" s="1">
        <f>IF(B558="", "", "human oral metagenome")</f>
        <v>0</v>
      </c>
      <c r="E558" s="1">
        <f>IF(B558="", "", "447426")</f>
        <v>0</v>
      </c>
    </row>
    <row r="559" spans="1:5">
      <c r="A559">
        <f>IF(COUNTBLANK(B559:E559)&lt;&gt;COLUMNS(B559:E559),558,"")</f>
        <v>0</v>
      </c>
      <c r="C559" s="1">
        <f>IF(B559="", "", "human-oral")</f>
        <v>0</v>
      </c>
      <c r="D559" s="1">
        <f>IF(B559="", "", "human oral metagenome")</f>
        <v>0</v>
      </c>
      <c r="E559" s="1">
        <f>IF(B559="", "", "447426")</f>
        <v>0</v>
      </c>
    </row>
    <row r="560" spans="1:5">
      <c r="A560">
        <f>IF(COUNTBLANK(B560:E560)&lt;&gt;COLUMNS(B560:E560),559,"")</f>
        <v>0</v>
      </c>
      <c r="C560" s="1">
        <f>IF(B560="", "", "human-oral")</f>
        <v>0</v>
      </c>
      <c r="D560" s="1">
        <f>IF(B560="", "", "human oral metagenome")</f>
        <v>0</v>
      </c>
      <c r="E560" s="1">
        <f>IF(B560="", "", "447426")</f>
        <v>0</v>
      </c>
    </row>
    <row r="561" spans="1:5">
      <c r="A561">
        <f>IF(COUNTBLANK(B561:E561)&lt;&gt;COLUMNS(B561:E561),560,"")</f>
        <v>0</v>
      </c>
      <c r="C561" s="1">
        <f>IF(B561="", "", "human-oral")</f>
        <v>0</v>
      </c>
      <c r="D561" s="1">
        <f>IF(B561="", "", "human oral metagenome")</f>
        <v>0</v>
      </c>
      <c r="E561" s="1">
        <f>IF(B561="", "", "447426")</f>
        <v>0</v>
      </c>
    </row>
    <row r="562" spans="1:5">
      <c r="A562">
        <f>IF(COUNTBLANK(B562:E562)&lt;&gt;COLUMNS(B562:E562),561,"")</f>
        <v>0</v>
      </c>
      <c r="C562" s="1">
        <f>IF(B562="", "", "human-oral")</f>
        <v>0</v>
      </c>
      <c r="D562" s="1">
        <f>IF(B562="", "", "human oral metagenome")</f>
        <v>0</v>
      </c>
      <c r="E562" s="1">
        <f>IF(B562="", "", "447426")</f>
        <v>0</v>
      </c>
    </row>
    <row r="563" spans="1:5">
      <c r="A563">
        <f>IF(COUNTBLANK(B563:E563)&lt;&gt;COLUMNS(B563:E563),562,"")</f>
        <v>0</v>
      </c>
      <c r="C563" s="1">
        <f>IF(B563="", "", "human-oral")</f>
        <v>0</v>
      </c>
      <c r="D563" s="1">
        <f>IF(B563="", "", "human oral metagenome")</f>
        <v>0</v>
      </c>
      <c r="E563" s="1">
        <f>IF(B563="", "", "447426")</f>
        <v>0</v>
      </c>
    </row>
    <row r="564" spans="1:5">
      <c r="A564">
        <f>IF(COUNTBLANK(B564:E564)&lt;&gt;COLUMNS(B564:E564),563,"")</f>
        <v>0</v>
      </c>
      <c r="C564" s="1">
        <f>IF(B564="", "", "human-oral")</f>
        <v>0</v>
      </c>
      <c r="D564" s="1">
        <f>IF(B564="", "", "human oral metagenome")</f>
        <v>0</v>
      </c>
      <c r="E564" s="1">
        <f>IF(B564="", "", "447426")</f>
        <v>0</v>
      </c>
    </row>
    <row r="565" spans="1:5">
      <c r="A565">
        <f>IF(COUNTBLANK(B565:E565)&lt;&gt;COLUMNS(B565:E565),564,"")</f>
        <v>0</v>
      </c>
      <c r="C565" s="1">
        <f>IF(B565="", "", "human-oral")</f>
        <v>0</v>
      </c>
      <c r="D565" s="1">
        <f>IF(B565="", "", "human oral metagenome")</f>
        <v>0</v>
      </c>
      <c r="E565" s="1">
        <f>IF(B565="", "", "447426")</f>
        <v>0</v>
      </c>
    </row>
    <row r="566" spans="1:5">
      <c r="A566">
        <f>IF(COUNTBLANK(B566:E566)&lt;&gt;COLUMNS(B566:E566),565,"")</f>
        <v>0</v>
      </c>
      <c r="C566" s="1">
        <f>IF(B566="", "", "human-oral")</f>
        <v>0</v>
      </c>
      <c r="D566" s="1">
        <f>IF(B566="", "", "human oral metagenome")</f>
        <v>0</v>
      </c>
      <c r="E566" s="1">
        <f>IF(B566="", "", "447426")</f>
        <v>0</v>
      </c>
    </row>
    <row r="567" spans="1:5">
      <c r="A567">
        <f>IF(COUNTBLANK(B567:E567)&lt;&gt;COLUMNS(B567:E567),566,"")</f>
        <v>0</v>
      </c>
      <c r="C567" s="1">
        <f>IF(B567="", "", "human-oral")</f>
        <v>0</v>
      </c>
      <c r="D567" s="1">
        <f>IF(B567="", "", "human oral metagenome")</f>
        <v>0</v>
      </c>
      <c r="E567" s="1">
        <f>IF(B567="", "", "447426")</f>
        <v>0</v>
      </c>
    </row>
    <row r="568" spans="1:5">
      <c r="A568">
        <f>IF(COUNTBLANK(B568:E568)&lt;&gt;COLUMNS(B568:E568),567,"")</f>
        <v>0</v>
      </c>
      <c r="C568" s="1">
        <f>IF(B568="", "", "human-oral")</f>
        <v>0</v>
      </c>
      <c r="D568" s="1">
        <f>IF(B568="", "", "human oral metagenome")</f>
        <v>0</v>
      </c>
      <c r="E568" s="1">
        <f>IF(B568="", "", "447426")</f>
        <v>0</v>
      </c>
    </row>
    <row r="569" spans="1:5">
      <c r="A569">
        <f>IF(COUNTBLANK(B569:E569)&lt;&gt;COLUMNS(B569:E569),568,"")</f>
        <v>0</v>
      </c>
      <c r="C569" s="1">
        <f>IF(B569="", "", "human-oral")</f>
        <v>0</v>
      </c>
      <c r="D569" s="1">
        <f>IF(B569="", "", "human oral metagenome")</f>
        <v>0</v>
      </c>
      <c r="E569" s="1">
        <f>IF(B569="", "", "447426")</f>
        <v>0</v>
      </c>
    </row>
    <row r="570" spans="1:5">
      <c r="A570">
        <f>IF(COUNTBLANK(B570:E570)&lt;&gt;COLUMNS(B570:E570),569,"")</f>
        <v>0</v>
      </c>
      <c r="C570" s="1">
        <f>IF(B570="", "", "human-oral")</f>
        <v>0</v>
      </c>
      <c r="D570" s="1">
        <f>IF(B570="", "", "human oral metagenome")</f>
        <v>0</v>
      </c>
      <c r="E570" s="1">
        <f>IF(B570="", "", "447426")</f>
        <v>0</v>
      </c>
    </row>
    <row r="571" spans="1:5">
      <c r="A571">
        <f>IF(COUNTBLANK(B571:E571)&lt;&gt;COLUMNS(B571:E571),570,"")</f>
        <v>0</v>
      </c>
      <c r="C571" s="1">
        <f>IF(B571="", "", "human-oral")</f>
        <v>0</v>
      </c>
      <c r="D571" s="1">
        <f>IF(B571="", "", "human oral metagenome")</f>
        <v>0</v>
      </c>
      <c r="E571" s="1">
        <f>IF(B571="", "", "447426")</f>
        <v>0</v>
      </c>
    </row>
    <row r="572" spans="1:5">
      <c r="A572">
        <f>IF(COUNTBLANK(B572:E572)&lt;&gt;COLUMNS(B572:E572),571,"")</f>
        <v>0</v>
      </c>
      <c r="C572" s="1">
        <f>IF(B572="", "", "human-oral")</f>
        <v>0</v>
      </c>
      <c r="D572" s="1">
        <f>IF(B572="", "", "human oral metagenome")</f>
        <v>0</v>
      </c>
      <c r="E572" s="1">
        <f>IF(B572="", "", "447426")</f>
        <v>0</v>
      </c>
    </row>
    <row r="573" spans="1:5">
      <c r="A573">
        <f>IF(COUNTBLANK(B573:E573)&lt;&gt;COLUMNS(B573:E573),572,"")</f>
        <v>0</v>
      </c>
      <c r="C573" s="1">
        <f>IF(B573="", "", "human-oral")</f>
        <v>0</v>
      </c>
      <c r="D573" s="1">
        <f>IF(B573="", "", "human oral metagenome")</f>
        <v>0</v>
      </c>
      <c r="E573" s="1">
        <f>IF(B573="", "", "447426")</f>
        <v>0</v>
      </c>
    </row>
    <row r="574" spans="1:5">
      <c r="A574">
        <f>IF(COUNTBLANK(B574:E574)&lt;&gt;COLUMNS(B574:E574),573,"")</f>
        <v>0</v>
      </c>
      <c r="C574" s="1">
        <f>IF(B574="", "", "human-oral")</f>
        <v>0</v>
      </c>
      <c r="D574" s="1">
        <f>IF(B574="", "", "human oral metagenome")</f>
        <v>0</v>
      </c>
      <c r="E574" s="1">
        <f>IF(B574="", "", "447426")</f>
        <v>0</v>
      </c>
    </row>
    <row r="575" spans="1:5">
      <c r="A575">
        <f>IF(COUNTBLANK(B575:E575)&lt;&gt;COLUMNS(B575:E575),574,"")</f>
        <v>0</v>
      </c>
      <c r="C575" s="1">
        <f>IF(B575="", "", "human-oral")</f>
        <v>0</v>
      </c>
      <c r="D575" s="1">
        <f>IF(B575="", "", "human oral metagenome")</f>
        <v>0</v>
      </c>
      <c r="E575" s="1">
        <f>IF(B575="", "", "447426")</f>
        <v>0</v>
      </c>
    </row>
    <row r="576" spans="1:5">
      <c r="A576">
        <f>IF(COUNTBLANK(B576:E576)&lt;&gt;COLUMNS(B576:E576),575,"")</f>
        <v>0</v>
      </c>
      <c r="C576" s="1">
        <f>IF(B576="", "", "human-oral")</f>
        <v>0</v>
      </c>
      <c r="D576" s="1">
        <f>IF(B576="", "", "human oral metagenome")</f>
        <v>0</v>
      </c>
      <c r="E576" s="1">
        <f>IF(B576="", "", "447426")</f>
        <v>0</v>
      </c>
    </row>
    <row r="577" spans="1:5">
      <c r="A577">
        <f>IF(COUNTBLANK(B577:E577)&lt;&gt;COLUMNS(B577:E577),576,"")</f>
        <v>0</v>
      </c>
      <c r="C577" s="1">
        <f>IF(B577="", "", "human-oral")</f>
        <v>0</v>
      </c>
      <c r="D577" s="1">
        <f>IF(B577="", "", "human oral metagenome")</f>
        <v>0</v>
      </c>
      <c r="E577" s="1">
        <f>IF(B577="", "", "447426")</f>
        <v>0</v>
      </c>
    </row>
    <row r="578" spans="1:5">
      <c r="A578">
        <f>IF(COUNTBLANK(B578:E578)&lt;&gt;COLUMNS(B578:E578),577,"")</f>
        <v>0</v>
      </c>
      <c r="C578" s="1">
        <f>IF(B578="", "", "human-oral")</f>
        <v>0</v>
      </c>
      <c r="D578" s="1">
        <f>IF(B578="", "", "human oral metagenome")</f>
        <v>0</v>
      </c>
      <c r="E578" s="1">
        <f>IF(B578="", "", "447426")</f>
        <v>0</v>
      </c>
    </row>
    <row r="579" spans="1:5">
      <c r="A579">
        <f>IF(COUNTBLANK(B579:E579)&lt;&gt;COLUMNS(B579:E579),578,"")</f>
        <v>0</v>
      </c>
      <c r="C579" s="1">
        <f>IF(B579="", "", "human-oral")</f>
        <v>0</v>
      </c>
      <c r="D579" s="1">
        <f>IF(B579="", "", "human oral metagenome")</f>
        <v>0</v>
      </c>
      <c r="E579" s="1">
        <f>IF(B579="", "", "447426")</f>
        <v>0</v>
      </c>
    </row>
    <row r="580" spans="1:5">
      <c r="A580">
        <f>IF(COUNTBLANK(B580:E580)&lt;&gt;COLUMNS(B580:E580),579,"")</f>
        <v>0</v>
      </c>
      <c r="C580" s="1">
        <f>IF(B580="", "", "human-oral")</f>
        <v>0</v>
      </c>
      <c r="D580" s="1">
        <f>IF(B580="", "", "human oral metagenome")</f>
        <v>0</v>
      </c>
      <c r="E580" s="1">
        <f>IF(B580="", "", "447426")</f>
        <v>0</v>
      </c>
    </row>
    <row r="581" spans="1:5">
      <c r="A581">
        <f>IF(COUNTBLANK(B581:E581)&lt;&gt;COLUMNS(B581:E581),580,"")</f>
        <v>0</v>
      </c>
      <c r="C581" s="1">
        <f>IF(B581="", "", "human-oral")</f>
        <v>0</v>
      </c>
      <c r="D581" s="1">
        <f>IF(B581="", "", "human oral metagenome")</f>
        <v>0</v>
      </c>
      <c r="E581" s="1">
        <f>IF(B581="", "", "447426")</f>
        <v>0</v>
      </c>
    </row>
    <row r="582" spans="1:5">
      <c r="A582">
        <f>IF(COUNTBLANK(B582:E582)&lt;&gt;COLUMNS(B582:E582),581,"")</f>
        <v>0</v>
      </c>
      <c r="C582" s="1">
        <f>IF(B582="", "", "human-oral")</f>
        <v>0</v>
      </c>
      <c r="D582" s="1">
        <f>IF(B582="", "", "human oral metagenome")</f>
        <v>0</v>
      </c>
      <c r="E582" s="1">
        <f>IF(B582="", "", "447426")</f>
        <v>0</v>
      </c>
    </row>
    <row r="583" spans="1:5">
      <c r="A583">
        <f>IF(COUNTBLANK(B583:E583)&lt;&gt;COLUMNS(B583:E583),582,"")</f>
        <v>0</v>
      </c>
      <c r="C583" s="1">
        <f>IF(B583="", "", "human-oral")</f>
        <v>0</v>
      </c>
      <c r="D583" s="1">
        <f>IF(B583="", "", "human oral metagenome")</f>
        <v>0</v>
      </c>
      <c r="E583" s="1">
        <f>IF(B583="", "", "447426")</f>
        <v>0</v>
      </c>
    </row>
    <row r="584" spans="1:5">
      <c r="A584">
        <f>IF(COUNTBLANK(B584:E584)&lt;&gt;COLUMNS(B584:E584),583,"")</f>
        <v>0</v>
      </c>
      <c r="C584" s="1">
        <f>IF(B584="", "", "human-oral")</f>
        <v>0</v>
      </c>
      <c r="D584" s="1">
        <f>IF(B584="", "", "human oral metagenome")</f>
        <v>0</v>
      </c>
      <c r="E584" s="1">
        <f>IF(B584="", "", "447426")</f>
        <v>0</v>
      </c>
    </row>
    <row r="585" spans="1:5">
      <c r="A585">
        <f>IF(COUNTBLANK(B585:E585)&lt;&gt;COLUMNS(B585:E585),584,"")</f>
        <v>0</v>
      </c>
      <c r="C585" s="1">
        <f>IF(B585="", "", "human-oral")</f>
        <v>0</v>
      </c>
      <c r="D585" s="1">
        <f>IF(B585="", "", "human oral metagenome")</f>
        <v>0</v>
      </c>
      <c r="E585" s="1">
        <f>IF(B585="", "", "447426")</f>
        <v>0</v>
      </c>
    </row>
    <row r="586" spans="1:5">
      <c r="A586">
        <f>IF(COUNTBLANK(B586:E586)&lt;&gt;COLUMNS(B586:E586),585,"")</f>
        <v>0</v>
      </c>
      <c r="C586" s="1">
        <f>IF(B586="", "", "human-oral")</f>
        <v>0</v>
      </c>
      <c r="D586" s="1">
        <f>IF(B586="", "", "human oral metagenome")</f>
        <v>0</v>
      </c>
      <c r="E586" s="1">
        <f>IF(B586="", "", "447426")</f>
        <v>0</v>
      </c>
    </row>
    <row r="587" spans="1:5">
      <c r="A587">
        <f>IF(COUNTBLANK(B587:E587)&lt;&gt;COLUMNS(B587:E587),586,"")</f>
        <v>0</v>
      </c>
      <c r="C587" s="1">
        <f>IF(B587="", "", "human-oral")</f>
        <v>0</v>
      </c>
      <c r="D587" s="1">
        <f>IF(B587="", "", "human oral metagenome")</f>
        <v>0</v>
      </c>
      <c r="E587" s="1">
        <f>IF(B587="", "", "447426")</f>
        <v>0</v>
      </c>
    </row>
    <row r="588" spans="1:5">
      <c r="A588">
        <f>IF(COUNTBLANK(B588:E588)&lt;&gt;COLUMNS(B588:E588),587,"")</f>
        <v>0</v>
      </c>
      <c r="C588" s="1">
        <f>IF(B588="", "", "human-oral")</f>
        <v>0</v>
      </c>
      <c r="D588" s="1">
        <f>IF(B588="", "", "human oral metagenome")</f>
        <v>0</v>
      </c>
      <c r="E588" s="1">
        <f>IF(B588="", "", "447426")</f>
        <v>0</v>
      </c>
    </row>
    <row r="589" spans="1:5">
      <c r="A589">
        <f>IF(COUNTBLANK(B589:E589)&lt;&gt;COLUMNS(B589:E589),588,"")</f>
        <v>0</v>
      </c>
      <c r="C589" s="1">
        <f>IF(B589="", "", "human-oral")</f>
        <v>0</v>
      </c>
      <c r="D589" s="1">
        <f>IF(B589="", "", "human oral metagenome")</f>
        <v>0</v>
      </c>
      <c r="E589" s="1">
        <f>IF(B589="", "", "447426")</f>
        <v>0</v>
      </c>
    </row>
    <row r="590" spans="1:5">
      <c r="A590">
        <f>IF(COUNTBLANK(B590:E590)&lt;&gt;COLUMNS(B590:E590),589,"")</f>
        <v>0</v>
      </c>
      <c r="C590" s="1">
        <f>IF(B590="", "", "human-oral")</f>
        <v>0</v>
      </c>
      <c r="D590" s="1">
        <f>IF(B590="", "", "human oral metagenome")</f>
        <v>0</v>
      </c>
      <c r="E590" s="1">
        <f>IF(B590="", "", "447426")</f>
        <v>0</v>
      </c>
    </row>
    <row r="591" spans="1:5">
      <c r="A591">
        <f>IF(COUNTBLANK(B591:E591)&lt;&gt;COLUMNS(B591:E591),590,"")</f>
        <v>0</v>
      </c>
      <c r="C591" s="1">
        <f>IF(B591="", "", "human-oral")</f>
        <v>0</v>
      </c>
      <c r="D591" s="1">
        <f>IF(B591="", "", "human oral metagenome")</f>
        <v>0</v>
      </c>
      <c r="E591" s="1">
        <f>IF(B591="", "", "447426")</f>
        <v>0</v>
      </c>
    </row>
    <row r="592" spans="1:5">
      <c r="A592">
        <f>IF(COUNTBLANK(B592:E592)&lt;&gt;COLUMNS(B592:E592),591,"")</f>
        <v>0</v>
      </c>
      <c r="C592" s="1">
        <f>IF(B592="", "", "human-oral")</f>
        <v>0</v>
      </c>
      <c r="D592" s="1">
        <f>IF(B592="", "", "human oral metagenome")</f>
        <v>0</v>
      </c>
      <c r="E592" s="1">
        <f>IF(B592="", "", "447426")</f>
        <v>0</v>
      </c>
    </row>
    <row r="593" spans="1:5">
      <c r="A593">
        <f>IF(COUNTBLANK(B593:E593)&lt;&gt;COLUMNS(B593:E593),592,"")</f>
        <v>0</v>
      </c>
      <c r="C593" s="1">
        <f>IF(B593="", "", "human-oral")</f>
        <v>0</v>
      </c>
      <c r="D593" s="1">
        <f>IF(B593="", "", "human oral metagenome")</f>
        <v>0</v>
      </c>
      <c r="E593" s="1">
        <f>IF(B593="", "", "447426")</f>
        <v>0</v>
      </c>
    </row>
    <row r="594" spans="1:5">
      <c r="A594">
        <f>IF(COUNTBLANK(B594:E594)&lt;&gt;COLUMNS(B594:E594),593,"")</f>
        <v>0</v>
      </c>
      <c r="C594" s="1">
        <f>IF(B594="", "", "human-oral")</f>
        <v>0</v>
      </c>
      <c r="D594" s="1">
        <f>IF(B594="", "", "human oral metagenome")</f>
        <v>0</v>
      </c>
      <c r="E594" s="1">
        <f>IF(B594="", "", "447426")</f>
        <v>0</v>
      </c>
    </row>
    <row r="595" spans="1:5">
      <c r="A595">
        <f>IF(COUNTBLANK(B595:E595)&lt;&gt;COLUMNS(B595:E595),594,"")</f>
        <v>0</v>
      </c>
      <c r="C595" s="1">
        <f>IF(B595="", "", "human-oral")</f>
        <v>0</v>
      </c>
      <c r="D595" s="1">
        <f>IF(B595="", "", "human oral metagenome")</f>
        <v>0</v>
      </c>
      <c r="E595" s="1">
        <f>IF(B595="", "", "447426")</f>
        <v>0</v>
      </c>
    </row>
    <row r="596" spans="1:5">
      <c r="A596">
        <f>IF(COUNTBLANK(B596:E596)&lt;&gt;COLUMNS(B596:E596),595,"")</f>
        <v>0</v>
      </c>
      <c r="C596" s="1">
        <f>IF(B596="", "", "human-oral")</f>
        <v>0</v>
      </c>
      <c r="D596" s="1">
        <f>IF(B596="", "", "human oral metagenome")</f>
        <v>0</v>
      </c>
      <c r="E596" s="1">
        <f>IF(B596="", "", "447426")</f>
        <v>0</v>
      </c>
    </row>
    <row r="597" spans="1:5">
      <c r="A597">
        <f>IF(COUNTBLANK(B597:E597)&lt;&gt;COLUMNS(B597:E597),596,"")</f>
        <v>0</v>
      </c>
      <c r="C597" s="1">
        <f>IF(B597="", "", "human-oral")</f>
        <v>0</v>
      </c>
      <c r="D597" s="1">
        <f>IF(B597="", "", "human oral metagenome")</f>
        <v>0</v>
      </c>
      <c r="E597" s="1">
        <f>IF(B597="", "", "447426")</f>
        <v>0</v>
      </c>
    </row>
    <row r="598" spans="1:5">
      <c r="A598">
        <f>IF(COUNTBLANK(B598:E598)&lt;&gt;COLUMNS(B598:E598),597,"")</f>
        <v>0</v>
      </c>
      <c r="C598" s="1">
        <f>IF(B598="", "", "human-oral")</f>
        <v>0</v>
      </c>
      <c r="D598" s="1">
        <f>IF(B598="", "", "human oral metagenome")</f>
        <v>0</v>
      </c>
      <c r="E598" s="1">
        <f>IF(B598="", "", "447426")</f>
        <v>0</v>
      </c>
    </row>
    <row r="599" spans="1:5">
      <c r="A599">
        <f>IF(COUNTBLANK(B599:E599)&lt;&gt;COLUMNS(B599:E599),598,"")</f>
        <v>0</v>
      </c>
      <c r="C599" s="1">
        <f>IF(B599="", "", "human-oral")</f>
        <v>0</v>
      </c>
      <c r="D599" s="1">
        <f>IF(B599="", "", "human oral metagenome")</f>
        <v>0</v>
      </c>
      <c r="E599" s="1">
        <f>IF(B599="", "", "447426")</f>
        <v>0</v>
      </c>
    </row>
    <row r="600" spans="1:5">
      <c r="A600">
        <f>IF(COUNTBLANK(B600:E600)&lt;&gt;COLUMNS(B600:E600),599,"")</f>
        <v>0</v>
      </c>
      <c r="C600" s="1">
        <f>IF(B600="", "", "human-oral")</f>
        <v>0</v>
      </c>
      <c r="D600" s="1">
        <f>IF(B600="", "", "human oral metagenome")</f>
        <v>0</v>
      </c>
      <c r="E600" s="1">
        <f>IF(B600="", "", "447426")</f>
        <v>0</v>
      </c>
    </row>
    <row r="601" spans="1:5">
      <c r="A601">
        <f>IF(COUNTBLANK(B601:E601)&lt;&gt;COLUMNS(B601:E601),600,"")</f>
        <v>0</v>
      </c>
      <c r="C601" s="1">
        <f>IF(B601="", "", "human-oral")</f>
        <v>0</v>
      </c>
      <c r="D601" s="1">
        <f>IF(B601="", "", "human oral metagenome")</f>
        <v>0</v>
      </c>
      <c r="E601" s="1">
        <f>IF(B601="", "", "447426")</f>
        <v>0</v>
      </c>
    </row>
    <row r="602" spans="1:5">
      <c r="A602">
        <f>IF(COUNTBLANK(B602:E602)&lt;&gt;COLUMNS(B602:E602),601,"")</f>
        <v>0</v>
      </c>
      <c r="C602" s="1">
        <f>IF(B602="", "", "human-oral")</f>
        <v>0</v>
      </c>
      <c r="D602" s="1">
        <f>IF(B602="", "", "human oral metagenome")</f>
        <v>0</v>
      </c>
      <c r="E602" s="1">
        <f>IF(B602="", "", "447426")</f>
        <v>0</v>
      </c>
    </row>
    <row r="603" spans="1:5">
      <c r="A603">
        <f>IF(COUNTBLANK(B603:E603)&lt;&gt;COLUMNS(B603:E603),602,"")</f>
        <v>0</v>
      </c>
      <c r="C603" s="1">
        <f>IF(B603="", "", "human-oral")</f>
        <v>0</v>
      </c>
      <c r="D603" s="1">
        <f>IF(B603="", "", "human oral metagenome")</f>
        <v>0</v>
      </c>
      <c r="E603" s="1">
        <f>IF(B603="", "", "447426")</f>
        <v>0</v>
      </c>
    </row>
    <row r="604" spans="1:5">
      <c r="A604">
        <f>IF(COUNTBLANK(B604:E604)&lt;&gt;COLUMNS(B604:E604),603,"")</f>
        <v>0</v>
      </c>
      <c r="C604" s="1">
        <f>IF(B604="", "", "human-oral")</f>
        <v>0</v>
      </c>
      <c r="D604" s="1">
        <f>IF(B604="", "", "human oral metagenome")</f>
        <v>0</v>
      </c>
      <c r="E604" s="1">
        <f>IF(B604="", "", "447426")</f>
        <v>0</v>
      </c>
    </row>
    <row r="605" spans="1:5">
      <c r="A605">
        <f>IF(COUNTBLANK(B605:E605)&lt;&gt;COLUMNS(B605:E605),604,"")</f>
        <v>0</v>
      </c>
      <c r="C605" s="1">
        <f>IF(B605="", "", "human-oral")</f>
        <v>0</v>
      </c>
      <c r="D605" s="1">
        <f>IF(B605="", "", "human oral metagenome")</f>
        <v>0</v>
      </c>
      <c r="E605" s="1">
        <f>IF(B605="", "", "447426")</f>
        <v>0</v>
      </c>
    </row>
    <row r="606" spans="1:5">
      <c r="A606">
        <f>IF(COUNTBLANK(B606:E606)&lt;&gt;COLUMNS(B606:E606),605,"")</f>
        <v>0</v>
      </c>
      <c r="C606" s="1">
        <f>IF(B606="", "", "human-oral")</f>
        <v>0</v>
      </c>
      <c r="D606" s="1">
        <f>IF(B606="", "", "human oral metagenome")</f>
        <v>0</v>
      </c>
      <c r="E606" s="1">
        <f>IF(B606="", "", "447426")</f>
        <v>0</v>
      </c>
    </row>
    <row r="607" spans="1:5">
      <c r="A607">
        <f>IF(COUNTBLANK(B607:E607)&lt;&gt;COLUMNS(B607:E607),606,"")</f>
        <v>0</v>
      </c>
      <c r="C607" s="1">
        <f>IF(B607="", "", "human-oral")</f>
        <v>0</v>
      </c>
      <c r="D607" s="1">
        <f>IF(B607="", "", "human oral metagenome")</f>
        <v>0</v>
      </c>
      <c r="E607" s="1">
        <f>IF(B607="", "", "447426")</f>
        <v>0</v>
      </c>
    </row>
    <row r="608" spans="1:5">
      <c r="A608">
        <f>IF(COUNTBLANK(B608:E608)&lt;&gt;COLUMNS(B608:E608),607,"")</f>
        <v>0</v>
      </c>
      <c r="C608" s="1">
        <f>IF(B608="", "", "human-oral")</f>
        <v>0</v>
      </c>
      <c r="D608" s="1">
        <f>IF(B608="", "", "human oral metagenome")</f>
        <v>0</v>
      </c>
      <c r="E608" s="1">
        <f>IF(B608="", "", "447426")</f>
        <v>0</v>
      </c>
    </row>
    <row r="609" spans="1:5">
      <c r="A609">
        <f>IF(COUNTBLANK(B609:E609)&lt;&gt;COLUMNS(B609:E609),608,"")</f>
        <v>0</v>
      </c>
      <c r="C609" s="1">
        <f>IF(B609="", "", "human-oral")</f>
        <v>0</v>
      </c>
      <c r="D609" s="1">
        <f>IF(B609="", "", "human oral metagenome")</f>
        <v>0</v>
      </c>
      <c r="E609" s="1">
        <f>IF(B609="", "", "447426")</f>
        <v>0</v>
      </c>
    </row>
    <row r="610" spans="1:5">
      <c r="A610">
        <f>IF(COUNTBLANK(B610:E610)&lt;&gt;COLUMNS(B610:E610),609,"")</f>
        <v>0</v>
      </c>
      <c r="C610" s="1">
        <f>IF(B610="", "", "human-oral")</f>
        <v>0</v>
      </c>
      <c r="D610" s="1">
        <f>IF(B610="", "", "human oral metagenome")</f>
        <v>0</v>
      </c>
      <c r="E610" s="1">
        <f>IF(B610="", "", "447426")</f>
        <v>0</v>
      </c>
    </row>
    <row r="611" spans="1:5">
      <c r="A611">
        <f>IF(COUNTBLANK(B611:E611)&lt;&gt;COLUMNS(B611:E611),610,"")</f>
        <v>0</v>
      </c>
      <c r="C611" s="1">
        <f>IF(B611="", "", "human-oral")</f>
        <v>0</v>
      </c>
      <c r="D611" s="1">
        <f>IF(B611="", "", "human oral metagenome")</f>
        <v>0</v>
      </c>
      <c r="E611" s="1">
        <f>IF(B611="", "", "447426")</f>
        <v>0</v>
      </c>
    </row>
    <row r="612" spans="1:5">
      <c r="A612">
        <f>IF(COUNTBLANK(B612:E612)&lt;&gt;COLUMNS(B612:E612),611,"")</f>
        <v>0</v>
      </c>
      <c r="C612" s="1">
        <f>IF(B612="", "", "human-oral")</f>
        <v>0</v>
      </c>
      <c r="D612" s="1">
        <f>IF(B612="", "", "human oral metagenome")</f>
        <v>0</v>
      </c>
      <c r="E612" s="1">
        <f>IF(B612="", "", "447426")</f>
        <v>0</v>
      </c>
    </row>
    <row r="613" spans="1:5">
      <c r="A613">
        <f>IF(COUNTBLANK(B613:E613)&lt;&gt;COLUMNS(B613:E613),612,"")</f>
        <v>0</v>
      </c>
      <c r="C613" s="1">
        <f>IF(B613="", "", "human-oral")</f>
        <v>0</v>
      </c>
      <c r="D613" s="1">
        <f>IF(B613="", "", "human oral metagenome")</f>
        <v>0</v>
      </c>
      <c r="E613" s="1">
        <f>IF(B613="", "", "447426")</f>
        <v>0</v>
      </c>
    </row>
    <row r="614" spans="1:5">
      <c r="A614">
        <f>IF(COUNTBLANK(B614:E614)&lt;&gt;COLUMNS(B614:E614),613,"")</f>
        <v>0</v>
      </c>
      <c r="C614" s="1">
        <f>IF(B614="", "", "human-oral")</f>
        <v>0</v>
      </c>
      <c r="D614" s="1">
        <f>IF(B614="", "", "human oral metagenome")</f>
        <v>0</v>
      </c>
      <c r="E614" s="1">
        <f>IF(B614="", "", "447426")</f>
        <v>0</v>
      </c>
    </row>
    <row r="615" spans="1:5">
      <c r="A615">
        <f>IF(COUNTBLANK(B615:E615)&lt;&gt;COLUMNS(B615:E615),614,"")</f>
        <v>0</v>
      </c>
      <c r="C615" s="1">
        <f>IF(B615="", "", "human-oral")</f>
        <v>0</v>
      </c>
      <c r="D615" s="1">
        <f>IF(B615="", "", "human oral metagenome")</f>
        <v>0</v>
      </c>
      <c r="E615" s="1">
        <f>IF(B615="", "", "447426")</f>
        <v>0</v>
      </c>
    </row>
    <row r="616" spans="1:5">
      <c r="A616">
        <f>IF(COUNTBLANK(B616:E616)&lt;&gt;COLUMNS(B616:E616),615,"")</f>
        <v>0</v>
      </c>
      <c r="C616" s="1">
        <f>IF(B616="", "", "human-oral")</f>
        <v>0</v>
      </c>
      <c r="D616" s="1">
        <f>IF(B616="", "", "human oral metagenome")</f>
        <v>0</v>
      </c>
      <c r="E616" s="1">
        <f>IF(B616="", "", "447426")</f>
        <v>0</v>
      </c>
    </row>
    <row r="617" spans="1:5">
      <c r="A617">
        <f>IF(COUNTBLANK(B617:E617)&lt;&gt;COLUMNS(B617:E617),616,"")</f>
        <v>0</v>
      </c>
      <c r="C617" s="1">
        <f>IF(B617="", "", "human-oral")</f>
        <v>0</v>
      </c>
      <c r="D617" s="1">
        <f>IF(B617="", "", "human oral metagenome")</f>
        <v>0</v>
      </c>
      <c r="E617" s="1">
        <f>IF(B617="", "", "447426")</f>
        <v>0</v>
      </c>
    </row>
    <row r="618" spans="1:5">
      <c r="A618">
        <f>IF(COUNTBLANK(B618:E618)&lt;&gt;COLUMNS(B618:E618),617,"")</f>
        <v>0</v>
      </c>
      <c r="C618" s="1">
        <f>IF(B618="", "", "human-oral")</f>
        <v>0</v>
      </c>
      <c r="D618" s="1">
        <f>IF(B618="", "", "human oral metagenome")</f>
        <v>0</v>
      </c>
      <c r="E618" s="1">
        <f>IF(B618="", "", "447426")</f>
        <v>0</v>
      </c>
    </row>
    <row r="619" spans="1:5">
      <c r="A619">
        <f>IF(COUNTBLANK(B619:E619)&lt;&gt;COLUMNS(B619:E619),618,"")</f>
        <v>0</v>
      </c>
      <c r="C619" s="1">
        <f>IF(B619="", "", "human-oral")</f>
        <v>0</v>
      </c>
      <c r="D619" s="1">
        <f>IF(B619="", "", "human oral metagenome")</f>
        <v>0</v>
      </c>
      <c r="E619" s="1">
        <f>IF(B619="", "", "447426")</f>
        <v>0</v>
      </c>
    </row>
    <row r="620" spans="1:5">
      <c r="A620">
        <f>IF(COUNTBLANK(B620:E620)&lt;&gt;COLUMNS(B620:E620),619,"")</f>
        <v>0</v>
      </c>
      <c r="C620" s="1">
        <f>IF(B620="", "", "human-oral")</f>
        <v>0</v>
      </c>
      <c r="D620" s="1">
        <f>IF(B620="", "", "human oral metagenome")</f>
        <v>0</v>
      </c>
      <c r="E620" s="1">
        <f>IF(B620="", "", "447426")</f>
        <v>0</v>
      </c>
    </row>
    <row r="621" spans="1:5">
      <c r="A621">
        <f>IF(COUNTBLANK(B621:E621)&lt;&gt;COLUMNS(B621:E621),620,"")</f>
        <v>0</v>
      </c>
      <c r="C621" s="1">
        <f>IF(B621="", "", "human-oral")</f>
        <v>0</v>
      </c>
      <c r="D621" s="1">
        <f>IF(B621="", "", "human oral metagenome")</f>
        <v>0</v>
      </c>
      <c r="E621" s="1">
        <f>IF(B621="", "", "447426")</f>
        <v>0</v>
      </c>
    </row>
    <row r="622" spans="1:5">
      <c r="A622">
        <f>IF(COUNTBLANK(B622:E622)&lt;&gt;COLUMNS(B622:E622),621,"")</f>
        <v>0</v>
      </c>
      <c r="C622" s="1">
        <f>IF(B622="", "", "human-oral")</f>
        <v>0</v>
      </c>
      <c r="D622" s="1">
        <f>IF(B622="", "", "human oral metagenome")</f>
        <v>0</v>
      </c>
      <c r="E622" s="1">
        <f>IF(B622="", "", "447426")</f>
        <v>0</v>
      </c>
    </row>
    <row r="623" spans="1:5">
      <c r="A623">
        <f>IF(COUNTBLANK(B623:E623)&lt;&gt;COLUMNS(B623:E623),622,"")</f>
        <v>0</v>
      </c>
      <c r="C623" s="1">
        <f>IF(B623="", "", "human-oral")</f>
        <v>0</v>
      </c>
      <c r="D623" s="1">
        <f>IF(B623="", "", "human oral metagenome")</f>
        <v>0</v>
      </c>
      <c r="E623" s="1">
        <f>IF(B623="", "", "447426")</f>
        <v>0</v>
      </c>
    </row>
    <row r="624" spans="1:5">
      <c r="A624">
        <f>IF(COUNTBLANK(B624:E624)&lt;&gt;COLUMNS(B624:E624),623,"")</f>
        <v>0</v>
      </c>
      <c r="C624" s="1">
        <f>IF(B624="", "", "human-oral")</f>
        <v>0</v>
      </c>
      <c r="D624" s="1">
        <f>IF(B624="", "", "human oral metagenome")</f>
        <v>0</v>
      </c>
      <c r="E624" s="1">
        <f>IF(B624="", "", "447426")</f>
        <v>0</v>
      </c>
    </row>
    <row r="625" spans="1:5">
      <c r="A625">
        <f>IF(COUNTBLANK(B625:E625)&lt;&gt;COLUMNS(B625:E625),624,"")</f>
        <v>0</v>
      </c>
      <c r="C625" s="1">
        <f>IF(B625="", "", "human-oral")</f>
        <v>0</v>
      </c>
      <c r="D625" s="1">
        <f>IF(B625="", "", "human oral metagenome")</f>
        <v>0</v>
      </c>
      <c r="E625" s="1">
        <f>IF(B625="", "", "447426")</f>
        <v>0</v>
      </c>
    </row>
    <row r="626" spans="1:5">
      <c r="A626">
        <f>IF(COUNTBLANK(B626:E626)&lt;&gt;COLUMNS(B626:E626),625,"")</f>
        <v>0</v>
      </c>
      <c r="C626" s="1">
        <f>IF(B626="", "", "human-oral")</f>
        <v>0</v>
      </c>
      <c r="D626" s="1">
        <f>IF(B626="", "", "human oral metagenome")</f>
        <v>0</v>
      </c>
      <c r="E626" s="1">
        <f>IF(B626="", "", "447426")</f>
        <v>0</v>
      </c>
    </row>
    <row r="627" spans="1:5">
      <c r="A627">
        <f>IF(COUNTBLANK(B627:E627)&lt;&gt;COLUMNS(B627:E627),626,"")</f>
        <v>0</v>
      </c>
      <c r="C627" s="1">
        <f>IF(B627="", "", "human-oral")</f>
        <v>0</v>
      </c>
      <c r="D627" s="1">
        <f>IF(B627="", "", "human oral metagenome")</f>
        <v>0</v>
      </c>
      <c r="E627" s="1">
        <f>IF(B627="", "", "447426")</f>
        <v>0</v>
      </c>
    </row>
    <row r="628" spans="1:5">
      <c r="A628">
        <f>IF(COUNTBLANK(B628:E628)&lt;&gt;COLUMNS(B628:E628),627,"")</f>
        <v>0</v>
      </c>
      <c r="C628" s="1">
        <f>IF(B628="", "", "human-oral")</f>
        <v>0</v>
      </c>
      <c r="D628" s="1">
        <f>IF(B628="", "", "human oral metagenome")</f>
        <v>0</v>
      </c>
      <c r="E628" s="1">
        <f>IF(B628="", "", "447426")</f>
        <v>0</v>
      </c>
    </row>
    <row r="629" spans="1:5">
      <c r="A629">
        <f>IF(COUNTBLANK(B629:E629)&lt;&gt;COLUMNS(B629:E629),628,"")</f>
        <v>0</v>
      </c>
      <c r="C629" s="1">
        <f>IF(B629="", "", "human-oral")</f>
        <v>0</v>
      </c>
      <c r="D629" s="1">
        <f>IF(B629="", "", "human oral metagenome")</f>
        <v>0</v>
      </c>
      <c r="E629" s="1">
        <f>IF(B629="", "", "447426")</f>
        <v>0</v>
      </c>
    </row>
    <row r="630" spans="1:5">
      <c r="A630">
        <f>IF(COUNTBLANK(B630:E630)&lt;&gt;COLUMNS(B630:E630),629,"")</f>
        <v>0</v>
      </c>
      <c r="C630" s="1">
        <f>IF(B630="", "", "human-oral")</f>
        <v>0</v>
      </c>
      <c r="D630" s="1">
        <f>IF(B630="", "", "human oral metagenome")</f>
        <v>0</v>
      </c>
      <c r="E630" s="1">
        <f>IF(B630="", "", "447426")</f>
        <v>0</v>
      </c>
    </row>
    <row r="631" spans="1:5">
      <c r="A631">
        <f>IF(COUNTBLANK(B631:E631)&lt;&gt;COLUMNS(B631:E631),630,"")</f>
        <v>0</v>
      </c>
      <c r="C631" s="1">
        <f>IF(B631="", "", "human-oral")</f>
        <v>0</v>
      </c>
      <c r="D631" s="1">
        <f>IF(B631="", "", "human oral metagenome")</f>
        <v>0</v>
      </c>
      <c r="E631" s="1">
        <f>IF(B631="", "", "447426")</f>
        <v>0</v>
      </c>
    </row>
    <row r="632" spans="1:5">
      <c r="A632">
        <f>IF(COUNTBLANK(B632:E632)&lt;&gt;COLUMNS(B632:E632),631,"")</f>
        <v>0</v>
      </c>
      <c r="C632" s="1">
        <f>IF(B632="", "", "human-oral")</f>
        <v>0</v>
      </c>
      <c r="D632" s="1">
        <f>IF(B632="", "", "human oral metagenome")</f>
        <v>0</v>
      </c>
      <c r="E632" s="1">
        <f>IF(B632="", "", "447426")</f>
        <v>0</v>
      </c>
    </row>
    <row r="633" spans="1:5">
      <c r="A633">
        <f>IF(COUNTBLANK(B633:E633)&lt;&gt;COLUMNS(B633:E633),632,"")</f>
        <v>0</v>
      </c>
      <c r="C633" s="1">
        <f>IF(B633="", "", "human-oral")</f>
        <v>0</v>
      </c>
      <c r="D633" s="1">
        <f>IF(B633="", "", "human oral metagenome")</f>
        <v>0</v>
      </c>
      <c r="E633" s="1">
        <f>IF(B633="", "", "447426")</f>
        <v>0</v>
      </c>
    </row>
    <row r="634" spans="1:5">
      <c r="A634">
        <f>IF(COUNTBLANK(B634:E634)&lt;&gt;COLUMNS(B634:E634),633,"")</f>
        <v>0</v>
      </c>
      <c r="C634" s="1">
        <f>IF(B634="", "", "human-oral")</f>
        <v>0</v>
      </c>
      <c r="D634" s="1">
        <f>IF(B634="", "", "human oral metagenome")</f>
        <v>0</v>
      </c>
      <c r="E634" s="1">
        <f>IF(B634="", "", "447426")</f>
        <v>0</v>
      </c>
    </row>
    <row r="635" spans="1:5">
      <c r="A635">
        <f>IF(COUNTBLANK(B635:E635)&lt;&gt;COLUMNS(B635:E635),634,"")</f>
        <v>0</v>
      </c>
      <c r="C635" s="1">
        <f>IF(B635="", "", "human-oral")</f>
        <v>0</v>
      </c>
      <c r="D635" s="1">
        <f>IF(B635="", "", "human oral metagenome")</f>
        <v>0</v>
      </c>
      <c r="E635" s="1">
        <f>IF(B635="", "", "447426")</f>
        <v>0</v>
      </c>
    </row>
    <row r="636" spans="1:5">
      <c r="A636">
        <f>IF(COUNTBLANK(B636:E636)&lt;&gt;COLUMNS(B636:E636),635,"")</f>
        <v>0</v>
      </c>
      <c r="C636" s="1">
        <f>IF(B636="", "", "human-oral")</f>
        <v>0</v>
      </c>
      <c r="D636" s="1">
        <f>IF(B636="", "", "human oral metagenome")</f>
        <v>0</v>
      </c>
      <c r="E636" s="1">
        <f>IF(B636="", "", "447426")</f>
        <v>0</v>
      </c>
    </row>
    <row r="637" spans="1:5">
      <c r="A637">
        <f>IF(COUNTBLANK(B637:E637)&lt;&gt;COLUMNS(B637:E637),636,"")</f>
        <v>0</v>
      </c>
      <c r="C637" s="1">
        <f>IF(B637="", "", "human-oral")</f>
        <v>0</v>
      </c>
      <c r="D637" s="1">
        <f>IF(B637="", "", "human oral metagenome")</f>
        <v>0</v>
      </c>
      <c r="E637" s="1">
        <f>IF(B637="", "", "447426")</f>
        <v>0</v>
      </c>
    </row>
    <row r="638" spans="1:5">
      <c r="A638">
        <f>IF(COUNTBLANK(B638:E638)&lt;&gt;COLUMNS(B638:E638),637,"")</f>
        <v>0</v>
      </c>
      <c r="C638" s="1">
        <f>IF(B638="", "", "human-oral")</f>
        <v>0</v>
      </c>
      <c r="D638" s="1">
        <f>IF(B638="", "", "human oral metagenome")</f>
        <v>0</v>
      </c>
      <c r="E638" s="1">
        <f>IF(B638="", "", "447426")</f>
        <v>0</v>
      </c>
    </row>
    <row r="639" spans="1:5">
      <c r="A639">
        <f>IF(COUNTBLANK(B639:E639)&lt;&gt;COLUMNS(B639:E639),638,"")</f>
        <v>0</v>
      </c>
      <c r="C639" s="1">
        <f>IF(B639="", "", "human-oral")</f>
        <v>0</v>
      </c>
      <c r="D639" s="1">
        <f>IF(B639="", "", "human oral metagenome")</f>
        <v>0</v>
      </c>
      <c r="E639" s="1">
        <f>IF(B639="", "", "447426")</f>
        <v>0</v>
      </c>
    </row>
    <row r="640" spans="1:5">
      <c r="A640">
        <f>IF(COUNTBLANK(B640:E640)&lt;&gt;COLUMNS(B640:E640),639,"")</f>
        <v>0</v>
      </c>
      <c r="C640" s="1">
        <f>IF(B640="", "", "human-oral")</f>
        <v>0</v>
      </c>
      <c r="D640" s="1">
        <f>IF(B640="", "", "human oral metagenome")</f>
        <v>0</v>
      </c>
      <c r="E640" s="1">
        <f>IF(B640="", "", "447426")</f>
        <v>0</v>
      </c>
    </row>
    <row r="641" spans="1:5">
      <c r="A641">
        <f>IF(COUNTBLANK(B641:E641)&lt;&gt;COLUMNS(B641:E641),640,"")</f>
        <v>0</v>
      </c>
      <c r="C641" s="1">
        <f>IF(B641="", "", "human-oral")</f>
        <v>0</v>
      </c>
      <c r="D641" s="1">
        <f>IF(B641="", "", "human oral metagenome")</f>
        <v>0</v>
      </c>
      <c r="E641" s="1">
        <f>IF(B641="", "", "447426")</f>
        <v>0</v>
      </c>
    </row>
    <row r="642" spans="1:5">
      <c r="A642">
        <f>IF(COUNTBLANK(B642:E642)&lt;&gt;COLUMNS(B642:E642),641,"")</f>
        <v>0</v>
      </c>
      <c r="C642" s="1">
        <f>IF(B642="", "", "human-oral")</f>
        <v>0</v>
      </c>
      <c r="D642" s="1">
        <f>IF(B642="", "", "human oral metagenome")</f>
        <v>0</v>
      </c>
      <c r="E642" s="1">
        <f>IF(B642="", "", "447426")</f>
        <v>0</v>
      </c>
    </row>
    <row r="643" spans="1:5">
      <c r="A643">
        <f>IF(COUNTBLANK(B643:E643)&lt;&gt;COLUMNS(B643:E643),642,"")</f>
        <v>0</v>
      </c>
      <c r="C643" s="1">
        <f>IF(B643="", "", "human-oral")</f>
        <v>0</v>
      </c>
      <c r="D643" s="1">
        <f>IF(B643="", "", "human oral metagenome")</f>
        <v>0</v>
      </c>
      <c r="E643" s="1">
        <f>IF(B643="", "", "447426")</f>
        <v>0</v>
      </c>
    </row>
    <row r="644" spans="1:5">
      <c r="A644">
        <f>IF(COUNTBLANK(B644:E644)&lt;&gt;COLUMNS(B644:E644),643,"")</f>
        <v>0</v>
      </c>
      <c r="C644" s="1">
        <f>IF(B644="", "", "human-oral")</f>
        <v>0</v>
      </c>
      <c r="D644" s="1">
        <f>IF(B644="", "", "human oral metagenome")</f>
        <v>0</v>
      </c>
      <c r="E644" s="1">
        <f>IF(B644="", "", "447426")</f>
        <v>0</v>
      </c>
    </row>
    <row r="645" spans="1:5">
      <c r="A645">
        <f>IF(COUNTBLANK(B645:E645)&lt;&gt;COLUMNS(B645:E645),644,"")</f>
        <v>0</v>
      </c>
      <c r="C645" s="1">
        <f>IF(B645="", "", "human-oral")</f>
        <v>0</v>
      </c>
      <c r="D645" s="1">
        <f>IF(B645="", "", "human oral metagenome")</f>
        <v>0</v>
      </c>
      <c r="E645" s="1">
        <f>IF(B645="", "", "447426")</f>
        <v>0</v>
      </c>
    </row>
    <row r="646" spans="1:5">
      <c r="A646">
        <f>IF(COUNTBLANK(B646:E646)&lt;&gt;COLUMNS(B646:E646),645,"")</f>
        <v>0</v>
      </c>
      <c r="C646" s="1">
        <f>IF(B646="", "", "human-oral")</f>
        <v>0</v>
      </c>
      <c r="D646" s="1">
        <f>IF(B646="", "", "human oral metagenome")</f>
        <v>0</v>
      </c>
      <c r="E646" s="1">
        <f>IF(B646="", "", "447426")</f>
        <v>0</v>
      </c>
    </row>
    <row r="647" spans="1:5">
      <c r="A647">
        <f>IF(COUNTBLANK(B647:E647)&lt;&gt;COLUMNS(B647:E647),646,"")</f>
        <v>0</v>
      </c>
      <c r="C647" s="1">
        <f>IF(B647="", "", "human-oral")</f>
        <v>0</v>
      </c>
      <c r="D647" s="1">
        <f>IF(B647="", "", "human oral metagenome")</f>
        <v>0</v>
      </c>
      <c r="E647" s="1">
        <f>IF(B647="", "", "447426")</f>
        <v>0</v>
      </c>
    </row>
    <row r="648" spans="1:5">
      <c r="A648">
        <f>IF(COUNTBLANK(B648:E648)&lt;&gt;COLUMNS(B648:E648),647,"")</f>
        <v>0</v>
      </c>
      <c r="C648" s="1">
        <f>IF(B648="", "", "human-oral")</f>
        <v>0</v>
      </c>
      <c r="D648" s="1">
        <f>IF(B648="", "", "human oral metagenome")</f>
        <v>0</v>
      </c>
      <c r="E648" s="1">
        <f>IF(B648="", "", "447426")</f>
        <v>0</v>
      </c>
    </row>
    <row r="649" spans="1:5">
      <c r="A649">
        <f>IF(COUNTBLANK(B649:E649)&lt;&gt;COLUMNS(B649:E649),648,"")</f>
        <v>0</v>
      </c>
      <c r="C649" s="1">
        <f>IF(B649="", "", "human-oral")</f>
        <v>0</v>
      </c>
      <c r="D649" s="1">
        <f>IF(B649="", "", "human oral metagenome")</f>
        <v>0</v>
      </c>
      <c r="E649" s="1">
        <f>IF(B649="", "", "447426")</f>
        <v>0</v>
      </c>
    </row>
    <row r="650" spans="1:5">
      <c r="A650">
        <f>IF(COUNTBLANK(B650:E650)&lt;&gt;COLUMNS(B650:E650),649,"")</f>
        <v>0</v>
      </c>
      <c r="C650" s="1">
        <f>IF(B650="", "", "human-oral")</f>
        <v>0</v>
      </c>
      <c r="D650" s="1">
        <f>IF(B650="", "", "human oral metagenome")</f>
        <v>0</v>
      </c>
      <c r="E650" s="1">
        <f>IF(B650="", "", "447426")</f>
        <v>0</v>
      </c>
    </row>
    <row r="651" spans="1:5">
      <c r="A651">
        <f>IF(COUNTBLANK(B651:E651)&lt;&gt;COLUMNS(B651:E651),650,"")</f>
        <v>0</v>
      </c>
      <c r="C651" s="1">
        <f>IF(B651="", "", "human-oral")</f>
        <v>0</v>
      </c>
      <c r="D651" s="1">
        <f>IF(B651="", "", "human oral metagenome")</f>
        <v>0</v>
      </c>
      <c r="E651" s="1">
        <f>IF(B651="", "", "447426")</f>
        <v>0</v>
      </c>
    </row>
    <row r="652" spans="1:5">
      <c r="A652">
        <f>IF(COUNTBLANK(B652:E652)&lt;&gt;COLUMNS(B652:E652),651,"")</f>
        <v>0</v>
      </c>
      <c r="C652" s="1">
        <f>IF(B652="", "", "human-oral")</f>
        <v>0</v>
      </c>
      <c r="D652" s="1">
        <f>IF(B652="", "", "human oral metagenome")</f>
        <v>0</v>
      </c>
      <c r="E652" s="1">
        <f>IF(B652="", "", "447426")</f>
        <v>0</v>
      </c>
    </row>
    <row r="653" spans="1:5">
      <c r="A653">
        <f>IF(COUNTBLANK(B653:E653)&lt;&gt;COLUMNS(B653:E653),652,"")</f>
        <v>0</v>
      </c>
      <c r="C653" s="1">
        <f>IF(B653="", "", "human-oral")</f>
        <v>0</v>
      </c>
      <c r="D653" s="1">
        <f>IF(B653="", "", "human oral metagenome")</f>
        <v>0</v>
      </c>
      <c r="E653" s="1">
        <f>IF(B653="", "", "447426")</f>
        <v>0</v>
      </c>
    </row>
    <row r="654" spans="1:5">
      <c r="A654">
        <f>IF(COUNTBLANK(B654:E654)&lt;&gt;COLUMNS(B654:E654),653,"")</f>
        <v>0</v>
      </c>
      <c r="C654" s="1">
        <f>IF(B654="", "", "human-oral")</f>
        <v>0</v>
      </c>
      <c r="D654" s="1">
        <f>IF(B654="", "", "human oral metagenome")</f>
        <v>0</v>
      </c>
      <c r="E654" s="1">
        <f>IF(B654="", "", "447426")</f>
        <v>0</v>
      </c>
    </row>
    <row r="655" spans="1:5">
      <c r="A655">
        <f>IF(COUNTBLANK(B655:E655)&lt;&gt;COLUMNS(B655:E655),654,"")</f>
        <v>0</v>
      </c>
      <c r="C655" s="1">
        <f>IF(B655="", "", "human-oral")</f>
        <v>0</v>
      </c>
      <c r="D655" s="1">
        <f>IF(B655="", "", "human oral metagenome")</f>
        <v>0</v>
      </c>
      <c r="E655" s="1">
        <f>IF(B655="", "", "447426")</f>
        <v>0</v>
      </c>
    </row>
    <row r="656" spans="1:5">
      <c r="A656">
        <f>IF(COUNTBLANK(B656:E656)&lt;&gt;COLUMNS(B656:E656),655,"")</f>
        <v>0</v>
      </c>
      <c r="C656" s="1">
        <f>IF(B656="", "", "human-oral")</f>
        <v>0</v>
      </c>
      <c r="D656" s="1">
        <f>IF(B656="", "", "human oral metagenome")</f>
        <v>0</v>
      </c>
      <c r="E656" s="1">
        <f>IF(B656="", "", "447426")</f>
        <v>0</v>
      </c>
    </row>
    <row r="657" spans="1:5">
      <c r="A657">
        <f>IF(COUNTBLANK(B657:E657)&lt;&gt;COLUMNS(B657:E657),656,"")</f>
        <v>0</v>
      </c>
      <c r="C657" s="1">
        <f>IF(B657="", "", "human-oral")</f>
        <v>0</v>
      </c>
      <c r="D657" s="1">
        <f>IF(B657="", "", "human oral metagenome")</f>
        <v>0</v>
      </c>
      <c r="E657" s="1">
        <f>IF(B657="", "", "447426")</f>
        <v>0</v>
      </c>
    </row>
    <row r="658" spans="1:5">
      <c r="A658">
        <f>IF(COUNTBLANK(B658:E658)&lt;&gt;COLUMNS(B658:E658),657,"")</f>
        <v>0</v>
      </c>
      <c r="C658" s="1">
        <f>IF(B658="", "", "human-oral")</f>
        <v>0</v>
      </c>
      <c r="D658" s="1">
        <f>IF(B658="", "", "human oral metagenome")</f>
        <v>0</v>
      </c>
      <c r="E658" s="1">
        <f>IF(B658="", "", "447426")</f>
        <v>0</v>
      </c>
    </row>
    <row r="659" spans="1:5">
      <c r="A659">
        <f>IF(COUNTBLANK(B659:E659)&lt;&gt;COLUMNS(B659:E659),658,"")</f>
        <v>0</v>
      </c>
      <c r="C659" s="1">
        <f>IF(B659="", "", "human-oral")</f>
        <v>0</v>
      </c>
      <c r="D659" s="1">
        <f>IF(B659="", "", "human oral metagenome")</f>
        <v>0</v>
      </c>
      <c r="E659" s="1">
        <f>IF(B659="", "", "447426")</f>
        <v>0</v>
      </c>
    </row>
    <row r="660" spans="1:5">
      <c r="A660">
        <f>IF(COUNTBLANK(B660:E660)&lt;&gt;COLUMNS(B660:E660),659,"")</f>
        <v>0</v>
      </c>
      <c r="C660" s="1">
        <f>IF(B660="", "", "human-oral")</f>
        <v>0</v>
      </c>
      <c r="D660" s="1">
        <f>IF(B660="", "", "human oral metagenome")</f>
        <v>0</v>
      </c>
      <c r="E660" s="1">
        <f>IF(B660="", "", "447426")</f>
        <v>0</v>
      </c>
    </row>
    <row r="661" spans="1:5">
      <c r="A661">
        <f>IF(COUNTBLANK(B661:E661)&lt;&gt;COLUMNS(B661:E661),660,"")</f>
        <v>0</v>
      </c>
      <c r="C661" s="1">
        <f>IF(B661="", "", "human-oral")</f>
        <v>0</v>
      </c>
      <c r="D661" s="1">
        <f>IF(B661="", "", "human oral metagenome")</f>
        <v>0</v>
      </c>
      <c r="E661" s="1">
        <f>IF(B661="", "", "447426")</f>
        <v>0</v>
      </c>
    </row>
    <row r="662" spans="1:5">
      <c r="A662">
        <f>IF(COUNTBLANK(B662:E662)&lt;&gt;COLUMNS(B662:E662),661,"")</f>
        <v>0</v>
      </c>
      <c r="C662" s="1">
        <f>IF(B662="", "", "human-oral")</f>
        <v>0</v>
      </c>
      <c r="D662" s="1">
        <f>IF(B662="", "", "human oral metagenome")</f>
        <v>0</v>
      </c>
      <c r="E662" s="1">
        <f>IF(B662="", "", "447426")</f>
        <v>0</v>
      </c>
    </row>
    <row r="663" spans="1:5">
      <c r="A663">
        <f>IF(COUNTBLANK(B663:E663)&lt;&gt;COLUMNS(B663:E663),662,"")</f>
        <v>0</v>
      </c>
      <c r="C663" s="1">
        <f>IF(B663="", "", "human-oral")</f>
        <v>0</v>
      </c>
      <c r="D663" s="1">
        <f>IF(B663="", "", "human oral metagenome")</f>
        <v>0</v>
      </c>
      <c r="E663" s="1">
        <f>IF(B663="", "", "447426")</f>
        <v>0</v>
      </c>
    </row>
    <row r="664" spans="1:5">
      <c r="A664">
        <f>IF(COUNTBLANK(B664:E664)&lt;&gt;COLUMNS(B664:E664),663,"")</f>
        <v>0</v>
      </c>
      <c r="C664" s="1">
        <f>IF(B664="", "", "human-oral")</f>
        <v>0</v>
      </c>
      <c r="D664" s="1">
        <f>IF(B664="", "", "human oral metagenome")</f>
        <v>0</v>
      </c>
      <c r="E664" s="1">
        <f>IF(B664="", "", "447426")</f>
        <v>0</v>
      </c>
    </row>
    <row r="665" spans="1:5">
      <c r="A665">
        <f>IF(COUNTBLANK(B665:E665)&lt;&gt;COLUMNS(B665:E665),664,"")</f>
        <v>0</v>
      </c>
      <c r="C665" s="1">
        <f>IF(B665="", "", "human-oral")</f>
        <v>0</v>
      </c>
      <c r="D665" s="1">
        <f>IF(B665="", "", "human oral metagenome")</f>
        <v>0</v>
      </c>
      <c r="E665" s="1">
        <f>IF(B665="", "", "447426")</f>
        <v>0</v>
      </c>
    </row>
    <row r="666" spans="1:5">
      <c r="A666">
        <f>IF(COUNTBLANK(B666:E666)&lt;&gt;COLUMNS(B666:E666),665,"")</f>
        <v>0</v>
      </c>
      <c r="C666" s="1">
        <f>IF(B666="", "", "human-oral")</f>
        <v>0</v>
      </c>
      <c r="D666" s="1">
        <f>IF(B666="", "", "human oral metagenome")</f>
        <v>0</v>
      </c>
      <c r="E666" s="1">
        <f>IF(B666="", "", "447426")</f>
        <v>0</v>
      </c>
    </row>
    <row r="667" spans="1:5">
      <c r="A667">
        <f>IF(COUNTBLANK(B667:E667)&lt;&gt;COLUMNS(B667:E667),666,"")</f>
        <v>0</v>
      </c>
      <c r="C667" s="1">
        <f>IF(B667="", "", "human-oral")</f>
        <v>0</v>
      </c>
      <c r="D667" s="1">
        <f>IF(B667="", "", "human oral metagenome")</f>
        <v>0</v>
      </c>
      <c r="E667" s="1">
        <f>IF(B667="", "", "447426")</f>
        <v>0</v>
      </c>
    </row>
    <row r="668" spans="1:5">
      <c r="A668">
        <f>IF(COUNTBLANK(B668:E668)&lt;&gt;COLUMNS(B668:E668),667,"")</f>
        <v>0</v>
      </c>
      <c r="C668" s="1">
        <f>IF(B668="", "", "human-oral")</f>
        <v>0</v>
      </c>
      <c r="D668" s="1">
        <f>IF(B668="", "", "human oral metagenome")</f>
        <v>0</v>
      </c>
      <c r="E668" s="1">
        <f>IF(B668="", "", "447426")</f>
        <v>0</v>
      </c>
    </row>
    <row r="669" spans="1:5">
      <c r="A669">
        <f>IF(COUNTBLANK(B669:E669)&lt;&gt;COLUMNS(B669:E669),668,"")</f>
        <v>0</v>
      </c>
      <c r="C669" s="1">
        <f>IF(B669="", "", "human-oral")</f>
        <v>0</v>
      </c>
      <c r="D669" s="1">
        <f>IF(B669="", "", "human oral metagenome")</f>
        <v>0</v>
      </c>
      <c r="E669" s="1">
        <f>IF(B669="", "", "447426")</f>
        <v>0</v>
      </c>
    </row>
    <row r="670" spans="1:5">
      <c r="A670">
        <f>IF(COUNTBLANK(B670:E670)&lt;&gt;COLUMNS(B670:E670),669,"")</f>
        <v>0</v>
      </c>
      <c r="C670" s="1">
        <f>IF(B670="", "", "human-oral")</f>
        <v>0</v>
      </c>
      <c r="D670" s="1">
        <f>IF(B670="", "", "human oral metagenome")</f>
        <v>0</v>
      </c>
      <c r="E670" s="1">
        <f>IF(B670="", "", "447426")</f>
        <v>0</v>
      </c>
    </row>
    <row r="671" spans="1:5">
      <c r="A671">
        <f>IF(COUNTBLANK(B671:E671)&lt;&gt;COLUMNS(B671:E671),670,"")</f>
        <v>0</v>
      </c>
      <c r="C671" s="1">
        <f>IF(B671="", "", "human-oral")</f>
        <v>0</v>
      </c>
      <c r="D671" s="1">
        <f>IF(B671="", "", "human oral metagenome")</f>
        <v>0</v>
      </c>
      <c r="E671" s="1">
        <f>IF(B671="", "", "447426")</f>
        <v>0</v>
      </c>
    </row>
    <row r="672" spans="1:5">
      <c r="A672">
        <f>IF(COUNTBLANK(B672:E672)&lt;&gt;COLUMNS(B672:E672),671,"")</f>
        <v>0</v>
      </c>
      <c r="C672" s="1">
        <f>IF(B672="", "", "human-oral")</f>
        <v>0</v>
      </c>
      <c r="D672" s="1">
        <f>IF(B672="", "", "human oral metagenome")</f>
        <v>0</v>
      </c>
      <c r="E672" s="1">
        <f>IF(B672="", "", "447426")</f>
        <v>0</v>
      </c>
    </row>
    <row r="673" spans="1:5">
      <c r="A673">
        <f>IF(COUNTBLANK(B673:E673)&lt;&gt;COLUMNS(B673:E673),672,"")</f>
        <v>0</v>
      </c>
      <c r="C673" s="1">
        <f>IF(B673="", "", "human-oral")</f>
        <v>0</v>
      </c>
      <c r="D673" s="1">
        <f>IF(B673="", "", "human oral metagenome")</f>
        <v>0</v>
      </c>
      <c r="E673" s="1">
        <f>IF(B673="", "", "447426")</f>
        <v>0</v>
      </c>
    </row>
    <row r="674" spans="1:5">
      <c r="A674">
        <f>IF(COUNTBLANK(B674:E674)&lt;&gt;COLUMNS(B674:E674),673,"")</f>
        <v>0</v>
      </c>
      <c r="C674" s="1">
        <f>IF(B674="", "", "human-oral")</f>
        <v>0</v>
      </c>
      <c r="D674" s="1">
        <f>IF(B674="", "", "human oral metagenome")</f>
        <v>0</v>
      </c>
      <c r="E674" s="1">
        <f>IF(B674="", "", "447426")</f>
        <v>0</v>
      </c>
    </row>
    <row r="675" spans="1:5">
      <c r="A675">
        <f>IF(COUNTBLANK(B675:E675)&lt;&gt;COLUMNS(B675:E675),674,"")</f>
        <v>0</v>
      </c>
      <c r="C675" s="1">
        <f>IF(B675="", "", "human-oral")</f>
        <v>0</v>
      </c>
      <c r="D675" s="1">
        <f>IF(B675="", "", "human oral metagenome")</f>
        <v>0</v>
      </c>
      <c r="E675" s="1">
        <f>IF(B675="", "", "447426")</f>
        <v>0</v>
      </c>
    </row>
    <row r="676" spans="1:5">
      <c r="A676">
        <f>IF(COUNTBLANK(B676:E676)&lt;&gt;COLUMNS(B676:E676),675,"")</f>
        <v>0</v>
      </c>
      <c r="C676" s="1">
        <f>IF(B676="", "", "human-oral")</f>
        <v>0</v>
      </c>
      <c r="D676" s="1">
        <f>IF(B676="", "", "human oral metagenome")</f>
        <v>0</v>
      </c>
      <c r="E676" s="1">
        <f>IF(B676="", "", "447426")</f>
        <v>0</v>
      </c>
    </row>
    <row r="677" spans="1:5">
      <c r="A677">
        <f>IF(COUNTBLANK(B677:E677)&lt;&gt;COLUMNS(B677:E677),676,"")</f>
        <v>0</v>
      </c>
      <c r="C677" s="1">
        <f>IF(B677="", "", "human-oral")</f>
        <v>0</v>
      </c>
      <c r="D677" s="1">
        <f>IF(B677="", "", "human oral metagenome")</f>
        <v>0</v>
      </c>
      <c r="E677" s="1">
        <f>IF(B677="", "", "447426")</f>
        <v>0</v>
      </c>
    </row>
    <row r="678" spans="1:5">
      <c r="A678">
        <f>IF(COUNTBLANK(B678:E678)&lt;&gt;COLUMNS(B678:E678),677,"")</f>
        <v>0</v>
      </c>
      <c r="C678" s="1">
        <f>IF(B678="", "", "human-oral")</f>
        <v>0</v>
      </c>
      <c r="D678" s="1">
        <f>IF(B678="", "", "human oral metagenome")</f>
        <v>0</v>
      </c>
      <c r="E678" s="1">
        <f>IF(B678="", "", "447426")</f>
        <v>0</v>
      </c>
    </row>
    <row r="679" spans="1:5">
      <c r="A679">
        <f>IF(COUNTBLANK(B679:E679)&lt;&gt;COLUMNS(B679:E679),678,"")</f>
        <v>0</v>
      </c>
      <c r="C679" s="1">
        <f>IF(B679="", "", "human-oral")</f>
        <v>0</v>
      </c>
      <c r="D679" s="1">
        <f>IF(B679="", "", "human oral metagenome")</f>
        <v>0</v>
      </c>
      <c r="E679" s="1">
        <f>IF(B679="", "", "447426")</f>
        <v>0</v>
      </c>
    </row>
    <row r="680" spans="1:5">
      <c r="A680">
        <f>IF(COUNTBLANK(B680:E680)&lt;&gt;COLUMNS(B680:E680),679,"")</f>
        <v>0</v>
      </c>
      <c r="C680" s="1">
        <f>IF(B680="", "", "human-oral")</f>
        <v>0</v>
      </c>
      <c r="D680" s="1">
        <f>IF(B680="", "", "human oral metagenome")</f>
        <v>0</v>
      </c>
      <c r="E680" s="1">
        <f>IF(B680="", "", "447426")</f>
        <v>0</v>
      </c>
    </row>
    <row r="681" spans="1:5">
      <c r="A681">
        <f>IF(COUNTBLANK(B681:E681)&lt;&gt;COLUMNS(B681:E681),680,"")</f>
        <v>0</v>
      </c>
      <c r="C681" s="1">
        <f>IF(B681="", "", "human-oral")</f>
        <v>0</v>
      </c>
      <c r="D681" s="1">
        <f>IF(B681="", "", "human oral metagenome")</f>
        <v>0</v>
      </c>
      <c r="E681" s="1">
        <f>IF(B681="", "", "447426")</f>
        <v>0</v>
      </c>
    </row>
    <row r="682" spans="1:5">
      <c r="A682">
        <f>IF(COUNTBLANK(B682:E682)&lt;&gt;COLUMNS(B682:E682),681,"")</f>
        <v>0</v>
      </c>
      <c r="C682" s="1">
        <f>IF(B682="", "", "human-oral")</f>
        <v>0</v>
      </c>
      <c r="D682" s="1">
        <f>IF(B682="", "", "human oral metagenome")</f>
        <v>0</v>
      </c>
      <c r="E682" s="1">
        <f>IF(B682="", "", "447426")</f>
        <v>0</v>
      </c>
    </row>
    <row r="683" spans="1:5">
      <c r="A683">
        <f>IF(COUNTBLANK(B683:E683)&lt;&gt;COLUMNS(B683:E683),682,"")</f>
        <v>0</v>
      </c>
      <c r="C683" s="1">
        <f>IF(B683="", "", "human-oral")</f>
        <v>0</v>
      </c>
      <c r="D683" s="1">
        <f>IF(B683="", "", "human oral metagenome")</f>
        <v>0</v>
      </c>
      <c r="E683" s="1">
        <f>IF(B683="", "", "447426")</f>
        <v>0</v>
      </c>
    </row>
    <row r="684" spans="1:5">
      <c r="A684">
        <f>IF(COUNTBLANK(B684:E684)&lt;&gt;COLUMNS(B684:E684),683,"")</f>
        <v>0</v>
      </c>
      <c r="C684" s="1">
        <f>IF(B684="", "", "human-oral")</f>
        <v>0</v>
      </c>
      <c r="D684" s="1">
        <f>IF(B684="", "", "human oral metagenome")</f>
        <v>0</v>
      </c>
      <c r="E684" s="1">
        <f>IF(B684="", "", "447426")</f>
        <v>0</v>
      </c>
    </row>
    <row r="685" spans="1:5">
      <c r="A685">
        <f>IF(COUNTBLANK(B685:E685)&lt;&gt;COLUMNS(B685:E685),684,"")</f>
        <v>0</v>
      </c>
      <c r="C685" s="1">
        <f>IF(B685="", "", "human-oral")</f>
        <v>0</v>
      </c>
      <c r="D685" s="1">
        <f>IF(B685="", "", "human oral metagenome")</f>
        <v>0</v>
      </c>
      <c r="E685" s="1">
        <f>IF(B685="", "", "447426")</f>
        <v>0</v>
      </c>
    </row>
    <row r="686" spans="1:5">
      <c r="A686">
        <f>IF(COUNTBLANK(B686:E686)&lt;&gt;COLUMNS(B686:E686),685,"")</f>
        <v>0</v>
      </c>
      <c r="C686" s="1">
        <f>IF(B686="", "", "human-oral")</f>
        <v>0</v>
      </c>
      <c r="D686" s="1">
        <f>IF(B686="", "", "human oral metagenome")</f>
        <v>0</v>
      </c>
      <c r="E686" s="1">
        <f>IF(B686="", "", "447426")</f>
        <v>0</v>
      </c>
    </row>
    <row r="687" spans="1:5">
      <c r="A687">
        <f>IF(COUNTBLANK(B687:E687)&lt;&gt;COLUMNS(B687:E687),686,"")</f>
        <v>0</v>
      </c>
      <c r="C687" s="1">
        <f>IF(B687="", "", "human-oral")</f>
        <v>0</v>
      </c>
      <c r="D687" s="1">
        <f>IF(B687="", "", "human oral metagenome")</f>
        <v>0</v>
      </c>
      <c r="E687" s="1">
        <f>IF(B687="", "", "447426")</f>
        <v>0</v>
      </c>
    </row>
    <row r="688" spans="1:5">
      <c r="A688">
        <f>IF(COUNTBLANK(B688:E688)&lt;&gt;COLUMNS(B688:E688),687,"")</f>
        <v>0</v>
      </c>
      <c r="C688" s="1">
        <f>IF(B688="", "", "human-oral")</f>
        <v>0</v>
      </c>
      <c r="D688" s="1">
        <f>IF(B688="", "", "human oral metagenome")</f>
        <v>0</v>
      </c>
      <c r="E688" s="1">
        <f>IF(B688="", "", "447426")</f>
        <v>0</v>
      </c>
    </row>
    <row r="689" spans="1:5">
      <c r="A689">
        <f>IF(COUNTBLANK(B689:E689)&lt;&gt;COLUMNS(B689:E689),688,"")</f>
        <v>0</v>
      </c>
      <c r="C689" s="1">
        <f>IF(B689="", "", "human-oral")</f>
        <v>0</v>
      </c>
      <c r="D689" s="1">
        <f>IF(B689="", "", "human oral metagenome")</f>
        <v>0</v>
      </c>
      <c r="E689" s="1">
        <f>IF(B689="", "", "447426")</f>
        <v>0</v>
      </c>
    </row>
    <row r="690" spans="1:5">
      <c r="A690">
        <f>IF(COUNTBLANK(B690:E690)&lt;&gt;COLUMNS(B690:E690),689,"")</f>
        <v>0</v>
      </c>
      <c r="C690" s="1">
        <f>IF(B690="", "", "human-oral")</f>
        <v>0</v>
      </c>
      <c r="D690" s="1">
        <f>IF(B690="", "", "human oral metagenome")</f>
        <v>0</v>
      </c>
      <c r="E690" s="1">
        <f>IF(B690="", "", "447426")</f>
        <v>0</v>
      </c>
    </row>
    <row r="691" spans="1:5">
      <c r="A691">
        <f>IF(COUNTBLANK(B691:E691)&lt;&gt;COLUMNS(B691:E691),690,"")</f>
        <v>0</v>
      </c>
      <c r="C691" s="1">
        <f>IF(B691="", "", "human-oral")</f>
        <v>0</v>
      </c>
      <c r="D691" s="1">
        <f>IF(B691="", "", "human oral metagenome")</f>
        <v>0</v>
      </c>
      <c r="E691" s="1">
        <f>IF(B691="", "", "447426")</f>
        <v>0</v>
      </c>
    </row>
    <row r="692" spans="1:5">
      <c r="A692">
        <f>IF(COUNTBLANK(B692:E692)&lt;&gt;COLUMNS(B692:E692),691,"")</f>
        <v>0</v>
      </c>
      <c r="C692" s="1">
        <f>IF(B692="", "", "human-oral")</f>
        <v>0</v>
      </c>
      <c r="D692" s="1">
        <f>IF(B692="", "", "human oral metagenome")</f>
        <v>0</v>
      </c>
      <c r="E692" s="1">
        <f>IF(B692="", "", "447426")</f>
        <v>0</v>
      </c>
    </row>
    <row r="693" spans="1:5">
      <c r="A693">
        <f>IF(COUNTBLANK(B693:E693)&lt;&gt;COLUMNS(B693:E693),692,"")</f>
        <v>0</v>
      </c>
      <c r="C693" s="1">
        <f>IF(B693="", "", "human-oral")</f>
        <v>0</v>
      </c>
      <c r="D693" s="1">
        <f>IF(B693="", "", "human oral metagenome")</f>
        <v>0</v>
      </c>
      <c r="E693" s="1">
        <f>IF(B693="", "", "447426")</f>
        <v>0</v>
      </c>
    </row>
    <row r="694" spans="1:5">
      <c r="A694">
        <f>IF(COUNTBLANK(B694:E694)&lt;&gt;COLUMNS(B694:E694),693,"")</f>
        <v>0</v>
      </c>
      <c r="C694" s="1">
        <f>IF(B694="", "", "human-oral")</f>
        <v>0</v>
      </c>
      <c r="D694" s="1">
        <f>IF(B694="", "", "human oral metagenome")</f>
        <v>0</v>
      </c>
      <c r="E694" s="1">
        <f>IF(B694="", "", "447426")</f>
        <v>0</v>
      </c>
    </row>
    <row r="695" spans="1:5">
      <c r="A695">
        <f>IF(COUNTBLANK(B695:E695)&lt;&gt;COLUMNS(B695:E695),694,"")</f>
        <v>0</v>
      </c>
      <c r="C695" s="1">
        <f>IF(B695="", "", "human-oral")</f>
        <v>0</v>
      </c>
      <c r="D695" s="1">
        <f>IF(B695="", "", "human oral metagenome")</f>
        <v>0</v>
      </c>
      <c r="E695" s="1">
        <f>IF(B695="", "", "447426")</f>
        <v>0</v>
      </c>
    </row>
    <row r="696" spans="1:5">
      <c r="A696">
        <f>IF(COUNTBLANK(B696:E696)&lt;&gt;COLUMNS(B696:E696),695,"")</f>
        <v>0</v>
      </c>
      <c r="C696" s="1">
        <f>IF(B696="", "", "human-oral")</f>
        <v>0</v>
      </c>
      <c r="D696" s="1">
        <f>IF(B696="", "", "human oral metagenome")</f>
        <v>0</v>
      </c>
      <c r="E696" s="1">
        <f>IF(B696="", "", "447426")</f>
        <v>0</v>
      </c>
    </row>
    <row r="697" spans="1:5">
      <c r="A697">
        <f>IF(COUNTBLANK(B697:E697)&lt;&gt;COLUMNS(B697:E697),696,"")</f>
        <v>0</v>
      </c>
      <c r="C697" s="1">
        <f>IF(B697="", "", "human-oral")</f>
        <v>0</v>
      </c>
      <c r="D697" s="1">
        <f>IF(B697="", "", "human oral metagenome")</f>
        <v>0</v>
      </c>
      <c r="E697" s="1">
        <f>IF(B697="", "", "447426")</f>
        <v>0</v>
      </c>
    </row>
    <row r="698" spans="1:5">
      <c r="A698">
        <f>IF(COUNTBLANK(B698:E698)&lt;&gt;COLUMNS(B698:E698),697,"")</f>
        <v>0</v>
      </c>
      <c r="C698" s="1">
        <f>IF(B698="", "", "human-oral")</f>
        <v>0</v>
      </c>
      <c r="D698" s="1">
        <f>IF(B698="", "", "human oral metagenome")</f>
        <v>0</v>
      </c>
      <c r="E698" s="1">
        <f>IF(B698="", "", "447426")</f>
        <v>0</v>
      </c>
    </row>
    <row r="699" spans="1:5">
      <c r="A699">
        <f>IF(COUNTBLANK(B699:E699)&lt;&gt;COLUMNS(B699:E699),698,"")</f>
        <v>0</v>
      </c>
      <c r="C699" s="1">
        <f>IF(B699="", "", "human-oral")</f>
        <v>0</v>
      </c>
      <c r="D699" s="1">
        <f>IF(B699="", "", "human oral metagenome")</f>
        <v>0</v>
      </c>
      <c r="E699" s="1">
        <f>IF(B699="", "", "447426")</f>
        <v>0</v>
      </c>
    </row>
    <row r="700" spans="1:5">
      <c r="A700">
        <f>IF(COUNTBLANK(B700:E700)&lt;&gt;COLUMNS(B700:E700),699,"")</f>
        <v>0</v>
      </c>
      <c r="C700" s="1">
        <f>IF(B700="", "", "human-oral")</f>
        <v>0</v>
      </c>
      <c r="D700" s="1">
        <f>IF(B700="", "", "human oral metagenome")</f>
        <v>0</v>
      </c>
      <c r="E700" s="1">
        <f>IF(B700="", "", "447426")</f>
        <v>0</v>
      </c>
    </row>
    <row r="701" spans="1:5">
      <c r="A701">
        <f>IF(COUNTBLANK(B701:E701)&lt;&gt;COLUMNS(B701:E701),700,"")</f>
        <v>0</v>
      </c>
      <c r="C701" s="1">
        <f>IF(B701="", "", "human-oral")</f>
        <v>0</v>
      </c>
      <c r="D701" s="1">
        <f>IF(B701="", "", "human oral metagenome")</f>
        <v>0</v>
      </c>
      <c r="E701" s="1">
        <f>IF(B701="", "", "447426")</f>
        <v>0</v>
      </c>
    </row>
    <row r="702" spans="1:5">
      <c r="A702">
        <f>IF(COUNTBLANK(B702:E702)&lt;&gt;COLUMNS(B702:E702),701,"")</f>
        <v>0</v>
      </c>
      <c r="C702" s="1">
        <f>IF(B702="", "", "human-oral")</f>
        <v>0</v>
      </c>
      <c r="D702" s="1">
        <f>IF(B702="", "", "human oral metagenome")</f>
        <v>0</v>
      </c>
      <c r="E702" s="1">
        <f>IF(B702="", "", "447426")</f>
        <v>0</v>
      </c>
    </row>
    <row r="703" spans="1:5">
      <c r="A703">
        <f>IF(COUNTBLANK(B703:E703)&lt;&gt;COLUMNS(B703:E703),702,"")</f>
        <v>0</v>
      </c>
      <c r="C703" s="1">
        <f>IF(B703="", "", "human-oral")</f>
        <v>0</v>
      </c>
      <c r="D703" s="1">
        <f>IF(B703="", "", "human oral metagenome")</f>
        <v>0</v>
      </c>
      <c r="E703" s="1">
        <f>IF(B703="", "", "447426")</f>
        <v>0</v>
      </c>
    </row>
    <row r="704" spans="1:5">
      <c r="A704">
        <f>IF(COUNTBLANK(B704:E704)&lt;&gt;COLUMNS(B704:E704),703,"")</f>
        <v>0</v>
      </c>
      <c r="C704" s="1">
        <f>IF(B704="", "", "human-oral")</f>
        <v>0</v>
      </c>
      <c r="D704" s="1">
        <f>IF(B704="", "", "human oral metagenome")</f>
        <v>0</v>
      </c>
      <c r="E704" s="1">
        <f>IF(B704="", "", "447426")</f>
        <v>0</v>
      </c>
    </row>
    <row r="705" spans="1:5">
      <c r="A705">
        <f>IF(COUNTBLANK(B705:E705)&lt;&gt;COLUMNS(B705:E705),704,"")</f>
        <v>0</v>
      </c>
      <c r="C705" s="1">
        <f>IF(B705="", "", "human-oral")</f>
        <v>0</v>
      </c>
      <c r="D705" s="1">
        <f>IF(B705="", "", "human oral metagenome")</f>
        <v>0</v>
      </c>
      <c r="E705" s="1">
        <f>IF(B705="", "", "447426")</f>
        <v>0</v>
      </c>
    </row>
    <row r="706" spans="1:5">
      <c r="A706">
        <f>IF(COUNTBLANK(B706:E706)&lt;&gt;COLUMNS(B706:E706),705,"")</f>
        <v>0</v>
      </c>
      <c r="C706" s="1">
        <f>IF(B706="", "", "human-oral")</f>
        <v>0</v>
      </c>
      <c r="D706" s="1">
        <f>IF(B706="", "", "human oral metagenome")</f>
        <v>0</v>
      </c>
      <c r="E706" s="1">
        <f>IF(B706="", "", "447426")</f>
        <v>0</v>
      </c>
    </row>
    <row r="707" spans="1:5">
      <c r="A707">
        <f>IF(COUNTBLANK(B707:E707)&lt;&gt;COLUMNS(B707:E707),706,"")</f>
        <v>0</v>
      </c>
      <c r="C707" s="1">
        <f>IF(B707="", "", "human-oral")</f>
        <v>0</v>
      </c>
      <c r="D707" s="1">
        <f>IF(B707="", "", "human oral metagenome")</f>
        <v>0</v>
      </c>
      <c r="E707" s="1">
        <f>IF(B707="", "", "447426")</f>
        <v>0</v>
      </c>
    </row>
    <row r="708" spans="1:5">
      <c r="A708">
        <f>IF(COUNTBLANK(B708:E708)&lt;&gt;COLUMNS(B708:E708),707,"")</f>
        <v>0</v>
      </c>
      <c r="C708" s="1">
        <f>IF(B708="", "", "human-oral")</f>
        <v>0</v>
      </c>
      <c r="D708" s="1">
        <f>IF(B708="", "", "human oral metagenome")</f>
        <v>0</v>
      </c>
      <c r="E708" s="1">
        <f>IF(B708="", "", "447426")</f>
        <v>0</v>
      </c>
    </row>
    <row r="709" spans="1:5">
      <c r="A709">
        <f>IF(COUNTBLANK(B709:E709)&lt;&gt;COLUMNS(B709:E709),708,"")</f>
        <v>0</v>
      </c>
      <c r="C709" s="1">
        <f>IF(B709="", "", "human-oral")</f>
        <v>0</v>
      </c>
      <c r="D709" s="1">
        <f>IF(B709="", "", "human oral metagenome")</f>
        <v>0</v>
      </c>
      <c r="E709" s="1">
        <f>IF(B709="", "", "447426")</f>
        <v>0</v>
      </c>
    </row>
    <row r="710" spans="1:5">
      <c r="A710">
        <f>IF(COUNTBLANK(B710:E710)&lt;&gt;COLUMNS(B710:E710),709,"")</f>
        <v>0</v>
      </c>
      <c r="C710" s="1">
        <f>IF(B710="", "", "human-oral")</f>
        <v>0</v>
      </c>
      <c r="D710" s="1">
        <f>IF(B710="", "", "human oral metagenome")</f>
        <v>0</v>
      </c>
      <c r="E710" s="1">
        <f>IF(B710="", "", "447426")</f>
        <v>0</v>
      </c>
    </row>
    <row r="711" spans="1:5">
      <c r="A711">
        <f>IF(COUNTBLANK(B711:E711)&lt;&gt;COLUMNS(B711:E711),710,"")</f>
        <v>0</v>
      </c>
      <c r="C711" s="1">
        <f>IF(B711="", "", "human-oral")</f>
        <v>0</v>
      </c>
      <c r="D711" s="1">
        <f>IF(B711="", "", "human oral metagenome")</f>
        <v>0</v>
      </c>
      <c r="E711" s="1">
        <f>IF(B711="", "", "447426")</f>
        <v>0</v>
      </c>
    </row>
    <row r="712" spans="1:5">
      <c r="A712">
        <f>IF(COUNTBLANK(B712:E712)&lt;&gt;COLUMNS(B712:E712),711,"")</f>
        <v>0</v>
      </c>
      <c r="C712" s="1">
        <f>IF(B712="", "", "human-oral")</f>
        <v>0</v>
      </c>
      <c r="D712" s="1">
        <f>IF(B712="", "", "human oral metagenome")</f>
        <v>0</v>
      </c>
      <c r="E712" s="1">
        <f>IF(B712="", "", "447426")</f>
        <v>0</v>
      </c>
    </row>
    <row r="713" spans="1:5">
      <c r="A713">
        <f>IF(COUNTBLANK(B713:E713)&lt;&gt;COLUMNS(B713:E713),712,"")</f>
        <v>0</v>
      </c>
      <c r="C713" s="1">
        <f>IF(B713="", "", "human-oral")</f>
        <v>0</v>
      </c>
      <c r="D713" s="1">
        <f>IF(B713="", "", "human oral metagenome")</f>
        <v>0</v>
      </c>
      <c r="E713" s="1">
        <f>IF(B713="", "", "447426")</f>
        <v>0</v>
      </c>
    </row>
    <row r="714" spans="1:5">
      <c r="A714">
        <f>IF(COUNTBLANK(B714:E714)&lt;&gt;COLUMNS(B714:E714),713,"")</f>
        <v>0</v>
      </c>
      <c r="C714" s="1">
        <f>IF(B714="", "", "human-oral")</f>
        <v>0</v>
      </c>
      <c r="D714" s="1">
        <f>IF(B714="", "", "human oral metagenome")</f>
        <v>0</v>
      </c>
      <c r="E714" s="1">
        <f>IF(B714="", "", "447426")</f>
        <v>0</v>
      </c>
    </row>
    <row r="715" spans="1:5">
      <c r="A715">
        <f>IF(COUNTBLANK(B715:E715)&lt;&gt;COLUMNS(B715:E715),714,"")</f>
        <v>0</v>
      </c>
      <c r="C715" s="1">
        <f>IF(B715="", "", "human-oral")</f>
        <v>0</v>
      </c>
      <c r="D715" s="1">
        <f>IF(B715="", "", "human oral metagenome")</f>
        <v>0</v>
      </c>
      <c r="E715" s="1">
        <f>IF(B715="", "", "447426")</f>
        <v>0</v>
      </c>
    </row>
    <row r="716" spans="1:5">
      <c r="A716">
        <f>IF(COUNTBLANK(B716:E716)&lt;&gt;COLUMNS(B716:E716),715,"")</f>
        <v>0</v>
      </c>
      <c r="C716" s="1">
        <f>IF(B716="", "", "human-oral")</f>
        <v>0</v>
      </c>
      <c r="D716" s="1">
        <f>IF(B716="", "", "human oral metagenome")</f>
        <v>0</v>
      </c>
      <c r="E716" s="1">
        <f>IF(B716="", "", "447426")</f>
        <v>0</v>
      </c>
    </row>
    <row r="717" spans="1:5">
      <c r="A717">
        <f>IF(COUNTBLANK(B717:E717)&lt;&gt;COLUMNS(B717:E717),716,"")</f>
        <v>0</v>
      </c>
      <c r="C717" s="1">
        <f>IF(B717="", "", "human-oral")</f>
        <v>0</v>
      </c>
      <c r="D717" s="1">
        <f>IF(B717="", "", "human oral metagenome")</f>
        <v>0</v>
      </c>
      <c r="E717" s="1">
        <f>IF(B717="", "", "447426")</f>
        <v>0</v>
      </c>
    </row>
    <row r="718" spans="1:5">
      <c r="A718">
        <f>IF(COUNTBLANK(B718:E718)&lt;&gt;COLUMNS(B718:E718),717,"")</f>
        <v>0</v>
      </c>
      <c r="C718" s="1">
        <f>IF(B718="", "", "human-oral")</f>
        <v>0</v>
      </c>
      <c r="D718" s="1">
        <f>IF(B718="", "", "human oral metagenome")</f>
        <v>0</v>
      </c>
      <c r="E718" s="1">
        <f>IF(B718="", "", "447426")</f>
        <v>0</v>
      </c>
    </row>
    <row r="719" spans="1:5">
      <c r="A719">
        <f>IF(COUNTBLANK(B719:E719)&lt;&gt;COLUMNS(B719:E719),718,"")</f>
        <v>0</v>
      </c>
      <c r="C719" s="1">
        <f>IF(B719="", "", "human-oral")</f>
        <v>0</v>
      </c>
      <c r="D719" s="1">
        <f>IF(B719="", "", "human oral metagenome")</f>
        <v>0</v>
      </c>
      <c r="E719" s="1">
        <f>IF(B719="", "", "447426")</f>
        <v>0</v>
      </c>
    </row>
    <row r="720" spans="1:5">
      <c r="A720">
        <f>IF(COUNTBLANK(B720:E720)&lt;&gt;COLUMNS(B720:E720),719,"")</f>
        <v>0</v>
      </c>
      <c r="C720" s="1">
        <f>IF(B720="", "", "human-oral")</f>
        <v>0</v>
      </c>
      <c r="D720" s="1">
        <f>IF(B720="", "", "human oral metagenome")</f>
        <v>0</v>
      </c>
      <c r="E720" s="1">
        <f>IF(B720="", "", "447426")</f>
        <v>0</v>
      </c>
    </row>
    <row r="721" spans="1:5">
      <c r="A721">
        <f>IF(COUNTBLANK(B721:E721)&lt;&gt;COLUMNS(B721:E721),720,"")</f>
        <v>0</v>
      </c>
      <c r="C721" s="1">
        <f>IF(B721="", "", "human-oral")</f>
        <v>0</v>
      </c>
      <c r="D721" s="1">
        <f>IF(B721="", "", "human oral metagenome")</f>
        <v>0</v>
      </c>
      <c r="E721" s="1">
        <f>IF(B721="", "", "447426")</f>
        <v>0</v>
      </c>
    </row>
    <row r="722" spans="1:5">
      <c r="A722">
        <f>IF(COUNTBLANK(B722:E722)&lt;&gt;COLUMNS(B722:E722),721,"")</f>
        <v>0</v>
      </c>
      <c r="C722" s="1">
        <f>IF(B722="", "", "human-oral")</f>
        <v>0</v>
      </c>
      <c r="D722" s="1">
        <f>IF(B722="", "", "human oral metagenome")</f>
        <v>0</v>
      </c>
      <c r="E722" s="1">
        <f>IF(B722="", "", "447426")</f>
        <v>0</v>
      </c>
    </row>
    <row r="723" spans="1:5">
      <c r="A723">
        <f>IF(COUNTBLANK(B723:E723)&lt;&gt;COLUMNS(B723:E723),722,"")</f>
        <v>0</v>
      </c>
      <c r="C723" s="1">
        <f>IF(B723="", "", "human-oral")</f>
        <v>0</v>
      </c>
      <c r="D723" s="1">
        <f>IF(B723="", "", "human oral metagenome")</f>
        <v>0</v>
      </c>
      <c r="E723" s="1">
        <f>IF(B723="", "", "447426")</f>
        <v>0</v>
      </c>
    </row>
    <row r="724" spans="1:5">
      <c r="A724">
        <f>IF(COUNTBLANK(B724:E724)&lt;&gt;COLUMNS(B724:E724),723,"")</f>
        <v>0</v>
      </c>
      <c r="C724" s="1">
        <f>IF(B724="", "", "human-oral")</f>
        <v>0</v>
      </c>
      <c r="D724" s="1">
        <f>IF(B724="", "", "human oral metagenome")</f>
        <v>0</v>
      </c>
      <c r="E724" s="1">
        <f>IF(B724="", "", "447426")</f>
        <v>0</v>
      </c>
    </row>
    <row r="725" spans="1:5">
      <c r="A725">
        <f>IF(COUNTBLANK(B725:E725)&lt;&gt;COLUMNS(B725:E725),724,"")</f>
        <v>0</v>
      </c>
      <c r="C725" s="1">
        <f>IF(B725="", "", "human-oral")</f>
        <v>0</v>
      </c>
      <c r="D725" s="1">
        <f>IF(B725="", "", "human oral metagenome")</f>
        <v>0</v>
      </c>
      <c r="E725" s="1">
        <f>IF(B725="", "", "447426")</f>
        <v>0</v>
      </c>
    </row>
    <row r="726" spans="1:5">
      <c r="A726">
        <f>IF(COUNTBLANK(B726:E726)&lt;&gt;COLUMNS(B726:E726),725,"")</f>
        <v>0</v>
      </c>
      <c r="C726" s="1">
        <f>IF(B726="", "", "human-oral")</f>
        <v>0</v>
      </c>
      <c r="D726" s="1">
        <f>IF(B726="", "", "human oral metagenome")</f>
        <v>0</v>
      </c>
      <c r="E726" s="1">
        <f>IF(B726="", "", "447426")</f>
        <v>0</v>
      </c>
    </row>
    <row r="727" spans="1:5">
      <c r="A727">
        <f>IF(COUNTBLANK(B727:E727)&lt;&gt;COLUMNS(B727:E727),726,"")</f>
        <v>0</v>
      </c>
      <c r="C727" s="1">
        <f>IF(B727="", "", "human-oral")</f>
        <v>0</v>
      </c>
      <c r="D727" s="1">
        <f>IF(B727="", "", "human oral metagenome")</f>
        <v>0</v>
      </c>
      <c r="E727" s="1">
        <f>IF(B727="", "", "447426")</f>
        <v>0</v>
      </c>
    </row>
    <row r="728" spans="1:5">
      <c r="A728">
        <f>IF(COUNTBLANK(B728:E728)&lt;&gt;COLUMNS(B728:E728),727,"")</f>
        <v>0</v>
      </c>
      <c r="C728" s="1">
        <f>IF(B728="", "", "human-oral")</f>
        <v>0</v>
      </c>
      <c r="D728" s="1">
        <f>IF(B728="", "", "human oral metagenome")</f>
        <v>0</v>
      </c>
      <c r="E728" s="1">
        <f>IF(B728="", "", "447426")</f>
        <v>0</v>
      </c>
    </row>
    <row r="729" spans="1:5">
      <c r="A729">
        <f>IF(COUNTBLANK(B729:E729)&lt;&gt;COLUMNS(B729:E729),728,"")</f>
        <v>0</v>
      </c>
      <c r="C729" s="1">
        <f>IF(B729="", "", "human-oral")</f>
        <v>0</v>
      </c>
      <c r="D729" s="1">
        <f>IF(B729="", "", "human oral metagenome")</f>
        <v>0</v>
      </c>
      <c r="E729" s="1">
        <f>IF(B729="", "", "447426")</f>
        <v>0</v>
      </c>
    </row>
    <row r="730" spans="1:5">
      <c r="A730">
        <f>IF(COUNTBLANK(B730:E730)&lt;&gt;COLUMNS(B730:E730),729,"")</f>
        <v>0</v>
      </c>
      <c r="C730" s="1">
        <f>IF(B730="", "", "human-oral")</f>
        <v>0</v>
      </c>
      <c r="D730" s="1">
        <f>IF(B730="", "", "human oral metagenome")</f>
        <v>0</v>
      </c>
      <c r="E730" s="1">
        <f>IF(B730="", "", "447426")</f>
        <v>0</v>
      </c>
    </row>
    <row r="731" spans="1:5">
      <c r="A731">
        <f>IF(COUNTBLANK(B731:E731)&lt;&gt;COLUMNS(B731:E731),730,"")</f>
        <v>0</v>
      </c>
      <c r="C731" s="1">
        <f>IF(B731="", "", "human-oral")</f>
        <v>0</v>
      </c>
      <c r="D731" s="1">
        <f>IF(B731="", "", "human oral metagenome")</f>
        <v>0</v>
      </c>
      <c r="E731" s="1">
        <f>IF(B731="", "", "447426")</f>
        <v>0</v>
      </c>
    </row>
    <row r="732" spans="1:5">
      <c r="A732">
        <f>IF(COUNTBLANK(B732:E732)&lt;&gt;COLUMNS(B732:E732),731,"")</f>
        <v>0</v>
      </c>
      <c r="C732" s="1">
        <f>IF(B732="", "", "human-oral")</f>
        <v>0</v>
      </c>
      <c r="D732" s="1">
        <f>IF(B732="", "", "human oral metagenome")</f>
        <v>0</v>
      </c>
      <c r="E732" s="1">
        <f>IF(B732="", "", "447426")</f>
        <v>0</v>
      </c>
    </row>
    <row r="733" spans="1:5">
      <c r="A733">
        <f>IF(COUNTBLANK(B733:E733)&lt;&gt;COLUMNS(B733:E733),732,"")</f>
        <v>0</v>
      </c>
      <c r="C733" s="1">
        <f>IF(B733="", "", "human-oral")</f>
        <v>0</v>
      </c>
      <c r="D733" s="1">
        <f>IF(B733="", "", "human oral metagenome")</f>
        <v>0</v>
      </c>
      <c r="E733" s="1">
        <f>IF(B733="", "", "447426")</f>
        <v>0</v>
      </c>
    </row>
    <row r="734" spans="1:5">
      <c r="A734">
        <f>IF(COUNTBLANK(B734:E734)&lt;&gt;COLUMNS(B734:E734),733,"")</f>
        <v>0</v>
      </c>
      <c r="C734" s="1">
        <f>IF(B734="", "", "human-oral")</f>
        <v>0</v>
      </c>
      <c r="D734" s="1">
        <f>IF(B734="", "", "human oral metagenome")</f>
        <v>0</v>
      </c>
      <c r="E734" s="1">
        <f>IF(B734="", "", "447426")</f>
        <v>0</v>
      </c>
    </row>
    <row r="735" spans="1:5">
      <c r="A735">
        <f>IF(COUNTBLANK(B735:E735)&lt;&gt;COLUMNS(B735:E735),734,"")</f>
        <v>0</v>
      </c>
      <c r="C735" s="1">
        <f>IF(B735="", "", "human-oral")</f>
        <v>0</v>
      </c>
      <c r="D735" s="1">
        <f>IF(B735="", "", "human oral metagenome")</f>
        <v>0</v>
      </c>
      <c r="E735" s="1">
        <f>IF(B735="", "", "447426")</f>
        <v>0</v>
      </c>
    </row>
    <row r="736" spans="1:5">
      <c r="A736">
        <f>IF(COUNTBLANK(B736:E736)&lt;&gt;COLUMNS(B736:E736),735,"")</f>
        <v>0</v>
      </c>
      <c r="C736" s="1">
        <f>IF(B736="", "", "human-oral")</f>
        <v>0</v>
      </c>
      <c r="D736" s="1">
        <f>IF(B736="", "", "human oral metagenome")</f>
        <v>0</v>
      </c>
      <c r="E736" s="1">
        <f>IF(B736="", "", "447426")</f>
        <v>0</v>
      </c>
    </row>
    <row r="737" spans="1:5">
      <c r="A737">
        <f>IF(COUNTBLANK(B737:E737)&lt;&gt;COLUMNS(B737:E737),736,"")</f>
        <v>0</v>
      </c>
      <c r="C737" s="1">
        <f>IF(B737="", "", "human-oral")</f>
        <v>0</v>
      </c>
      <c r="D737" s="1">
        <f>IF(B737="", "", "human oral metagenome")</f>
        <v>0</v>
      </c>
      <c r="E737" s="1">
        <f>IF(B737="", "", "447426")</f>
        <v>0</v>
      </c>
    </row>
    <row r="738" spans="1:5">
      <c r="A738">
        <f>IF(COUNTBLANK(B738:E738)&lt;&gt;COLUMNS(B738:E738),737,"")</f>
        <v>0</v>
      </c>
      <c r="C738" s="1">
        <f>IF(B738="", "", "human-oral")</f>
        <v>0</v>
      </c>
      <c r="D738" s="1">
        <f>IF(B738="", "", "human oral metagenome")</f>
        <v>0</v>
      </c>
      <c r="E738" s="1">
        <f>IF(B738="", "", "447426")</f>
        <v>0</v>
      </c>
    </row>
    <row r="739" spans="1:5">
      <c r="A739">
        <f>IF(COUNTBLANK(B739:E739)&lt;&gt;COLUMNS(B739:E739),738,"")</f>
        <v>0</v>
      </c>
      <c r="C739" s="1">
        <f>IF(B739="", "", "human-oral")</f>
        <v>0</v>
      </c>
      <c r="D739" s="1">
        <f>IF(B739="", "", "human oral metagenome")</f>
        <v>0</v>
      </c>
      <c r="E739" s="1">
        <f>IF(B739="", "", "447426")</f>
        <v>0</v>
      </c>
    </row>
    <row r="740" spans="1:5">
      <c r="A740">
        <f>IF(COUNTBLANK(B740:E740)&lt;&gt;COLUMNS(B740:E740),739,"")</f>
        <v>0</v>
      </c>
      <c r="C740" s="1">
        <f>IF(B740="", "", "human-oral")</f>
        <v>0</v>
      </c>
      <c r="D740" s="1">
        <f>IF(B740="", "", "human oral metagenome")</f>
        <v>0</v>
      </c>
      <c r="E740" s="1">
        <f>IF(B740="", "", "447426")</f>
        <v>0</v>
      </c>
    </row>
    <row r="741" spans="1:5">
      <c r="A741">
        <f>IF(COUNTBLANK(B741:E741)&lt;&gt;COLUMNS(B741:E741),740,"")</f>
        <v>0</v>
      </c>
      <c r="C741" s="1">
        <f>IF(B741="", "", "human-oral")</f>
        <v>0</v>
      </c>
      <c r="D741" s="1">
        <f>IF(B741="", "", "human oral metagenome")</f>
        <v>0</v>
      </c>
      <c r="E741" s="1">
        <f>IF(B741="", "", "447426")</f>
        <v>0</v>
      </c>
    </row>
    <row r="742" spans="1:5">
      <c r="A742">
        <f>IF(COUNTBLANK(B742:E742)&lt;&gt;COLUMNS(B742:E742),741,"")</f>
        <v>0</v>
      </c>
      <c r="C742" s="1">
        <f>IF(B742="", "", "human-oral")</f>
        <v>0</v>
      </c>
      <c r="D742" s="1">
        <f>IF(B742="", "", "human oral metagenome")</f>
        <v>0</v>
      </c>
      <c r="E742" s="1">
        <f>IF(B742="", "", "447426")</f>
        <v>0</v>
      </c>
    </row>
    <row r="743" spans="1:5">
      <c r="A743">
        <f>IF(COUNTBLANK(B743:E743)&lt;&gt;COLUMNS(B743:E743),742,"")</f>
        <v>0</v>
      </c>
      <c r="C743" s="1">
        <f>IF(B743="", "", "human-oral")</f>
        <v>0</v>
      </c>
      <c r="D743" s="1">
        <f>IF(B743="", "", "human oral metagenome")</f>
        <v>0</v>
      </c>
      <c r="E743" s="1">
        <f>IF(B743="", "", "447426")</f>
        <v>0</v>
      </c>
    </row>
    <row r="744" spans="1:5">
      <c r="A744">
        <f>IF(COUNTBLANK(B744:E744)&lt;&gt;COLUMNS(B744:E744),743,"")</f>
        <v>0</v>
      </c>
      <c r="C744" s="1">
        <f>IF(B744="", "", "human-oral")</f>
        <v>0</v>
      </c>
      <c r="D744" s="1">
        <f>IF(B744="", "", "human oral metagenome")</f>
        <v>0</v>
      </c>
      <c r="E744" s="1">
        <f>IF(B744="", "", "447426")</f>
        <v>0</v>
      </c>
    </row>
    <row r="745" spans="1:5">
      <c r="A745">
        <f>IF(COUNTBLANK(B745:E745)&lt;&gt;COLUMNS(B745:E745),744,"")</f>
        <v>0</v>
      </c>
      <c r="C745" s="1">
        <f>IF(B745="", "", "human-oral")</f>
        <v>0</v>
      </c>
      <c r="D745" s="1">
        <f>IF(B745="", "", "human oral metagenome")</f>
        <v>0</v>
      </c>
      <c r="E745" s="1">
        <f>IF(B745="", "", "447426")</f>
        <v>0</v>
      </c>
    </row>
    <row r="746" spans="1:5">
      <c r="A746">
        <f>IF(COUNTBLANK(B746:E746)&lt;&gt;COLUMNS(B746:E746),745,"")</f>
        <v>0</v>
      </c>
      <c r="C746" s="1">
        <f>IF(B746="", "", "human-oral")</f>
        <v>0</v>
      </c>
      <c r="D746" s="1">
        <f>IF(B746="", "", "human oral metagenome")</f>
        <v>0</v>
      </c>
      <c r="E746" s="1">
        <f>IF(B746="", "", "447426")</f>
        <v>0</v>
      </c>
    </row>
    <row r="747" spans="1:5">
      <c r="A747">
        <f>IF(COUNTBLANK(B747:E747)&lt;&gt;COLUMNS(B747:E747),746,"")</f>
        <v>0</v>
      </c>
      <c r="C747" s="1">
        <f>IF(B747="", "", "human-oral")</f>
        <v>0</v>
      </c>
      <c r="D747" s="1">
        <f>IF(B747="", "", "human oral metagenome")</f>
        <v>0</v>
      </c>
      <c r="E747" s="1">
        <f>IF(B747="", "", "447426")</f>
        <v>0</v>
      </c>
    </row>
    <row r="748" spans="1:5">
      <c r="A748">
        <f>IF(COUNTBLANK(B748:E748)&lt;&gt;COLUMNS(B748:E748),747,"")</f>
        <v>0</v>
      </c>
      <c r="C748" s="1">
        <f>IF(B748="", "", "human-oral")</f>
        <v>0</v>
      </c>
      <c r="D748" s="1">
        <f>IF(B748="", "", "human oral metagenome")</f>
        <v>0</v>
      </c>
      <c r="E748" s="1">
        <f>IF(B748="", "", "447426")</f>
        <v>0</v>
      </c>
    </row>
    <row r="749" spans="1:5">
      <c r="A749">
        <f>IF(COUNTBLANK(B749:E749)&lt;&gt;COLUMNS(B749:E749),748,"")</f>
        <v>0</v>
      </c>
      <c r="C749" s="1">
        <f>IF(B749="", "", "human-oral")</f>
        <v>0</v>
      </c>
      <c r="D749" s="1">
        <f>IF(B749="", "", "human oral metagenome")</f>
        <v>0</v>
      </c>
      <c r="E749" s="1">
        <f>IF(B749="", "", "447426")</f>
        <v>0</v>
      </c>
    </row>
    <row r="750" spans="1:5">
      <c r="A750">
        <f>IF(COUNTBLANK(B750:E750)&lt;&gt;COLUMNS(B750:E750),749,"")</f>
        <v>0</v>
      </c>
      <c r="C750" s="1">
        <f>IF(B750="", "", "human-oral")</f>
        <v>0</v>
      </c>
      <c r="D750" s="1">
        <f>IF(B750="", "", "human oral metagenome")</f>
        <v>0</v>
      </c>
      <c r="E750" s="1">
        <f>IF(B750="", "", "447426")</f>
        <v>0</v>
      </c>
    </row>
    <row r="751" spans="1:5">
      <c r="A751">
        <f>IF(COUNTBLANK(B751:E751)&lt;&gt;COLUMNS(B751:E751),750,"")</f>
        <v>0</v>
      </c>
      <c r="C751" s="1">
        <f>IF(B751="", "", "human-oral")</f>
        <v>0</v>
      </c>
      <c r="D751" s="1">
        <f>IF(B751="", "", "human oral metagenome")</f>
        <v>0</v>
      </c>
      <c r="E751" s="1">
        <f>IF(B751="", "", "447426")</f>
        <v>0</v>
      </c>
    </row>
    <row r="752" spans="1:5">
      <c r="A752">
        <f>IF(COUNTBLANK(B752:E752)&lt;&gt;COLUMNS(B752:E752),751,"")</f>
        <v>0</v>
      </c>
      <c r="C752" s="1">
        <f>IF(B752="", "", "human-oral")</f>
        <v>0</v>
      </c>
      <c r="D752" s="1">
        <f>IF(B752="", "", "human oral metagenome")</f>
        <v>0</v>
      </c>
      <c r="E752" s="1">
        <f>IF(B752="", "", "447426")</f>
        <v>0</v>
      </c>
    </row>
    <row r="753" spans="1:5">
      <c r="A753">
        <f>IF(COUNTBLANK(B753:E753)&lt;&gt;COLUMNS(B753:E753),752,"")</f>
        <v>0</v>
      </c>
      <c r="C753" s="1">
        <f>IF(B753="", "", "human-oral")</f>
        <v>0</v>
      </c>
      <c r="D753" s="1">
        <f>IF(B753="", "", "human oral metagenome")</f>
        <v>0</v>
      </c>
      <c r="E753" s="1">
        <f>IF(B753="", "", "447426")</f>
        <v>0</v>
      </c>
    </row>
    <row r="754" spans="1:5">
      <c r="A754">
        <f>IF(COUNTBLANK(B754:E754)&lt;&gt;COLUMNS(B754:E754),753,"")</f>
        <v>0</v>
      </c>
      <c r="C754" s="1">
        <f>IF(B754="", "", "human-oral")</f>
        <v>0</v>
      </c>
      <c r="D754" s="1">
        <f>IF(B754="", "", "human oral metagenome")</f>
        <v>0</v>
      </c>
      <c r="E754" s="1">
        <f>IF(B754="", "", "447426")</f>
        <v>0</v>
      </c>
    </row>
    <row r="755" spans="1:5">
      <c r="A755">
        <f>IF(COUNTBLANK(B755:E755)&lt;&gt;COLUMNS(B755:E755),754,"")</f>
        <v>0</v>
      </c>
      <c r="C755" s="1">
        <f>IF(B755="", "", "human-oral")</f>
        <v>0</v>
      </c>
      <c r="D755" s="1">
        <f>IF(B755="", "", "human oral metagenome")</f>
        <v>0</v>
      </c>
      <c r="E755" s="1">
        <f>IF(B755="", "", "447426")</f>
        <v>0</v>
      </c>
    </row>
    <row r="756" spans="1:5">
      <c r="A756">
        <f>IF(COUNTBLANK(B756:E756)&lt;&gt;COLUMNS(B756:E756),755,"")</f>
        <v>0</v>
      </c>
      <c r="C756" s="1">
        <f>IF(B756="", "", "human-oral")</f>
        <v>0</v>
      </c>
      <c r="D756" s="1">
        <f>IF(B756="", "", "human oral metagenome")</f>
        <v>0</v>
      </c>
      <c r="E756" s="1">
        <f>IF(B756="", "", "447426")</f>
        <v>0</v>
      </c>
    </row>
    <row r="757" spans="1:5">
      <c r="A757">
        <f>IF(COUNTBLANK(B757:E757)&lt;&gt;COLUMNS(B757:E757),756,"")</f>
        <v>0</v>
      </c>
      <c r="C757" s="1">
        <f>IF(B757="", "", "human-oral")</f>
        <v>0</v>
      </c>
      <c r="D757" s="1">
        <f>IF(B757="", "", "human oral metagenome")</f>
        <v>0</v>
      </c>
      <c r="E757" s="1">
        <f>IF(B757="", "", "447426")</f>
        <v>0</v>
      </c>
    </row>
    <row r="758" spans="1:5">
      <c r="A758">
        <f>IF(COUNTBLANK(B758:E758)&lt;&gt;COLUMNS(B758:E758),757,"")</f>
        <v>0</v>
      </c>
      <c r="C758" s="1">
        <f>IF(B758="", "", "human-oral")</f>
        <v>0</v>
      </c>
      <c r="D758" s="1">
        <f>IF(B758="", "", "human oral metagenome")</f>
        <v>0</v>
      </c>
      <c r="E758" s="1">
        <f>IF(B758="", "", "447426")</f>
        <v>0</v>
      </c>
    </row>
    <row r="759" spans="1:5">
      <c r="A759">
        <f>IF(COUNTBLANK(B759:E759)&lt;&gt;COLUMNS(B759:E759),758,"")</f>
        <v>0</v>
      </c>
      <c r="C759" s="1">
        <f>IF(B759="", "", "human-oral")</f>
        <v>0</v>
      </c>
      <c r="D759" s="1">
        <f>IF(B759="", "", "human oral metagenome")</f>
        <v>0</v>
      </c>
      <c r="E759" s="1">
        <f>IF(B759="", "", "447426")</f>
        <v>0</v>
      </c>
    </row>
    <row r="760" spans="1:5">
      <c r="A760">
        <f>IF(COUNTBLANK(B760:E760)&lt;&gt;COLUMNS(B760:E760),759,"")</f>
        <v>0</v>
      </c>
      <c r="C760" s="1">
        <f>IF(B760="", "", "human-oral")</f>
        <v>0</v>
      </c>
      <c r="D760" s="1">
        <f>IF(B760="", "", "human oral metagenome")</f>
        <v>0</v>
      </c>
      <c r="E760" s="1">
        <f>IF(B760="", "", "447426")</f>
        <v>0</v>
      </c>
    </row>
    <row r="761" spans="1:5">
      <c r="A761">
        <f>IF(COUNTBLANK(B761:E761)&lt;&gt;COLUMNS(B761:E761),760,"")</f>
        <v>0</v>
      </c>
      <c r="C761" s="1">
        <f>IF(B761="", "", "human-oral")</f>
        <v>0</v>
      </c>
      <c r="D761" s="1">
        <f>IF(B761="", "", "human oral metagenome")</f>
        <v>0</v>
      </c>
      <c r="E761" s="1">
        <f>IF(B761="", "", "447426")</f>
        <v>0</v>
      </c>
    </row>
    <row r="762" spans="1:5">
      <c r="A762">
        <f>IF(COUNTBLANK(B762:E762)&lt;&gt;COLUMNS(B762:E762),761,"")</f>
        <v>0</v>
      </c>
      <c r="C762" s="1">
        <f>IF(B762="", "", "human-oral")</f>
        <v>0</v>
      </c>
      <c r="D762" s="1">
        <f>IF(B762="", "", "human oral metagenome")</f>
        <v>0</v>
      </c>
      <c r="E762" s="1">
        <f>IF(B762="", "", "447426")</f>
        <v>0</v>
      </c>
    </row>
    <row r="763" spans="1:5">
      <c r="A763">
        <f>IF(COUNTBLANK(B763:E763)&lt;&gt;COLUMNS(B763:E763),762,"")</f>
        <v>0</v>
      </c>
      <c r="C763" s="1">
        <f>IF(B763="", "", "human-oral")</f>
        <v>0</v>
      </c>
      <c r="D763" s="1">
        <f>IF(B763="", "", "human oral metagenome")</f>
        <v>0</v>
      </c>
      <c r="E763" s="1">
        <f>IF(B763="", "", "447426")</f>
        <v>0</v>
      </c>
    </row>
    <row r="764" spans="1:5">
      <c r="A764">
        <f>IF(COUNTBLANK(B764:E764)&lt;&gt;COLUMNS(B764:E764),763,"")</f>
        <v>0</v>
      </c>
      <c r="C764" s="1">
        <f>IF(B764="", "", "human-oral")</f>
        <v>0</v>
      </c>
      <c r="D764" s="1">
        <f>IF(B764="", "", "human oral metagenome")</f>
        <v>0</v>
      </c>
      <c r="E764" s="1">
        <f>IF(B764="", "", "447426")</f>
        <v>0</v>
      </c>
    </row>
    <row r="765" spans="1:5">
      <c r="A765">
        <f>IF(COUNTBLANK(B765:E765)&lt;&gt;COLUMNS(B765:E765),764,"")</f>
        <v>0</v>
      </c>
      <c r="C765" s="1">
        <f>IF(B765="", "", "human-oral")</f>
        <v>0</v>
      </c>
      <c r="D765" s="1">
        <f>IF(B765="", "", "human oral metagenome")</f>
        <v>0</v>
      </c>
      <c r="E765" s="1">
        <f>IF(B765="", "", "447426")</f>
        <v>0</v>
      </c>
    </row>
    <row r="766" spans="1:5">
      <c r="A766">
        <f>IF(COUNTBLANK(B766:E766)&lt;&gt;COLUMNS(B766:E766),765,"")</f>
        <v>0</v>
      </c>
      <c r="C766" s="1">
        <f>IF(B766="", "", "human-oral")</f>
        <v>0</v>
      </c>
      <c r="D766" s="1">
        <f>IF(B766="", "", "human oral metagenome")</f>
        <v>0</v>
      </c>
      <c r="E766" s="1">
        <f>IF(B766="", "", "447426")</f>
        <v>0</v>
      </c>
    </row>
    <row r="767" spans="1:5">
      <c r="A767">
        <f>IF(COUNTBLANK(B767:E767)&lt;&gt;COLUMNS(B767:E767),766,"")</f>
        <v>0</v>
      </c>
      <c r="C767" s="1">
        <f>IF(B767="", "", "human-oral")</f>
        <v>0</v>
      </c>
      <c r="D767" s="1">
        <f>IF(B767="", "", "human oral metagenome")</f>
        <v>0</v>
      </c>
      <c r="E767" s="1">
        <f>IF(B767="", "", "447426")</f>
        <v>0</v>
      </c>
    </row>
    <row r="768" spans="1:5">
      <c r="A768">
        <f>IF(COUNTBLANK(B768:E768)&lt;&gt;COLUMNS(B768:E768),767,"")</f>
        <v>0</v>
      </c>
      <c r="C768" s="1">
        <f>IF(B768="", "", "human-oral")</f>
        <v>0</v>
      </c>
      <c r="D768" s="1">
        <f>IF(B768="", "", "human oral metagenome")</f>
        <v>0</v>
      </c>
      <c r="E768" s="1">
        <f>IF(B768="", "", "447426")</f>
        <v>0</v>
      </c>
    </row>
    <row r="769" spans="1:5">
      <c r="A769">
        <f>IF(COUNTBLANK(B769:E769)&lt;&gt;COLUMNS(B769:E769),768,"")</f>
        <v>0</v>
      </c>
      <c r="C769" s="1">
        <f>IF(B769="", "", "human-oral")</f>
        <v>0</v>
      </c>
      <c r="D769" s="1">
        <f>IF(B769="", "", "human oral metagenome")</f>
        <v>0</v>
      </c>
      <c r="E769" s="1">
        <f>IF(B769="", "", "447426")</f>
        <v>0</v>
      </c>
    </row>
    <row r="770" spans="1:5">
      <c r="A770">
        <f>IF(COUNTBLANK(B770:E770)&lt;&gt;COLUMNS(B770:E770),769,"")</f>
        <v>0</v>
      </c>
      <c r="C770" s="1">
        <f>IF(B770="", "", "human-oral")</f>
        <v>0</v>
      </c>
      <c r="D770" s="1">
        <f>IF(B770="", "", "human oral metagenome")</f>
        <v>0</v>
      </c>
      <c r="E770" s="1">
        <f>IF(B770="", "", "447426")</f>
        <v>0</v>
      </c>
    </row>
    <row r="771" spans="1:5">
      <c r="A771">
        <f>IF(COUNTBLANK(B771:E771)&lt;&gt;COLUMNS(B771:E771),770,"")</f>
        <v>0</v>
      </c>
      <c r="C771" s="1">
        <f>IF(B771="", "", "human-oral")</f>
        <v>0</v>
      </c>
      <c r="D771" s="1">
        <f>IF(B771="", "", "human oral metagenome")</f>
        <v>0</v>
      </c>
      <c r="E771" s="1">
        <f>IF(B771="", "", "447426")</f>
        <v>0</v>
      </c>
    </row>
    <row r="772" spans="1:5">
      <c r="A772">
        <f>IF(COUNTBLANK(B772:E772)&lt;&gt;COLUMNS(B772:E772),771,"")</f>
        <v>0</v>
      </c>
      <c r="C772" s="1">
        <f>IF(B772="", "", "human-oral")</f>
        <v>0</v>
      </c>
      <c r="D772" s="1">
        <f>IF(B772="", "", "human oral metagenome")</f>
        <v>0</v>
      </c>
      <c r="E772" s="1">
        <f>IF(B772="", "", "447426")</f>
        <v>0</v>
      </c>
    </row>
    <row r="773" spans="1:5">
      <c r="A773">
        <f>IF(COUNTBLANK(B773:E773)&lt;&gt;COLUMNS(B773:E773),772,"")</f>
        <v>0</v>
      </c>
      <c r="C773" s="1">
        <f>IF(B773="", "", "human-oral")</f>
        <v>0</v>
      </c>
      <c r="D773" s="1">
        <f>IF(B773="", "", "human oral metagenome")</f>
        <v>0</v>
      </c>
      <c r="E773" s="1">
        <f>IF(B773="", "", "447426")</f>
        <v>0</v>
      </c>
    </row>
    <row r="774" spans="1:5">
      <c r="A774">
        <f>IF(COUNTBLANK(B774:E774)&lt;&gt;COLUMNS(B774:E774),773,"")</f>
        <v>0</v>
      </c>
      <c r="C774" s="1">
        <f>IF(B774="", "", "human-oral")</f>
        <v>0</v>
      </c>
      <c r="D774" s="1">
        <f>IF(B774="", "", "human oral metagenome")</f>
        <v>0</v>
      </c>
      <c r="E774" s="1">
        <f>IF(B774="", "", "447426")</f>
        <v>0</v>
      </c>
    </row>
    <row r="775" spans="1:5">
      <c r="A775">
        <f>IF(COUNTBLANK(B775:E775)&lt;&gt;COLUMNS(B775:E775),774,"")</f>
        <v>0</v>
      </c>
      <c r="C775" s="1">
        <f>IF(B775="", "", "human-oral")</f>
        <v>0</v>
      </c>
      <c r="D775" s="1">
        <f>IF(B775="", "", "human oral metagenome")</f>
        <v>0</v>
      </c>
      <c r="E775" s="1">
        <f>IF(B775="", "", "447426")</f>
        <v>0</v>
      </c>
    </row>
    <row r="776" spans="1:5">
      <c r="A776">
        <f>IF(COUNTBLANK(B776:E776)&lt;&gt;COLUMNS(B776:E776),775,"")</f>
        <v>0</v>
      </c>
      <c r="C776" s="1">
        <f>IF(B776="", "", "human-oral")</f>
        <v>0</v>
      </c>
      <c r="D776" s="1">
        <f>IF(B776="", "", "human oral metagenome")</f>
        <v>0</v>
      </c>
      <c r="E776" s="1">
        <f>IF(B776="", "", "447426")</f>
        <v>0</v>
      </c>
    </row>
    <row r="777" spans="1:5">
      <c r="A777">
        <f>IF(COUNTBLANK(B777:E777)&lt;&gt;COLUMNS(B777:E777),776,"")</f>
        <v>0</v>
      </c>
      <c r="C777" s="1">
        <f>IF(B777="", "", "human-oral")</f>
        <v>0</v>
      </c>
      <c r="D777" s="1">
        <f>IF(B777="", "", "human oral metagenome")</f>
        <v>0</v>
      </c>
      <c r="E777" s="1">
        <f>IF(B777="", "", "447426")</f>
        <v>0</v>
      </c>
    </row>
    <row r="778" spans="1:5">
      <c r="A778">
        <f>IF(COUNTBLANK(B778:E778)&lt;&gt;COLUMNS(B778:E778),777,"")</f>
        <v>0</v>
      </c>
      <c r="C778" s="1">
        <f>IF(B778="", "", "human-oral")</f>
        <v>0</v>
      </c>
      <c r="D778" s="1">
        <f>IF(B778="", "", "human oral metagenome")</f>
        <v>0</v>
      </c>
      <c r="E778" s="1">
        <f>IF(B778="", "", "447426")</f>
        <v>0</v>
      </c>
    </row>
    <row r="779" spans="1:5">
      <c r="A779">
        <f>IF(COUNTBLANK(B779:E779)&lt;&gt;COLUMNS(B779:E779),778,"")</f>
        <v>0</v>
      </c>
      <c r="C779" s="1">
        <f>IF(B779="", "", "human-oral")</f>
        <v>0</v>
      </c>
      <c r="D779" s="1">
        <f>IF(B779="", "", "human oral metagenome")</f>
        <v>0</v>
      </c>
      <c r="E779" s="1">
        <f>IF(B779="", "", "447426")</f>
        <v>0</v>
      </c>
    </row>
    <row r="780" spans="1:5">
      <c r="A780">
        <f>IF(COUNTBLANK(B780:E780)&lt;&gt;COLUMNS(B780:E780),779,"")</f>
        <v>0</v>
      </c>
      <c r="C780" s="1">
        <f>IF(B780="", "", "human-oral")</f>
        <v>0</v>
      </c>
      <c r="D780" s="1">
        <f>IF(B780="", "", "human oral metagenome")</f>
        <v>0</v>
      </c>
      <c r="E780" s="1">
        <f>IF(B780="", "", "447426")</f>
        <v>0</v>
      </c>
    </row>
    <row r="781" spans="1:5">
      <c r="A781">
        <f>IF(COUNTBLANK(B781:E781)&lt;&gt;COLUMNS(B781:E781),780,"")</f>
        <v>0</v>
      </c>
      <c r="C781" s="1">
        <f>IF(B781="", "", "human-oral")</f>
        <v>0</v>
      </c>
      <c r="D781" s="1">
        <f>IF(B781="", "", "human oral metagenome")</f>
        <v>0</v>
      </c>
      <c r="E781" s="1">
        <f>IF(B781="", "", "447426")</f>
        <v>0</v>
      </c>
    </row>
    <row r="782" spans="1:5">
      <c r="A782">
        <f>IF(COUNTBLANK(B782:E782)&lt;&gt;COLUMNS(B782:E782),781,"")</f>
        <v>0</v>
      </c>
      <c r="C782" s="1">
        <f>IF(B782="", "", "human-oral")</f>
        <v>0</v>
      </c>
      <c r="D782" s="1">
        <f>IF(B782="", "", "human oral metagenome")</f>
        <v>0</v>
      </c>
      <c r="E782" s="1">
        <f>IF(B782="", "", "447426")</f>
        <v>0</v>
      </c>
    </row>
    <row r="783" spans="1:5">
      <c r="A783">
        <f>IF(COUNTBLANK(B783:E783)&lt;&gt;COLUMNS(B783:E783),782,"")</f>
        <v>0</v>
      </c>
      <c r="C783" s="1">
        <f>IF(B783="", "", "human-oral")</f>
        <v>0</v>
      </c>
      <c r="D783" s="1">
        <f>IF(B783="", "", "human oral metagenome")</f>
        <v>0</v>
      </c>
      <c r="E783" s="1">
        <f>IF(B783="", "", "447426")</f>
        <v>0</v>
      </c>
    </row>
    <row r="784" spans="1:5">
      <c r="A784">
        <f>IF(COUNTBLANK(B784:E784)&lt;&gt;COLUMNS(B784:E784),783,"")</f>
        <v>0</v>
      </c>
      <c r="C784" s="1">
        <f>IF(B784="", "", "human-oral")</f>
        <v>0</v>
      </c>
      <c r="D784" s="1">
        <f>IF(B784="", "", "human oral metagenome")</f>
        <v>0</v>
      </c>
      <c r="E784" s="1">
        <f>IF(B784="", "", "447426")</f>
        <v>0</v>
      </c>
    </row>
    <row r="785" spans="1:5">
      <c r="A785">
        <f>IF(COUNTBLANK(B785:E785)&lt;&gt;COLUMNS(B785:E785),784,"")</f>
        <v>0</v>
      </c>
      <c r="C785" s="1">
        <f>IF(B785="", "", "human-oral")</f>
        <v>0</v>
      </c>
      <c r="D785" s="1">
        <f>IF(B785="", "", "human oral metagenome")</f>
        <v>0</v>
      </c>
      <c r="E785" s="1">
        <f>IF(B785="", "", "447426")</f>
        <v>0</v>
      </c>
    </row>
    <row r="786" spans="1:5">
      <c r="A786">
        <f>IF(COUNTBLANK(B786:E786)&lt;&gt;COLUMNS(B786:E786),785,"")</f>
        <v>0</v>
      </c>
      <c r="C786" s="1">
        <f>IF(B786="", "", "human-oral")</f>
        <v>0</v>
      </c>
      <c r="D786" s="1">
        <f>IF(B786="", "", "human oral metagenome")</f>
        <v>0</v>
      </c>
      <c r="E786" s="1">
        <f>IF(B786="", "", "447426")</f>
        <v>0</v>
      </c>
    </row>
    <row r="787" spans="1:5">
      <c r="A787">
        <f>IF(COUNTBLANK(B787:E787)&lt;&gt;COLUMNS(B787:E787),786,"")</f>
        <v>0</v>
      </c>
      <c r="C787" s="1">
        <f>IF(B787="", "", "human-oral")</f>
        <v>0</v>
      </c>
      <c r="D787" s="1">
        <f>IF(B787="", "", "human oral metagenome")</f>
        <v>0</v>
      </c>
      <c r="E787" s="1">
        <f>IF(B787="", "", "447426")</f>
        <v>0</v>
      </c>
    </row>
    <row r="788" spans="1:5">
      <c r="A788">
        <f>IF(COUNTBLANK(B788:E788)&lt;&gt;COLUMNS(B788:E788),787,"")</f>
        <v>0</v>
      </c>
      <c r="C788" s="1">
        <f>IF(B788="", "", "human-oral")</f>
        <v>0</v>
      </c>
      <c r="D788" s="1">
        <f>IF(B788="", "", "human oral metagenome")</f>
        <v>0</v>
      </c>
      <c r="E788" s="1">
        <f>IF(B788="", "", "447426")</f>
        <v>0</v>
      </c>
    </row>
    <row r="789" spans="1:5">
      <c r="A789">
        <f>IF(COUNTBLANK(B789:E789)&lt;&gt;COLUMNS(B789:E789),788,"")</f>
        <v>0</v>
      </c>
      <c r="C789" s="1">
        <f>IF(B789="", "", "human-oral")</f>
        <v>0</v>
      </c>
      <c r="D789" s="1">
        <f>IF(B789="", "", "human oral metagenome")</f>
        <v>0</v>
      </c>
      <c r="E789" s="1">
        <f>IF(B789="", "", "447426")</f>
        <v>0</v>
      </c>
    </row>
    <row r="790" spans="1:5">
      <c r="A790">
        <f>IF(COUNTBLANK(B790:E790)&lt;&gt;COLUMNS(B790:E790),789,"")</f>
        <v>0</v>
      </c>
      <c r="C790" s="1">
        <f>IF(B790="", "", "human-oral")</f>
        <v>0</v>
      </c>
      <c r="D790" s="1">
        <f>IF(B790="", "", "human oral metagenome")</f>
        <v>0</v>
      </c>
      <c r="E790" s="1">
        <f>IF(B790="", "", "447426")</f>
        <v>0</v>
      </c>
    </row>
    <row r="791" spans="1:5">
      <c r="A791">
        <f>IF(COUNTBLANK(B791:E791)&lt;&gt;COLUMNS(B791:E791),790,"")</f>
        <v>0</v>
      </c>
      <c r="C791" s="1">
        <f>IF(B791="", "", "human-oral")</f>
        <v>0</v>
      </c>
      <c r="D791" s="1">
        <f>IF(B791="", "", "human oral metagenome")</f>
        <v>0</v>
      </c>
      <c r="E791" s="1">
        <f>IF(B791="", "", "447426")</f>
        <v>0</v>
      </c>
    </row>
    <row r="792" spans="1:5">
      <c r="A792">
        <f>IF(COUNTBLANK(B792:E792)&lt;&gt;COLUMNS(B792:E792),791,"")</f>
        <v>0</v>
      </c>
      <c r="C792" s="1">
        <f>IF(B792="", "", "human-oral")</f>
        <v>0</v>
      </c>
      <c r="D792" s="1">
        <f>IF(B792="", "", "human oral metagenome")</f>
        <v>0</v>
      </c>
      <c r="E792" s="1">
        <f>IF(B792="", "", "447426")</f>
        <v>0</v>
      </c>
    </row>
    <row r="793" spans="1:5">
      <c r="A793">
        <f>IF(COUNTBLANK(B793:E793)&lt;&gt;COLUMNS(B793:E793),792,"")</f>
        <v>0</v>
      </c>
      <c r="C793" s="1">
        <f>IF(B793="", "", "human-oral")</f>
        <v>0</v>
      </c>
      <c r="D793" s="1">
        <f>IF(B793="", "", "human oral metagenome")</f>
        <v>0</v>
      </c>
      <c r="E793" s="1">
        <f>IF(B793="", "", "447426")</f>
        <v>0</v>
      </c>
    </row>
    <row r="794" spans="1:5">
      <c r="A794">
        <f>IF(COUNTBLANK(B794:E794)&lt;&gt;COLUMNS(B794:E794),793,"")</f>
        <v>0</v>
      </c>
      <c r="C794" s="1">
        <f>IF(B794="", "", "human-oral")</f>
        <v>0</v>
      </c>
      <c r="D794" s="1">
        <f>IF(B794="", "", "human oral metagenome")</f>
        <v>0</v>
      </c>
      <c r="E794" s="1">
        <f>IF(B794="", "", "447426")</f>
        <v>0</v>
      </c>
    </row>
    <row r="795" spans="1:5">
      <c r="A795">
        <f>IF(COUNTBLANK(B795:E795)&lt;&gt;COLUMNS(B795:E795),794,"")</f>
        <v>0</v>
      </c>
      <c r="C795" s="1">
        <f>IF(B795="", "", "human-oral")</f>
        <v>0</v>
      </c>
      <c r="D795" s="1">
        <f>IF(B795="", "", "human oral metagenome")</f>
        <v>0</v>
      </c>
      <c r="E795" s="1">
        <f>IF(B795="", "", "447426")</f>
        <v>0</v>
      </c>
    </row>
    <row r="796" spans="1:5">
      <c r="A796">
        <f>IF(COUNTBLANK(B796:E796)&lt;&gt;COLUMNS(B796:E796),795,"")</f>
        <v>0</v>
      </c>
      <c r="C796" s="1">
        <f>IF(B796="", "", "human-oral")</f>
        <v>0</v>
      </c>
      <c r="D796" s="1">
        <f>IF(B796="", "", "human oral metagenome")</f>
        <v>0</v>
      </c>
      <c r="E796" s="1">
        <f>IF(B796="", "", "447426")</f>
        <v>0</v>
      </c>
    </row>
    <row r="797" spans="1:5">
      <c r="A797">
        <f>IF(COUNTBLANK(B797:E797)&lt;&gt;COLUMNS(B797:E797),796,"")</f>
        <v>0</v>
      </c>
      <c r="C797" s="1">
        <f>IF(B797="", "", "human-oral")</f>
        <v>0</v>
      </c>
      <c r="D797" s="1">
        <f>IF(B797="", "", "human oral metagenome")</f>
        <v>0</v>
      </c>
      <c r="E797" s="1">
        <f>IF(B797="", "", "447426")</f>
        <v>0</v>
      </c>
    </row>
    <row r="798" spans="1:5">
      <c r="A798">
        <f>IF(COUNTBLANK(B798:E798)&lt;&gt;COLUMNS(B798:E798),797,"")</f>
        <v>0</v>
      </c>
      <c r="C798" s="1">
        <f>IF(B798="", "", "human-oral")</f>
        <v>0</v>
      </c>
      <c r="D798" s="1">
        <f>IF(B798="", "", "human oral metagenome")</f>
        <v>0</v>
      </c>
      <c r="E798" s="1">
        <f>IF(B798="", "", "447426")</f>
        <v>0</v>
      </c>
    </row>
    <row r="799" spans="1:5">
      <c r="A799">
        <f>IF(COUNTBLANK(B799:E799)&lt;&gt;COLUMNS(B799:E799),798,"")</f>
        <v>0</v>
      </c>
      <c r="C799" s="1">
        <f>IF(B799="", "", "human-oral")</f>
        <v>0</v>
      </c>
      <c r="D799" s="1">
        <f>IF(B799="", "", "human oral metagenome")</f>
        <v>0</v>
      </c>
      <c r="E799" s="1">
        <f>IF(B799="", "", "447426")</f>
        <v>0</v>
      </c>
    </row>
    <row r="800" spans="1:5">
      <c r="A800">
        <f>IF(COUNTBLANK(B800:E800)&lt;&gt;COLUMNS(B800:E800),799,"")</f>
        <v>0</v>
      </c>
      <c r="C800" s="1">
        <f>IF(B800="", "", "human-oral")</f>
        <v>0</v>
      </c>
      <c r="D800" s="1">
        <f>IF(B800="", "", "human oral metagenome")</f>
        <v>0</v>
      </c>
      <c r="E800" s="1">
        <f>IF(B800="", "", "447426")</f>
        <v>0</v>
      </c>
    </row>
    <row r="801" spans="1:5">
      <c r="A801">
        <f>IF(COUNTBLANK(B801:E801)&lt;&gt;COLUMNS(B801:E801),800,"")</f>
        <v>0</v>
      </c>
      <c r="C801" s="1">
        <f>IF(B801="", "", "human-oral")</f>
        <v>0</v>
      </c>
      <c r="D801" s="1">
        <f>IF(B801="", "", "human oral metagenome")</f>
        <v>0</v>
      </c>
      <c r="E801" s="1">
        <f>IF(B801="", "", "447426")</f>
        <v>0</v>
      </c>
    </row>
    <row r="802" spans="1:5">
      <c r="A802">
        <f>IF(COUNTBLANK(B802:E802)&lt;&gt;COLUMNS(B802:E802),801,"")</f>
        <v>0</v>
      </c>
      <c r="C802" s="1">
        <f>IF(B802="", "", "human-oral")</f>
        <v>0</v>
      </c>
      <c r="D802" s="1">
        <f>IF(B802="", "", "human oral metagenome")</f>
        <v>0</v>
      </c>
      <c r="E802" s="1">
        <f>IF(B802="", "", "447426")</f>
        <v>0</v>
      </c>
    </row>
    <row r="803" spans="1:5">
      <c r="A803">
        <f>IF(COUNTBLANK(B803:E803)&lt;&gt;COLUMNS(B803:E803),802,"")</f>
        <v>0</v>
      </c>
      <c r="C803" s="1">
        <f>IF(B803="", "", "human-oral")</f>
        <v>0</v>
      </c>
      <c r="D803" s="1">
        <f>IF(B803="", "", "human oral metagenome")</f>
        <v>0</v>
      </c>
      <c r="E803" s="1">
        <f>IF(B803="", "", "447426")</f>
        <v>0</v>
      </c>
    </row>
    <row r="804" spans="1:5">
      <c r="A804">
        <f>IF(COUNTBLANK(B804:E804)&lt;&gt;COLUMNS(B804:E804),803,"")</f>
        <v>0</v>
      </c>
      <c r="C804" s="1">
        <f>IF(B804="", "", "human-oral")</f>
        <v>0</v>
      </c>
      <c r="D804" s="1">
        <f>IF(B804="", "", "human oral metagenome")</f>
        <v>0</v>
      </c>
      <c r="E804" s="1">
        <f>IF(B804="", "", "447426")</f>
        <v>0</v>
      </c>
    </row>
    <row r="805" spans="1:5">
      <c r="A805">
        <f>IF(COUNTBLANK(B805:E805)&lt;&gt;COLUMNS(B805:E805),804,"")</f>
        <v>0</v>
      </c>
      <c r="C805" s="1">
        <f>IF(B805="", "", "human-oral")</f>
        <v>0</v>
      </c>
      <c r="D805" s="1">
        <f>IF(B805="", "", "human oral metagenome")</f>
        <v>0</v>
      </c>
      <c r="E805" s="1">
        <f>IF(B805="", "", "447426")</f>
        <v>0</v>
      </c>
    </row>
    <row r="806" spans="1:5">
      <c r="A806">
        <f>IF(COUNTBLANK(B806:E806)&lt;&gt;COLUMNS(B806:E806),805,"")</f>
        <v>0</v>
      </c>
      <c r="C806" s="1">
        <f>IF(B806="", "", "human-oral")</f>
        <v>0</v>
      </c>
      <c r="D806" s="1">
        <f>IF(B806="", "", "human oral metagenome")</f>
        <v>0</v>
      </c>
      <c r="E806" s="1">
        <f>IF(B806="", "", "447426")</f>
        <v>0</v>
      </c>
    </row>
    <row r="807" spans="1:5">
      <c r="A807">
        <f>IF(COUNTBLANK(B807:E807)&lt;&gt;COLUMNS(B807:E807),806,"")</f>
        <v>0</v>
      </c>
      <c r="C807" s="1">
        <f>IF(B807="", "", "human-oral")</f>
        <v>0</v>
      </c>
      <c r="D807" s="1">
        <f>IF(B807="", "", "human oral metagenome")</f>
        <v>0</v>
      </c>
      <c r="E807" s="1">
        <f>IF(B807="", "", "447426")</f>
        <v>0</v>
      </c>
    </row>
    <row r="808" spans="1:5">
      <c r="A808">
        <f>IF(COUNTBLANK(B808:E808)&lt;&gt;COLUMNS(B808:E808),807,"")</f>
        <v>0</v>
      </c>
      <c r="C808" s="1">
        <f>IF(B808="", "", "human-oral")</f>
        <v>0</v>
      </c>
      <c r="D808" s="1">
        <f>IF(B808="", "", "human oral metagenome")</f>
        <v>0</v>
      </c>
      <c r="E808" s="1">
        <f>IF(B808="", "", "447426")</f>
        <v>0</v>
      </c>
    </row>
    <row r="809" spans="1:5">
      <c r="A809">
        <f>IF(COUNTBLANK(B809:E809)&lt;&gt;COLUMNS(B809:E809),808,"")</f>
        <v>0</v>
      </c>
      <c r="C809" s="1">
        <f>IF(B809="", "", "human-oral")</f>
        <v>0</v>
      </c>
      <c r="D809" s="1">
        <f>IF(B809="", "", "human oral metagenome")</f>
        <v>0</v>
      </c>
      <c r="E809" s="1">
        <f>IF(B809="", "", "447426")</f>
        <v>0</v>
      </c>
    </row>
    <row r="810" spans="1:5">
      <c r="A810">
        <f>IF(COUNTBLANK(B810:E810)&lt;&gt;COLUMNS(B810:E810),809,"")</f>
        <v>0</v>
      </c>
      <c r="C810" s="1">
        <f>IF(B810="", "", "human-oral")</f>
        <v>0</v>
      </c>
      <c r="D810" s="1">
        <f>IF(B810="", "", "human oral metagenome")</f>
        <v>0</v>
      </c>
      <c r="E810" s="1">
        <f>IF(B810="", "", "447426")</f>
        <v>0</v>
      </c>
    </row>
    <row r="811" spans="1:5">
      <c r="A811">
        <f>IF(COUNTBLANK(B811:E811)&lt;&gt;COLUMNS(B811:E811),810,"")</f>
        <v>0</v>
      </c>
      <c r="C811" s="1">
        <f>IF(B811="", "", "human-oral")</f>
        <v>0</v>
      </c>
      <c r="D811" s="1">
        <f>IF(B811="", "", "human oral metagenome")</f>
        <v>0</v>
      </c>
      <c r="E811" s="1">
        <f>IF(B811="", "", "447426")</f>
        <v>0</v>
      </c>
    </row>
    <row r="812" spans="1:5">
      <c r="A812">
        <f>IF(COUNTBLANK(B812:E812)&lt;&gt;COLUMNS(B812:E812),811,"")</f>
        <v>0</v>
      </c>
      <c r="C812" s="1">
        <f>IF(B812="", "", "human-oral")</f>
        <v>0</v>
      </c>
      <c r="D812" s="1">
        <f>IF(B812="", "", "human oral metagenome")</f>
        <v>0</v>
      </c>
      <c r="E812" s="1">
        <f>IF(B812="", "", "447426")</f>
        <v>0</v>
      </c>
    </row>
    <row r="813" spans="1:5">
      <c r="A813">
        <f>IF(COUNTBLANK(B813:E813)&lt;&gt;COLUMNS(B813:E813),812,"")</f>
        <v>0</v>
      </c>
      <c r="C813" s="1">
        <f>IF(B813="", "", "human-oral")</f>
        <v>0</v>
      </c>
      <c r="D813" s="1">
        <f>IF(B813="", "", "human oral metagenome")</f>
        <v>0</v>
      </c>
      <c r="E813" s="1">
        <f>IF(B813="", "", "447426")</f>
        <v>0</v>
      </c>
    </row>
    <row r="814" spans="1:5">
      <c r="A814">
        <f>IF(COUNTBLANK(B814:E814)&lt;&gt;COLUMNS(B814:E814),813,"")</f>
        <v>0</v>
      </c>
      <c r="C814" s="1">
        <f>IF(B814="", "", "human-oral")</f>
        <v>0</v>
      </c>
      <c r="D814" s="1">
        <f>IF(B814="", "", "human oral metagenome")</f>
        <v>0</v>
      </c>
      <c r="E814" s="1">
        <f>IF(B814="", "", "447426")</f>
        <v>0</v>
      </c>
    </row>
    <row r="815" spans="1:5">
      <c r="A815">
        <f>IF(COUNTBLANK(B815:E815)&lt;&gt;COLUMNS(B815:E815),814,"")</f>
        <v>0</v>
      </c>
      <c r="C815" s="1">
        <f>IF(B815="", "", "human-oral")</f>
        <v>0</v>
      </c>
      <c r="D815" s="1">
        <f>IF(B815="", "", "human oral metagenome")</f>
        <v>0</v>
      </c>
      <c r="E815" s="1">
        <f>IF(B815="", "", "447426")</f>
        <v>0</v>
      </c>
    </row>
    <row r="816" spans="1:5">
      <c r="A816">
        <f>IF(COUNTBLANK(B816:E816)&lt;&gt;COLUMNS(B816:E816),815,"")</f>
        <v>0</v>
      </c>
      <c r="C816" s="1">
        <f>IF(B816="", "", "human-oral")</f>
        <v>0</v>
      </c>
      <c r="D816" s="1">
        <f>IF(B816="", "", "human oral metagenome")</f>
        <v>0</v>
      </c>
      <c r="E816" s="1">
        <f>IF(B816="", "", "447426")</f>
        <v>0</v>
      </c>
    </row>
    <row r="817" spans="1:5">
      <c r="A817">
        <f>IF(COUNTBLANK(B817:E817)&lt;&gt;COLUMNS(B817:E817),816,"")</f>
        <v>0</v>
      </c>
      <c r="C817" s="1">
        <f>IF(B817="", "", "human-oral")</f>
        <v>0</v>
      </c>
      <c r="D817" s="1">
        <f>IF(B817="", "", "human oral metagenome")</f>
        <v>0</v>
      </c>
      <c r="E817" s="1">
        <f>IF(B817="", "", "447426")</f>
        <v>0</v>
      </c>
    </row>
    <row r="818" spans="1:5">
      <c r="A818">
        <f>IF(COUNTBLANK(B818:E818)&lt;&gt;COLUMNS(B818:E818),817,"")</f>
        <v>0</v>
      </c>
      <c r="C818" s="1">
        <f>IF(B818="", "", "human-oral")</f>
        <v>0</v>
      </c>
      <c r="D818" s="1">
        <f>IF(B818="", "", "human oral metagenome")</f>
        <v>0</v>
      </c>
      <c r="E818" s="1">
        <f>IF(B818="", "", "447426")</f>
        <v>0</v>
      </c>
    </row>
    <row r="819" spans="1:5">
      <c r="A819">
        <f>IF(COUNTBLANK(B819:E819)&lt;&gt;COLUMNS(B819:E819),818,"")</f>
        <v>0</v>
      </c>
      <c r="C819" s="1">
        <f>IF(B819="", "", "human-oral")</f>
        <v>0</v>
      </c>
      <c r="D819" s="1">
        <f>IF(B819="", "", "human oral metagenome")</f>
        <v>0</v>
      </c>
      <c r="E819" s="1">
        <f>IF(B819="", "", "447426")</f>
        <v>0</v>
      </c>
    </row>
    <row r="820" spans="1:5">
      <c r="A820">
        <f>IF(COUNTBLANK(B820:E820)&lt;&gt;COLUMNS(B820:E820),819,"")</f>
        <v>0</v>
      </c>
      <c r="C820" s="1">
        <f>IF(B820="", "", "human-oral")</f>
        <v>0</v>
      </c>
      <c r="D820" s="1">
        <f>IF(B820="", "", "human oral metagenome")</f>
        <v>0</v>
      </c>
      <c r="E820" s="1">
        <f>IF(B820="", "", "447426")</f>
        <v>0</v>
      </c>
    </row>
    <row r="821" spans="1:5">
      <c r="A821">
        <f>IF(COUNTBLANK(B821:E821)&lt;&gt;COLUMNS(B821:E821),820,"")</f>
        <v>0</v>
      </c>
      <c r="C821" s="1">
        <f>IF(B821="", "", "human-oral")</f>
        <v>0</v>
      </c>
      <c r="D821" s="1">
        <f>IF(B821="", "", "human oral metagenome")</f>
        <v>0</v>
      </c>
      <c r="E821" s="1">
        <f>IF(B821="", "", "447426")</f>
        <v>0</v>
      </c>
    </row>
    <row r="822" spans="1:5">
      <c r="A822">
        <f>IF(COUNTBLANK(B822:E822)&lt;&gt;COLUMNS(B822:E822),821,"")</f>
        <v>0</v>
      </c>
      <c r="C822" s="1">
        <f>IF(B822="", "", "human-oral")</f>
        <v>0</v>
      </c>
      <c r="D822" s="1">
        <f>IF(B822="", "", "human oral metagenome")</f>
        <v>0</v>
      </c>
      <c r="E822" s="1">
        <f>IF(B822="", "", "447426")</f>
        <v>0</v>
      </c>
    </row>
    <row r="823" spans="1:5">
      <c r="A823">
        <f>IF(COUNTBLANK(B823:E823)&lt;&gt;COLUMNS(B823:E823),822,"")</f>
        <v>0</v>
      </c>
      <c r="C823" s="1">
        <f>IF(B823="", "", "human-oral")</f>
        <v>0</v>
      </c>
      <c r="D823" s="1">
        <f>IF(B823="", "", "human oral metagenome")</f>
        <v>0</v>
      </c>
      <c r="E823" s="1">
        <f>IF(B823="", "", "447426")</f>
        <v>0</v>
      </c>
    </row>
    <row r="824" spans="1:5">
      <c r="A824">
        <f>IF(COUNTBLANK(B824:E824)&lt;&gt;COLUMNS(B824:E824),823,"")</f>
        <v>0</v>
      </c>
      <c r="C824" s="1">
        <f>IF(B824="", "", "human-oral")</f>
        <v>0</v>
      </c>
      <c r="D824" s="1">
        <f>IF(B824="", "", "human oral metagenome")</f>
        <v>0</v>
      </c>
      <c r="E824" s="1">
        <f>IF(B824="", "", "447426")</f>
        <v>0</v>
      </c>
    </row>
    <row r="825" spans="1:5">
      <c r="A825">
        <f>IF(COUNTBLANK(B825:E825)&lt;&gt;COLUMNS(B825:E825),824,"")</f>
        <v>0</v>
      </c>
      <c r="C825" s="1">
        <f>IF(B825="", "", "human-oral")</f>
        <v>0</v>
      </c>
      <c r="D825" s="1">
        <f>IF(B825="", "", "human oral metagenome")</f>
        <v>0</v>
      </c>
      <c r="E825" s="1">
        <f>IF(B825="", "", "447426")</f>
        <v>0</v>
      </c>
    </row>
    <row r="826" spans="1:5">
      <c r="A826">
        <f>IF(COUNTBLANK(B826:E826)&lt;&gt;COLUMNS(B826:E826),825,"")</f>
        <v>0</v>
      </c>
      <c r="C826" s="1">
        <f>IF(B826="", "", "human-oral")</f>
        <v>0</v>
      </c>
      <c r="D826" s="1">
        <f>IF(B826="", "", "human oral metagenome")</f>
        <v>0</v>
      </c>
      <c r="E826" s="1">
        <f>IF(B826="", "", "447426")</f>
        <v>0</v>
      </c>
    </row>
    <row r="827" spans="1:5">
      <c r="A827">
        <f>IF(COUNTBLANK(B827:E827)&lt;&gt;COLUMNS(B827:E827),826,"")</f>
        <v>0</v>
      </c>
      <c r="C827" s="1">
        <f>IF(B827="", "", "human-oral")</f>
        <v>0</v>
      </c>
      <c r="D827" s="1">
        <f>IF(B827="", "", "human oral metagenome")</f>
        <v>0</v>
      </c>
      <c r="E827" s="1">
        <f>IF(B827="", "", "447426")</f>
        <v>0</v>
      </c>
    </row>
    <row r="828" spans="1:5">
      <c r="A828">
        <f>IF(COUNTBLANK(B828:E828)&lt;&gt;COLUMNS(B828:E828),827,"")</f>
        <v>0</v>
      </c>
      <c r="C828" s="1">
        <f>IF(B828="", "", "human-oral")</f>
        <v>0</v>
      </c>
      <c r="D828" s="1">
        <f>IF(B828="", "", "human oral metagenome")</f>
        <v>0</v>
      </c>
      <c r="E828" s="1">
        <f>IF(B828="", "", "447426")</f>
        <v>0</v>
      </c>
    </row>
    <row r="829" spans="1:5">
      <c r="A829">
        <f>IF(COUNTBLANK(B829:E829)&lt;&gt;COLUMNS(B829:E829),828,"")</f>
        <v>0</v>
      </c>
      <c r="C829" s="1">
        <f>IF(B829="", "", "human-oral")</f>
        <v>0</v>
      </c>
      <c r="D829" s="1">
        <f>IF(B829="", "", "human oral metagenome")</f>
        <v>0</v>
      </c>
      <c r="E829" s="1">
        <f>IF(B829="", "", "447426")</f>
        <v>0</v>
      </c>
    </row>
    <row r="830" spans="1:5">
      <c r="A830">
        <f>IF(COUNTBLANK(B830:E830)&lt;&gt;COLUMNS(B830:E830),829,"")</f>
        <v>0</v>
      </c>
      <c r="C830" s="1">
        <f>IF(B830="", "", "human-oral")</f>
        <v>0</v>
      </c>
      <c r="D830" s="1">
        <f>IF(B830="", "", "human oral metagenome")</f>
        <v>0</v>
      </c>
      <c r="E830" s="1">
        <f>IF(B830="", "", "447426")</f>
        <v>0</v>
      </c>
    </row>
    <row r="831" spans="1:5">
      <c r="A831">
        <f>IF(COUNTBLANK(B831:E831)&lt;&gt;COLUMNS(B831:E831),830,"")</f>
        <v>0</v>
      </c>
      <c r="C831" s="1">
        <f>IF(B831="", "", "human-oral")</f>
        <v>0</v>
      </c>
      <c r="D831" s="1">
        <f>IF(B831="", "", "human oral metagenome")</f>
        <v>0</v>
      </c>
      <c r="E831" s="1">
        <f>IF(B831="", "", "447426")</f>
        <v>0</v>
      </c>
    </row>
    <row r="832" spans="1:5">
      <c r="A832">
        <f>IF(COUNTBLANK(B832:E832)&lt;&gt;COLUMNS(B832:E832),831,"")</f>
        <v>0</v>
      </c>
      <c r="C832" s="1">
        <f>IF(B832="", "", "human-oral")</f>
        <v>0</v>
      </c>
      <c r="D832" s="1">
        <f>IF(B832="", "", "human oral metagenome")</f>
        <v>0</v>
      </c>
      <c r="E832" s="1">
        <f>IF(B832="", "", "447426")</f>
        <v>0</v>
      </c>
    </row>
    <row r="833" spans="1:5">
      <c r="A833">
        <f>IF(COUNTBLANK(B833:E833)&lt;&gt;COLUMNS(B833:E833),832,"")</f>
        <v>0</v>
      </c>
      <c r="C833" s="1">
        <f>IF(B833="", "", "human-oral")</f>
        <v>0</v>
      </c>
      <c r="D833" s="1">
        <f>IF(B833="", "", "human oral metagenome")</f>
        <v>0</v>
      </c>
      <c r="E833" s="1">
        <f>IF(B833="", "", "447426")</f>
        <v>0</v>
      </c>
    </row>
    <row r="834" spans="1:5">
      <c r="A834">
        <f>IF(COUNTBLANK(B834:E834)&lt;&gt;COLUMNS(B834:E834),833,"")</f>
        <v>0</v>
      </c>
      <c r="C834" s="1">
        <f>IF(B834="", "", "human-oral")</f>
        <v>0</v>
      </c>
      <c r="D834" s="1">
        <f>IF(B834="", "", "human oral metagenome")</f>
        <v>0</v>
      </c>
      <c r="E834" s="1">
        <f>IF(B834="", "", "447426")</f>
        <v>0</v>
      </c>
    </row>
    <row r="835" spans="1:5">
      <c r="A835">
        <f>IF(COUNTBLANK(B835:E835)&lt;&gt;COLUMNS(B835:E835),834,"")</f>
        <v>0</v>
      </c>
      <c r="C835" s="1">
        <f>IF(B835="", "", "human-oral")</f>
        <v>0</v>
      </c>
      <c r="D835" s="1">
        <f>IF(B835="", "", "human oral metagenome")</f>
        <v>0</v>
      </c>
      <c r="E835" s="1">
        <f>IF(B835="", "", "447426")</f>
        <v>0</v>
      </c>
    </row>
    <row r="836" spans="1:5">
      <c r="A836">
        <f>IF(COUNTBLANK(B836:E836)&lt;&gt;COLUMNS(B836:E836),835,"")</f>
        <v>0</v>
      </c>
      <c r="C836" s="1">
        <f>IF(B836="", "", "human-oral")</f>
        <v>0</v>
      </c>
      <c r="D836" s="1">
        <f>IF(B836="", "", "human oral metagenome")</f>
        <v>0</v>
      </c>
      <c r="E836" s="1">
        <f>IF(B836="", "", "447426")</f>
        <v>0</v>
      </c>
    </row>
    <row r="837" spans="1:5">
      <c r="A837">
        <f>IF(COUNTBLANK(B837:E837)&lt;&gt;COLUMNS(B837:E837),836,"")</f>
        <v>0</v>
      </c>
      <c r="C837" s="1">
        <f>IF(B837="", "", "human-oral")</f>
        <v>0</v>
      </c>
      <c r="D837" s="1">
        <f>IF(B837="", "", "human oral metagenome")</f>
        <v>0</v>
      </c>
      <c r="E837" s="1">
        <f>IF(B837="", "", "447426")</f>
        <v>0</v>
      </c>
    </row>
    <row r="838" spans="1:5">
      <c r="A838">
        <f>IF(COUNTBLANK(B838:E838)&lt;&gt;COLUMNS(B838:E838),837,"")</f>
        <v>0</v>
      </c>
      <c r="C838" s="1">
        <f>IF(B838="", "", "human-oral")</f>
        <v>0</v>
      </c>
      <c r="D838" s="1">
        <f>IF(B838="", "", "human oral metagenome")</f>
        <v>0</v>
      </c>
      <c r="E838" s="1">
        <f>IF(B838="", "", "447426")</f>
        <v>0</v>
      </c>
    </row>
    <row r="839" spans="1:5">
      <c r="A839">
        <f>IF(COUNTBLANK(B839:E839)&lt;&gt;COLUMNS(B839:E839),838,"")</f>
        <v>0</v>
      </c>
      <c r="C839" s="1">
        <f>IF(B839="", "", "human-oral")</f>
        <v>0</v>
      </c>
      <c r="D839" s="1">
        <f>IF(B839="", "", "human oral metagenome")</f>
        <v>0</v>
      </c>
      <c r="E839" s="1">
        <f>IF(B839="", "", "447426")</f>
        <v>0</v>
      </c>
    </row>
    <row r="840" spans="1:5">
      <c r="A840">
        <f>IF(COUNTBLANK(B840:E840)&lt;&gt;COLUMNS(B840:E840),839,"")</f>
        <v>0</v>
      </c>
      <c r="C840" s="1">
        <f>IF(B840="", "", "human-oral")</f>
        <v>0</v>
      </c>
      <c r="D840" s="1">
        <f>IF(B840="", "", "human oral metagenome")</f>
        <v>0</v>
      </c>
      <c r="E840" s="1">
        <f>IF(B840="", "", "447426")</f>
        <v>0</v>
      </c>
    </row>
    <row r="841" spans="1:5">
      <c r="A841">
        <f>IF(COUNTBLANK(B841:E841)&lt;&gt;COLUMNS(B841:E841),840,"")</f>
        <v>0</v>
      </c>
      <c r="C841" s="1">
        <f>IF(B841="", "", "human-oral")</f>
        <v>0</v>
      </c>
      <c r="D841" s="1">
        <f>IF(B841="", "", "human oral metagenome")</f>
        <v>0</v>
      </c>
      <c r="E841" s="1">
        <f>IF(B841="", "", "447426")</f>
        <v>0</v>
      </c>
    </row>
    <row r="842" spans="1:5">
      <c r="A842">
        <f>IF(COUNTBLANK(B842:E842)&lt;&gt;COLUMNS(B842:E842),841,"")</f>
        <v>0</v>
      </c>
      <c r="C842" s="1">
        <f>IF(B842="", "", "human-oral")</f>
        <v>0</v>
      </c>
      <c r="D842" s="1">
        <f>IF(B842="", "", "human oral metagenome")</f>
        <v>0</v>
      </c>
      <c r="E842" s="1">
        <f>IF(B842="", "", "447426")</f>
        <v>0</v>
      </c>
    </row>
    <row r="843" spans="1:5">
      <c r="A843">
        <f>IF(COUNTBLANK(B843:E843)&lt;&gt;COLUMNS(B843:E843),842,"")</f>
        <v>0</v>
      </c>
      <c r="C843" s="1">
        <f>IF(B843="", "", "human-oral")</f>
        <v>0</v>
      </c>
      <c r="D843" s="1">
        <f>IF(B843="", "", "human oral metagenome")</f>
        <v>0</v>
      </c>
      <c r="E843" s="1">
        <f>IF(B843="", "", "447426")</f>
        <v>0</v>
      </c>
    </row>
    <row r="844" spans="1:5">
      <c r="A844">
        <f>IF(COUNTBLANK(B844:E844)&lt;&gt;COLUMNS(B844:E844),843,"")</f>
        <v>0</v>
      </c>
      <c r="C844" s="1">
        <f>IF(B844="", "", "human-oral")</f>
        <v>0</v>
      </c>
      <c r="D844" s="1">
        <f>IF(B844="", "", "human oral metagenome")</f>
        <v>0</v>
      </c>
      <c r="E844" s="1">
        <f>IF(B844="", "", "447426")</f>
        <v>0</v>
      </c>
    </row>
    <row r="845" spans="1:5">
      <c r="A845">
        <f>IF(COUNTBLANK(B845:E845)&lt;&gt;COLUMNS(B845:E845),844,"")</f>
        <v>0</v>
      </c>
      <c r="C845" s="1">
        <f>IF(B845="", "", "human-oral")</f>
        <v>0</v>
      </c>
      <c r="D845" s="1">
        <f>IF(B845="", "", "human oral metagenome")</f>
        <v>0</v>
      </c>
      <c r="E845" s="1">
        <f>IF(B845="", "", "447426")</f>
        <v>0</v>
      </c>
    </row>
    <row r="846" spans="1:5">
      <c r="A846">
        <f>IF(COUNTBLANK(B846:E846)&lt;&gt;COLUMNS(B846:E846),845,"")</f>
        <v>0</v>
      </c>
      <c r="C846" s="1">
        <f>IF(B846="", "", "human-oral")</f>
        <v>0</v>
      </c>
      <c r="D846" s="1">
        <f>IF(B846="", "", "human oral metagenome")</f>
        <v>0</v>
      </c>
      <c r="E846" s="1">
        <f>IF(B846="", "", "447426")</f>
        <v>0</v>
      </c>
    </row>
    <row r="847" spans="1:5">
      <c r="A847">
        <f>IF(COUNTBLANK(B847:E847)&lt;&gt;COLUMNS(B847:E847),846,"")</f>
        <v>0</v>
      </c>
      <c r="C847" s="1">
        <f>IF(B847="", "", "human-oral")</f>
        <v>0</v>
      </c>
      <c r="D847" s="1">
        <f>IF(B847="", "", "human oral metagenome")</f>
        <v>0</v>
      </c>
      <c r="E847" s="1">
        <f>IF(B847="", "", "447426")</f>
        <v>0</v>
      </c>
    </row>
    <row r="848" spans="1:5">
      <c r="A848">
        <f>IF(COUNTBLANK(B848:E848)&lt;&gt;COLUMNS(B848:E848),847,"")</f>
        <v>0</v>
      </c>
      <c r="C848" s="1">
        <f>IF(B848="", "", "human-oral")</f>
        <v>0</v>
      </c>
      <c r="D848" s="1">
        <f>IF(B848="", "", "human oral metagenome")</f>
        <v>0</v>
      </c>
      <c r="E848" s="1">
        <f>IF(B848="", "", "447426")</f>
        <v>0</v>
      </c>
    </row>
    <row r="849" spans="1:5">
      <c r="A849">
        <f>IF(COUNTBLANK(B849:E849)&lt;&gt;COLUMNS(B849:E849),848,"")</f>
        <v>0</v>
      </c>
      <c r="C849" s="1">
        <f>IF(B849="", "", "human-oral")</f>
        <v>0</v>
      </c>
      <c r="D849" s="1">
        <f>IF(B849="", "", "human oral metagenome")</f>
        <v>0</v>
      </c>
      <c r="E849" s="1">
        <f>IF(B849="", "", "447426")</f>
        <v>0</v>
      </c>
    </row>
    <row r="850" spans="1:5">
      <c r="A850">
        <f>IF(COUNTBLANK(B850:E850)&lt;&gt;COLUMNS(B850:E850),849,"")</f>
        <v>0</v>
      </c>
      <c r="C850" s="1">
        <f>IF(B850="", "", "human-oral")</f>
        <v>0</v>
      </c>
      <c r="D850" s="1">
        <f>IF(B850="", "", "human oral metagenome")</f>
        <v>0</v>
      </c>
      <c r="E850" s="1">
        <f>IF(B850="", "", "447426")</f>
        <v>0</v>
      </c>
    </row>
    <row r="851" spans="1:5">
      <c r="A851">
        <f>IF(COUNTBLANK(B851:E851)&lt;&gt;COLUMNS(B851:E851),850,"")</f>
        <v>0</v>
      </c>
      <c r="C851" s="1">
        <f>IF(B851="", "", "human-oral")</f>
        <v>0</v>
      </c>
      <c r="D851" s="1">
        <f>IF(B851="", "", "human oral metagenome")</f>
        <v>0</v>
      </c>
      <c r="E851" s="1">
        <f>IF(B851="", "", "447426")</f>
        <v>0</v>
      </c>
    </row>
    <row r="852" spans="1:5">
      <c r="A852">
        <f>IF(COUNTBLANK(B852:E852)&lt;&gt;COLUMNS(B852:E852),851,"")</f>
        <v>0</v>
      </c>
      <c r="C852" s="1">
        <f>IF(B852="", "", "human-oral")</f>
        <v>0</v>
      </c>
      <c r="D852" s="1">
        <f>IF(B852="", "", "human oral metagenome")</f>
        <v>0</v>
      </c>
      <c r="E852" s="1">
        <f>IF(B852="", "", "447426")</f>
        <v>0</v>
      </c>
    </row>
    <row r="853" spans="1:5">
      <c r="A853">
        <f>IF(COUNTBLANK(B853:E853)&lt;&gt;COLUMNS(B853:E853),852,"")</f>
        <v>0</v>
      </c>
      <c r="C853" s="1">
        <f>IF(B853="", "", "human-oral")</f>
        <v>0</v>
      </c>
      <c r="D853" s="1">
        <f>IF(B853="", "", "human oral metagenome")</f>
        <v>0</v>
      </c>
      <c r="E853" s="1">
        <f>IF(B853="", "", "447426")</f>
        <v>0</v>
      </c>
    </row>
    <row r="854" spans="1:5">
      <c r="A854">
        <f>IF(COUNTBLANK(B854:E854)&lt;&gt;COLUMNS(B854:E854),853,"")</f>
        <v>0</v>
      </c>
      <c r="C854" s="1">
        <f>IF(B854="", "", "human-oral")</f>
        <v>0</v>
      </c>
      <c r="D854" s="1">
        <f>IF(B854="", "", "human oral metagenome")</f>
        <v>0</v>
      </c>
      <c r="E854" s="1">
        <f>IF(B854="", "", "447426")</f>
        <v>0</v>
      </c>
    </row>
    <row r="855" spans="1:5">
      <c r="A855">
        <f>IF(COUNTBLANK(B855:E855)&lt;&gt;COLUMNS(B855:E855),854,"")</f>
        <v>0</v>
      </c>
      <c r="C855" s="1">
        <f>IF(B855="", "", "human-oral")</f>
        <v>0</v>
      </c>
      <c r="D855" s="1">
        <f>IF(B855="", "", "human oral metagenome")</f>
        <v>0</v>
      </c>
      <c r="E855" s="1">
        <f>IF(B855="", "", "447426")</f>
        <v>0</v>
      </c>
    </row>
    <row r="856" spans="1:5">
      <c r="A856">
        <f>IF(COUNTBLANK(B856:E856)&lt;&gt;COLUMNS(B856:E856),855,"")</f>
        <v>0</v>
      </c>
      <c r="C856" s="1">
        <f>IF(B856="", "", "human-oral")</f>
        <v>0</v>
      </c>
      <c r="D856" s="1">
        <f>IF(B856="", "", "human oral metagenome")</f>
        <v>0</v>
      </c>
      <c r="E856" s="1">
        <f>IF(B856="", "", "447426")</f>
        <v>0</v>
      </c>
    </row>
    <row r="857" spans="1:5">
      <c r="A857">
        <f>IF(COUNTBLANK(B857:E857)&lt;&gt;COLUMNS(B857:E857),856,"")</f>
        <v>0</v>
      </c>
      <c r="C857" s="1">
        <f>IF(B857="", "", "human-oral")</f>
        <v>0</v>
      </c>
      <c r="D857" s="1">
        <f>IF(B857="", "", "human oral metagenome")</f>
        <v>0</v>
      </c>
      <c r="E857" s="1">
        <f>IF(B857="", "", "447426")</f>
        <v>0</v>
      </c>
    </row>
    <row r="858" spans="1:5">
      <c r="A858">
        <f>IF(COUNTBLANK(B858:E858)&lt;&gt;COLUMNS(B858:E858),857,"")</f>
        <v>0</v>
      </c>
      <c r="C858" s="1">
        <f>IF(B858="", "", "human-oral")</f>
        <v>0</v>
      </c>
      <c r="D858" s="1">
        <f>IF(B858="", "", "human oral metagenome")</f>
        <v>0</v>
      </c>
      <c r="E858" s="1">
        <f>IF(B858="", "", "447426")</f>
        <v>0</v>
      </c>
    </row>
    <row r="859" spans="1:5">
      <c r="A859">
        <f>IF(COUNTBLANK(B859:E859)&lt;&gt;COLUMNS(B859:E859),858,"")</f>
        <v>0</v>
      </c>
      <c r="C859" s="1">
        <f>IF(B859="", "", "human-oral")</f>
        <v>0</v>
      </c>
      <c r="D859" s="1">
        <f>IF(B859="", "", "human oral metagenome")</f>
        <v>0</v>
      </c>
      <c r="E859" s="1">
        <f>IF(B859="", "", "447426")</f>
        <v>0</v>
      </c>
    </row>
    <row r="860" spans="1:5">
      <c r="A860">
        <f>IF(COUNTBLANK(B860:E860)&lt;&gt;COLUMNS(B860:E860),859,"")</f>
        <v>0</v>
      </c>
      <c r="C860" s="1">
        <f>IF(B860="", "", "human-oral")</f>
        <v>0</v>
      </c>
      <c r="D860" s="1">
        <f>IF(B860="", "", "human oral metagenome")</f>
        <v>0</v>
      </c>
      <c r="E860" s="1">
        <f>IF(B860="", "", "447426")</f>
        <v>0</v>
      </c>
    </row>
    <row r="861" spans="1:5">
      <c r="A861">
        <f>IF(COUNTBLANK(B861:E861)&lt;&gt;COLUMNS(B861:E861),860,"")</f>
        <v>0</v>
      </c>
      <c r="C861" s="1">
        <f>IF(B861="", "", "human-oral")</f>
        <v>0</v>
      </c>
      <c r="D861" s="1">
        <f>IF(B861="", "", "human oral metagenome")</f>
        <v>0</v>
      </c>
      <c r="E861" s="1">
        <f>IF(B861="", "", "447426")</f>
        <v>0</v>
      </c>
    </row>
    <row r="862" spans="1:5">
      <c r="A862">
        <f>IF(COUNTBLANK(B862:E862)&lt;&gt;COLUMNS(B862:E862),861,"")</f>
        <v>0</v>
      </c>
      <c r="C862" s="1">
        <f>IF(B862="", "", "human-oral")</f>
        <v>0</v>
      </c>
      <c r="D862" s="1">
        <f>IF(B862="", "", "human oral metagenome")</f>
        <v>0</v>
      </c>
      <c r="E862" s="1">
        <f>IF(B862="", "", "447426")</f>
        <v>0</v>
      </c>
    </row>
    <row r="863" spans="1:5">
      <c r="A863">
        <f>IF(COUNTBLANK(B863:E863)&lt;&gt;COLUMNS(B863:E863),862,"")</f>
        <v>0</v>
      </c>
      <c r="C863" s="1">
        <f>IF(B863="", "", "human-oral")</f>
        <v>0</v>
      </c>
      <c r="D863" s="1">
        <f>IF(B863="", "", "human oral metagenome")</f>
        <v>0</v>
      </c>
      <c r="E863" s="1">
        <f>IF(B863="", "", "447426")</f>
        <v>0</v>
      </c>
    </row>
    <row r="864" spans="1:5">
      <c r="A864">
        <f>IF(COUNTBLANK(B864:E864)&lt;&gt;COLUMNS(B864:E864),863,"")</f>
        <v>0</v>
      </c>
      <c r="C864" s="1">
        <f>IF(B864="", "", "human-oral")</f>
        <v>0</v>
      </c>
      <c r="D864" s="1">
        <f>IF(B864="", "", "human oral metagenome")</f>
        <v>0</v>
      </c>
      <c r="E864" s="1">
        <f>IF(B864="", "", "447426")</f>
        <v>0</v>
      </c>
    </row>
    <row r="865" spans="1:5">
      <c r="A865">
        <f>IF(COUNTBLANK(B865:E865)&lt;&gt;COLUMNS(B865:E865),864,"")</f>
        <v>0</v>
      </c>
      <c r="C865" s="1">
        <f>IF(B865="", "", "human-oral")</f>
        <v>0</v>
      </c>
      <c r="D865" s="1">
        <f>IF(B865="", "", "human oral metagenome")</f>
        <v>0</v>
      </c>
      <c r="E865" s="1">
        <f>IF(B865="", "", "447426")</f>
        <v>0</v>
      </c>
    </row>
    <row r="866" spans="1:5">
      <c r="A866">
        <f>IF(COUNTBLANK(B866:E866)&lt;&gt;COLUMNS(B866:E866),865,"")</f>
        <v>0</v>
      </c>
      <c r="C866" s="1">
        <f>IF(B866="", "", "human-oral")</f>
        <v>0</v>
      </c>
      <c r="D866" s="1">
        <f>IF(B866="", "", "human oral metagenome")</f>
        <v>0</v>
      </c>
      <c r="E866" s="1">
        <f>IF(B866="", "", "447426")</f>
        <v>0</v>
      </c>
    </row>
    <row r="867" spans="1:5">
      <c r="A867">
        <f>IF(COUNTBLANK(B867:E867)&lt;&gt;COLUMNS(B867:E867),866,"")</f>
        <v>0</v>
      </c>
      <c r="C867" s="1">
        <f>IF(B867="", "", "human-oral")</f>
        <v>0</v>
      </c>
      <c r="D867" s="1">
        <f>IF(B867="", "", "human oral metagenome")</f>
        <v>0</v>
      </c>
      <c r="E867" s="1">
        <f>IF(B867="", "", "447426")</f>
        <v>0</v>
      </c>
    </row>
    <row r="868" spans="1:5">
      <c r="A868">
        <f>IF(COUNTBLANK(B868:E868)&lt;&gt;COLUMNS(B868:E868),867,"")</f>
        <v>0</v>
      </c>
      <c r="C868" s="1">
        <f>IF(B868="", "", "human-oral")</f>
        <v>0</v>
      </c>
      <c r="D868" s="1">
        <f>IF(B868="", "", "human oral metagenome")</f>
        <v>0</v>
      </c>
      <c r="E868" s="1">
        <f>IF(B868="", "", "447426")</f>
        <v>0</v>
      </c>
    </row>
    <row r="869" spans="1:5">
      <c r="A869">
        <f>IF(COUNTBLANK(B869:E869)&lt;&gt;COLUMNS(B869:E869),868,"")</f>
        <v>0</v>
      </c>
      <c r="C869" s="1">
        <f>IF(B869="", "", "human-oral")</f>
        <v>0</v>
      </c>
      <c r="D869" s="1">
        <f>IF(B869="", "", "human oral metagenome")</f>
        <v>0</v>
      </c>
      <c r="E869" s="1">
        <f>IF(B869="", "", "447426")</f>
        <v>0</v>
      </c>
    </row>
    <row r="870" spans="1:5">
      <c r="A870">
        <f>IF(COUNTBLANK(B870:E870)&lt;&gt;COLUMNS(B870:E870),869,"")</f>
        <v>0</v>
      </c>
      <c r="C870" s="1">
        <f>IF(B870="", "", "human-oral")</f>
        <v>0</v>
      </c>
      <c r="D870" s="1">
        <f>IF(B870="", "", "human oral metagenome")</f>
        <v>0</v>
      </c>
      <c r="E870" s="1">
        <f>IF(B870="", "", "447426")</f>
        <v>0</v>
      </c>
    </row>
    <row r="871" spans="1:5">
      <c r="A871">
        <f>IF(COUNTBLANK(B871:E871)&lt;&gt;COLUMNS(B871:E871),870,"")</f>
        <v>0</v>
      </c>
      <c r="C871" s="1">
        <f>IF(B871="", "", "human-oral")</f>
        <v>0</v>
      </c>
      <c r="D871" s="1">
        <f>IF(B871="", "", "human oral metagenome")</f>
        <v>0</v>
      </c>
      <c r="E871" s="1">
        <f>IF(B871="", "", "447426")</f>
        <v>0</v>
      </c>
    </row>
    <row r="872" spans="1:5">
      <c r="A872">
        <f>IF(COUNTBLANK(B872:E872)&lt;&gt;COLUMNS(B872:E872),871,"")</f>
        <v>0</v>
      </c>
      <c r="C872" s="1">
        <f>IF(B872="", "", "human-oral")</f>
        <v>0</v>
      </c>
      <c r="D872" s="1">
        <f>IF(B872="", "", "human oral metagenome")</f>
        <v>0</v>
      </c>
      <c r="E872" s="1">
        <f>IF(B872="", "", "447426")</f>
        <v>0</v>
      </c>
    </row>
    <row r="873" spans="1:5">
      <c r="A873">
        <f>IF(COUNTBLANK(B873:E873)&lt;&gt;COLUMNS(B873:E873),872,"")</f>
        <v>0</v>
      </c>
      <c r="C873" s="1">
        <f>IF(B873="", "", "human-oral")</f>
        <v>0</v>
      </c>
      <c r="D873" s="1">
        <f>IF(B873="", "", "human oral metagenome")</f>
        <v>0</v>
      </c>
      <c r="E873" s="1">
        <f>IF(B873="", "", "447426")</f>
        <v>0</v>
      </c>
    </row>
    <row r="874" spans="1:5">
      <c r="A874">
        <f>IF(COUNTBLANK(B874:E874)&lt;&gt;COLUMNS(B874:E874),873,"")</f>
        <v>0</v>
      </c>
      <c r="C874" s="1">
        <f>IF(B874="", "", "human-oral")</f>
        <v>0</v>
      </c>
      <c r="D874" s="1">
        <f>IF(B874="", "", "human oral metagenome")</f>
        <v>0</v>
      </c>
      <c r="E874" s="1">
        <f>IF(B874="", "", "447426")</f>
        <v>0</v>
      </c>
    </row>
    <row r="875" spans="1:5">
      <c r="A875">
        <f>IF(COUNTBLANK(B875:E875)&lt;&gt;COLUMNS(B875:E875),874,"")</f>
        <v>0</v>
      </c>
      <c r="C875" s="1">
        <f>IF(B875="", "", "human-oral")</f>
        <v>0</v>
      </c>
      <c r="D875" s="1">
        <f>IF(B875="", "", "human oral metagenome")</f>
        <v>0</v>
      </c>
      <c r="E875" s="1">
        <f>IF(B875="", "", "447426")</f>
        <v>0</v>
      </c>
    </row>
    <row r="876" spans="1:5">
      <c r="A876">
        <f>IF(COUNTBLANK(B876:E876)&lt;&gt;COLUMNS(B876:E876),875,"")</f>
        <v>0</v>
      </c>
      <c r="C876" s="1">
        <f>IF(B876="", "", "human-oral")</f>
        <v>0</v>
      </c>
      <c r="D876" s="1">
        <f>IF(B876="", "", "human oral metagenome")</f>
        <v>0</v>
      </c>
      <c r="E876" s="1">
        <f>IF(B876="", "", "447426")</f>
        <v>0</v>
      </c>
    </row>
    <row r="877" spans="1:5">
      <c r="A877">
        <f>IF(COUNTBLANK(B877:E877)&lt;&gt;COLUMNS(B877:E877),876,"")</f>
        <v>0</v>
      </c>
      <c r="C877" s="1">
        <f>IF(B877="", "", "human-oral")</f>
        <v>0</v>
      </c>
      <c r="D877" s="1">
        <f>IF(B877="", "", "human oral metagenome")</f>
        <v>0</v>
      </c>
      <c r="E877" s="1">
        <f>IF(B877="", "", "447426")</f>
        <v>0</v>
      </c>
    </row>
    <row r="878" spans="1:5">
      <c r="A878">
        <f>IF(COUNTBLANK(B878:E878)&lt;&gt;COLUMNS(B878:E878),877,"")</f>
        <v>0</v>
      </c>
      <c r="C878" s="1">
        <f>IF(B878="", "", "human-oral")</f>
        <v>0</v>
      </c>
      <c r="D878" s="1">
        <f>IF(B878="", "", "human oral metagenome")</f>
        <v>0</v>
      </c>
      <c r="E878" s="1">
        <f>IF(B878="", "", "447426")</f>
        <v>0</v>
      </c>
    </row>
    <row r="879" spans="1:5">
      <c r="A879">
        <f>IF(COUNTBLANK(B879:E879)&lt;&gt;COLUMNS(B879:E879),878,"")</f>
        <v>0</v>
      </c>
      <c r="C879" s="1">
        <f>IF(B879="", "", "human-oral")</f>
        <v>0</v>
      </c>
      <c r="D879" s="1">
        <f>IF(B879="", "", "human oral metagenome")</f>
        <v>0</v>
      </c>
      <c r="E879" s="1">
        <f>IF(B879="", "", "447426")</f>
        <v>0</v>
      </c>
    </row>
    <row r="880" spans="1:5">
      <c r="A880">
        <f>IF(COUNTBLANK(B880:E880)&lt;&gt;COLUMNS(B880:E880),879,"")</f>
        <v>0</v>
      </c>
      <c r="C880" s="1">
        <f>IF(B880="", "", "human-oral")</f>
        <v>0</v>
      </c>
      <c r="D880" s="1">
        <f>IF(B880="", "", "human oral metagenome")</f>
        <v>0</v>
      </c>
      <c r="E880" s="1">
        <f>IF(B880="", "", "447426")</f>
        <v>0</v>
      </c>
    </row>
    <row r="881" spans="1:5">
      <c r="A881">
        <f>IF(COUNTBLANK(B881:E881)&lt;&gt;COLUMNS(B881:E881),880,"")</f>
        <v>0</v>
      </c>
      <c r="C881" s="1">
        <f>IF(B881="", "", "human-oral")</f>
        <v>0</v>
      </c>
      <c r="D881" s="1">
        <f>IF(B881="", "", "human oral metagenome")</f>
        <v>0</v>
      </c>
      <c r="E881" s="1">
        <f>IF(B881="", "", "447426")</f>
        <v>0</v>
      </c>
    </row>
    <row r="882" spans="1:5">
      <c r="A882">
        <f>IF(COUNTBLANK(B882:E882)&lt;&gt;COLUMNS(B882:E882),881,"")</f>
        <v>0</v>
      </c>
      <c r="C882" s="1">
        <f>IF(B882="", "", "human-oral")</f>
        <v>0</v>
      </c>
      <c r="D882" s="1">
        <f>IF(B882="", "", "human oral metagenome")</f>
        <v>0</v>
      </c>
      <c r="E882" s="1">
        <f>IF(B882="", "", "447426")</f>
        <v>0</v>
      </c>
    </row>
    <row r="883" spans="1:5">
      <c r="A883">
        <f>IF(COUNTBLANK(B883:E883)&lt;&gt;COLUMNS(B883:E883),882,"")</f>
        <v>0</v>
      </c>
      <c r="C883" s="1">
        <f>IF(B883="", "", "human-oral")</f>
        <v>0</v>
      </c>
      <c r="D883" s="1">
        <f>IF(B883="", "", "human oral metagenome")</f>
        <v>0</v>
      </c>
      <c r="E883" s="1">
        <f>IF(B883="", "", "447426")</f>
        <v>0</v>
      </c>
    </row>
    <row r="884" spans="1:5">
      <c r="A884">
        <f>IF(COUNTBLANK(B884:E884)&lt;&gt;COLUMNS(B884:E884),883,"")</f>
        <v>0</v>
      </c>
      <c r="C884" s="1">
        <f>IF(B884="", "", "human-oral")</f>
        <v>0</v>
      </c>
      <c r="D884" s="1">
        <f>IF(B884="", "", "human oral metagenome")</f>
        <v>0</v>
      </c>
      <c r="E884" s="1">
        <f>IF(B884="", "", "447426")</f>
        <v>0</v>
      </c>
    </row>
    <row r="885" spans="1:5">
      <c r="A885">
        <f>IF(COUNTBLANK(B885:E885)&lt;&gt;COLUMNS(B885:E885),884,"")</f>
        <v>0</v>
      </c>
      <c r="C885" s="1">
        <f>IF(B885="", "", "human-oral")</f>
        <v>0</v>
      </c>
      <c r="D885" s="1">
        <f>IF(B885="", "", "human oral metagenome")</f>
        <v>0</v>
      </c>
      <c r="E885" s="1">
        <f>IF(B885="", "", "447426")</f>
        <v>0</v>
      </c>
    </row>
    <row r="886" spans="1:5">
      <c r="A886">
        <f>IF(COUNTBLANK(B886:E886)&lt;&gt;COLUMNS(B886:E886),885,"")</f>
        <v>0</v>
      </c>
      <c r="C886" s="1">
        <f>IF(B886="", "", "human-oral")</f>
        <v>0</v>
      </c>
      <c r="D886" s="1">
        <f>IF(B886="", "", "human oral metagenome")</f>
        <v>0</v>
      </c>
      <c r="E886" s="1">
        <f>IF(B886="", "", "447426")</f>
        <v>0</v>
      </c>
    </row>
    <row r="887" spans="1:5">
      <c r="A887">
        <f>IF(COUNTBLANK(B887:E887)&lt;&gt;COLUMNS(B887:E887),886,"")</f>
        <v>0</v>
      </c>
      <c r="C887" s="1">
        <f>IF(B887="", "", "human-oral")</f>
        <v>0</v>
      </c>
      <c r="D887" s="1">
        <f>IF(B887="", "", "human oral metagenome")</f>
        <v>0</v>
      </c>
      <c r="E887" s="1">
        <f>IF(B887="", "", "447426")</f>
        <v>0</v>
      </c>
    </row>
    <row r="888" spans="1:5">
      <c r="A888">
        <f>IF(COUNTBLANK(B888:E888)&lt;&gt;COLUMNS(B888:E888),887,"")</f>
        <v>0</v>
      </c>
      <c r="C888" s="1">
        <f>IF(B888="", "", "human-oral")</f>
        <v>0</v>
      </c>
      <c r="D888" s="1">
        <f>IF(B888="", "", "human oral metagenome")</f>
        <v>0</v>
      </c>
      <c r="E888" s="1">
        <f>IF(B888="", "", "447426")</f>
        <v>0</v>
      </c>
    </row>
    <row r="889" spans="1:5">
      <c r="A889">
        <f>IF(COUNTBLANK(B889:E889)&lt;&gt;COLUMNS(B889:E889),888,"")</f>
        <v>0</v>
      </c>
      <c r="C889" s="1">
        <f>IF(B889="", "", "human-oral")</f>
        <v>0</v>
      </c>
      <c r="D889" s="1">
        <f>IF(B889="", "", "human oral metagenome")</f>
        <v>0</v>
      </c>
      <c r="E889" s="1">
        <f>IF(B889="", "", "447426")</f>
        <v>0</v>
      </c>
    </row>
    <row r="890" spans="1:5">
      <c r="A890">
        <f>IF(COUNTBLANK(B890:E890)&lt;&gt;COLUMNS(B890:E890),889,"")</f>
        <v>0</v>
      </c>
      <c r="C890" s="1">
        <f>IF(B890="", "", "human-oral")</f>
        <v>0</v>
      </c>
      <c r="D890" s="1">
        <f>IF(B890="", "", "human oral metagenome")</f>
        <v>0</v>
      </c>
      <c r="E890" s="1">
        <f>IF(B890="", "", "447426")</f>
        <v>0</v>
      </c>
    </row>
    <row r="891" spans="1:5">
      <c r="A891">
        <f>IF(COUNTBLANK(B891:E891)&lt;&gt;COLUMNS(B891:E891),890,"")</f>
        <v>0</v>
      </c>
      <c r="C891" s="1">
        <f>IF(B891="", "", "human-oral")</f>
        <v>0</v>
      </c>
      <c r="D891" s="1">
        <f>IF(B891="", "", "human oral metagenome")</f>
        <v>0</v>
      </c>
      <c r="E891" s="1">
        <f>IF(B891="", "", "447426")</f>
        <v>0</v>
      </c>
    </row>
    <row r="892" spans="1:5">
      <c r="A892">
        <f>IF(COUNTBLANK(B892:E892)&lt;&gt;COLUMNS(B892:E892),891,"")</f>
        <v>0</v>
      </c>
      <c r="C892" s="1">
        <f>IF(B892="", "", "human-oral")</f>
        <v>0</v>
      </c>
      <c r="D892" s="1">
        <f>IF(B892="", "", "human oral metagenome")</f>
        <v>0</v>
      </c>
      <c r="E892" s="1">
        <f>IF(B892="", "", "447426")</f>
        <v>0</v>
      </c>
    </row>
    <row r="893" spans="1:5">
      <c r="A893">
        <f>IF(COUNTBLANK(B893:E893)&lt;&gt;COLUMNS(B893:E893),892,"")</f>
        <v>0</v>
      </c>
      <c r="C893" s="1">
        <f>IF(B893="", "", "human-oral")</f>
        <v>0</v>
      </c>
      <c r="D893" s="1">
        <f>IF(B893="", "", "human oral metagenome")</f>
        <v>0</v>
      </c>
      <c r="E893" s="1">
        <f>IF(B893="", "", "447426")</f>
        <v>0</v>
      </c>
    </row>
    <row r="894" spans="1:5">
      <c r="A894">
        <f>IF(COUNTBLANK(B894:E894)&lt;&gt;COLUMNS(B894:E894),893,"")</f>
        <v>0</v>
      </c>
      <c r="C894" s="1">
        <f>IF(B894="", "", "human-oral")</f>
        <v>0</v>
      </c>
      <c r="D894" s="1">
        <f>IF(B894="", "", "human oral metagenome")</f>
        <v>0</v>
      </c>
      <c r="E894" s="1">
        <f>IF(B894="", "", "447426")</f>
        <v>0</v>
      </c>
    </row>
    <row r="895" spans="1:5">
      <c r="A895">
        <f>IF(COUNTBLANK(B895:E895)&lt;&gt;COLUMNS(B895:E895),894,"")</f>
        <v>0</v>
      </c>
      <c r="C895" s="1">
        <f>IF(B895="", "", "human-oral")</f>
        <v>0</v>
      </c>
      <c r="D895" s="1">
        <f>IF(B895="", "", "human oral metagenome")</f>
        <v>0</v>
      </c>
      <c r="E895" s="1">
        <f>IF(B895="", "", "447426")</f>
        <v>0</v>
      </c>
    </row>
    <row r="896" spans="1:5">
      <c r="A896">
        <f>IF(COUNTBLANK(B896:E896)&lt;&gt;COLUMNS(B896:E896),895,"")</f>
        <v>0</v>
      </c>
      <c r="C896" s="1">
        <f>IF(B896="", "", "human-oral")</f>
        <v>0</v>
      </c>
      <c r="D896" s="1">
        <f>IF(B896="", "", "human oral metagenome")</f>
        <v>0</v>
      </c>
      <c r="E896" s="1">
        <f>IF(B896="", "", "447426")</f>
        <v>0</v>
      </c>
    </row>
    <row r="897" spans="1:5">
      <c r="A897">
        <f>IF(COUNTBLANK(B897:E897)&lt;&gt;COLUMNS(B897:E897),896,"")</f>
        <v>0</v>
      </c>
      <c r="C897" s="1">
        <f>IF(B897="", "", "human-oral")</f>
        <v>0</v>
      </c>
      <c r="D897" s="1">
        <f>IF(B897="", "", "human oral metagenome")</f>
        <v>0</v>
      </c>
      <c r="E897" s="1">
        <f>IF(B897="", "", "447426")</f>
        <v>0</v>
      </c>
    </row>
    <row r="898" spans="1:5">
      <c r="A898">
        <f>IF(COUNTBLANK(B898:E898)&lt;&gt;COLUMNS(B898:E898),897,"")</f>
        <v>0</v>
      </c>
      <c r="C898" s="1">
        <f>IF(B898="", "", "human-oral")</f>
        <v>0</v>
      </c>
      <c r="D898" s="1">
        <f>IF(B898="", "", "human oral metagenome")</f>
        <v>0</v>
      </c>
      <c r="E898" s="1">
        <f>IF(B898="", "", "447426")</f>
        <v>0</v>
      </c>
    </row>
    <row r="899" spans="1:5">
      <c r="A899">
        <f>IF(COUNTBLANK(B899:E899)&lt;&gt;COLUMNS(B899:E899),898,"")</f>
        <v>0</v>
      </c>
      <c r="C899" s="1">
        <f>IF(B899="", "", "human-oral")</f>
        <v>0</v>
      </c>
      <c r="D899" s="1">
        <f>IF(B899="", "", "human oral metagenome")</f>
        <v>0</v>
      </c>
      <c r="E899" s="1">
        <f>IF(B899="", "", "447426")</f>
        <v>0</v>
      </c>
    </row>
    <row r="900" spans="1:5">
      <c r="A900">
        <f>IF(COUNTBLANK(B900:E900)&lt;&gt;COLUMNS(B900:E900),899,"")</f>
        <v>0</v>
      </c>
      <c r="C900" s="1">
        <f>IF(B900="", "", "human-oral")</f>
        <v>0</v>
      </c>
      <c r="D900" s="1">
        <f>IF(B900="", "", "human oral metagenome")</f>
        <v>0</v>
      </c>
      <c r="E900" s="1">
        <f>IF(B900="", "", "447426")</f>
        <v>0</v>
      </c>
    </row>
    <row r="901" spans="1:5">
      <c r="A901">
        <f>IF(COUNTBLANK(B901:E901)&lt;&gt;COLUMNS(B901:E901),900,"")</f>
        <v>0</v>
      </c>
      <c r="C901" s="1">
        <f>IF(B901="", "", "human-oral")</f>
        <v>0</v>
      </c>
      <c r="D901" s="1">
        <f>IF(B901="", "", "human oral metagenome")</f>
        <v>0</v>
      </c>
      <c r="E901" s="1">
        <f>IF(B901="", "", "447426")</f>
        <v>0</v>
      </c>
    </row>
    <row r="902" spans="1:5">
      <c r="A902">
        <f>IF(COUNTBLANK(B902:E902)&lt;&gt;COLUMNS(B902:E902),901,"")</f>
        <v>0</v>
      </c>
      <c r="C902" s="1">
        <f>IF(B902="", "", "human-oral")</f>
        <v>0</v>
      </c>
      <c r="D902" s="1">
        <f>IF(B902="", "", "human oral metagenome")</f>
        <v>0</v>
      </c>
      <c r="E902" s="1">
        <f>IF(B902="", "", "447426")</f>
        <v>0</v>
      </c>
    </row>
    <row r="903" spans="1:5">
      <c r="A903">
        <f>IF(COUNTBLANK(B903:E903)&lt;&gt;COLUMNS(B903:E903),902,"")</f>
        <v>0</v>
      </c>
      <c r="C903" s="1">
        <f>IF(B903="", "", "human-oral")</f>
        <v>0</v>
      </c>
      <c r="D903" s="1">
        <f>IF(B903="", "", "human oral metagenome")</f>
        <v>0</v>
      </c>
      <c r="E903" s="1">
        <f>IF(B903="", "", "447426")</f>
        <v>0</v>
      </c>
    </row>
    <row r="904" spans="1:5">
      <c r="A904">
        <f>IF(COUNTBLANK(B904:E904)&lt;&gt;COLUMNS(B904:E904),903,"")</f>
        <v>0</v>
      </c>
      <c r="C904" s="1">
        <f>IF(B904="", "", "human-oral")</f>
        <v>0</v>
      </c>
      <c r="D904" s="1">
        <f>IF(B904="", "", "human oral metagenome")</f>
        <v>0</v>
      </c>
      <c r="E904" s="1">
        <f>IF(B904="", "", "447426")</f>
        <v>0</v>
      </c>
    </row>
    <row r="905" spans="1:5">
      <c r="A905">
        <f>IF(COUNTBLANK(B905:E905)&lt;&gt;COLUMNS(B905:E905),904,"")</f>
        <v>0</v>
      </c>
      <c r="C905" s="1">
        <f>IF(B905="", "", "human-oral")</f>
        <v>0</v>
      </c>
      <c r="D905" s="1">
        <f>IF(B905="", "", "human oral metagenome")</f>
        <v>0</v>
      </c>
      <c r="E905" s="1">
        <f>IF(B905="", "", "447426")</f>
        <v>0</v>
      </c>
    </row>
    <row r="906" spans="1:5">
      <c r="A906">
        <f>IF(COUNTBLANK(B906:E906)&lt;&gt;COLUMNS(B906:E906),905,"")</f>
        <v>0</v>
      </c>
      <c r="C906" s="1">
        <f>IF(B906="", "", "human-oral")</f>
        <v>0</v>
      </c>
      <c r="D906" s="1">
        <f>IF(B906="", "", "human oral metagenome")</f>
        <v>0</v>
      </c>
      <c r="E906" s="1">
        <f>IF(B906="", "", "447426")</f>
        <v>0</v>
      </c>
    </row>
    <row r="907" spans="1:5">
      <c r="A907">
        <f>IF(COUNTBLANK(B907:E907)&lt;&gt;COLUMNS(B907:E907),906,"")</f>
        <v>0</v>
      </c>
      <c r="C907" s="1">
        <f>IF(B907="", "", "human-oral")</f>
        <v>0</v>
      </c>
      <c r="D907" s="1">
        <f>IF(B907="", "", "human oral metagenome")</f>
        <v>0</v>
      </c>
      <c r="E907" s="1">
        <f>IF(B907="", "", "447426")</f>
        <v>0</v>
      </c>
    </row>
    <row r="908" spans="1:5">
      <c r="A908">
        <f>IF(COUNTBLANK(B908:E908)&lt;&gt;COLUMNS(B908:E908),907,"")</f>
        <v>0</v>
      </c>
      <c r="C908" s="1">
        <f>IF(B908="", "", "human-oral")</f>
        <v>0</v>
      </c>
      <c r="D908" s="1">
        <f>IF(B908="", "", "human oral metagenome")</f>
        <v>0</v>
      </c>
      <c r="E908" s="1">
        <f>IF(B908="", "", "447426")</f>
        <v>0</v>
      </c>
    </row>
    <row r="909" spans="1:5">
      <c r="A909">
        <f>IF(COUNTBLANK(B909:E909)&lt;&gt;COLUMNS(B909:E909),908,"")</f>
        <v>0</v>
      </c>
      <c r="C909" s="1">
        <f>IF(B909="", "", "human-oral")</f>
        <v>0</v>
      </c>
      <c r="D909" s="1">
        <f>IF(B909="", "", "human oral metagenome")</f>
        <v>0</v>
      </c>
      <c r="E909" s="1">
        <f>IF(B909="", "", "447426")</f>
        <v>0</v>
      </c>
    </row>
    <row r="910" spans="1:5">
      <c r="A910">
        <f>IF(COUNTBLANK(B910:E910)&lt;&gt;COLUMNS(B910:E910),909,"")</f>
        <v>0</v>
      </c>
      <c r="C910" s="1">
        <f>IF(B910="", "", "human-oral")</f>
        <v>0</v>
      </c>
      <c r="D910" s="1">
        <f>IF(B910="", "", "human oral metagenome")</f>
        <v>0</v>
      </c>
      <c r="E910" s="1">
        <f>IF(B910="", "", "447426")</f>
        <v>0</v>
      </c>
    </row>
    <row r="911" spans="1:5">
      <c r="A911">
        <f>IF(COUNTBLANK(B911:E911)&lt;&gt;COLUMNS(B911:E911),910,"")</f>
        <v>0</v>
      </c>
      <c r="C911" s="1">
        <f>IF(B911="", "", "human-oral")</f>
        <v>0</v>
      </c>
      <c r="D911" s="1">
        <f>IF(B911="", "", "human oral metagenome")</f>
        <v>0</v>
      </c>
      <c r="E911" s="1">
        <f>IF(B911="", "", "447426")</f>
        <v>0</v>
      </c>
    </row>
    <row r="912" spans="1:5">
      <c r="A912">
        <f>IF(COUNTBLANK(B912:E912)&lt;&gt;COLUMNS(B912:E912),911,"")</f>
        <v>0</v>
      </c>
      <c r="C912" s="1">
        <f>IF(B912="", "", "human-oral")</f>
        <v>0</v>
      </c>
      <c r="D912" s="1">
        <f>IF(B912="", "", "human oral metagenome")</f>
        <v>0</v>
      </c>
      <c r="E912" s="1">
        <f>IF(B912="", "", "447426")</f>
        <v>0</v>
      </c>
    </row>
    <row r="913" spans="1:5">
      <c r="A913">
        <f>IF(COUNTBLANK(B913:E913)&lt;&gt;COLUMNS(B913:E913),912,"")</f>
        <v>0</v>
      </c>
      <c r="C913" s="1">
        <f>IF(B913="", "", "human-oral")</f>
        <v>0</v>
      </c>
      <c r="D913" s="1">
        <f>IF(B913="", "", "human oral metagenome")</f>
        <v>0</v>
      </c>
      <c r="E913" s="1">
        <f>IF(B913="", "", "447426")</f>
        <v>0</v>
      </c>
    </row>
    <row r="914" spans="1:5">
      <c r="A914">
        <f>IF(COUNTBLANK(B914:E914)&lt;&gt;COLUMNS(B914:E914),913,"")</f>
        <v>0</v>
      </c>
      <c r="C914" s="1">
        <f>IF(B914="", "", "human-oral")</f>
        <v>0</v>
      </c>
      <c r="D914" s="1">
        <f>IF(B914="", "", "human oral metagenome")</f>
        <v>0</v>
      </c>
      <c r="E914" s="1">
        <f>IF(B914="", "", "447426")</f>
        <v>0</v>
      </c>
    </row>
    <row r="915" spans="1:5">
      <c r="A915">
        <f>IF(COUNTBLANK(B915:E915)&lt;&gt;COLUMNS(B915:E915),914,"")</f>
        <v>0</v>
      </c>
      <c r="C915" s="1">
        <f>IF(B915="", "", "human-oral")</f>
        <v>0</v>
      </c>
      <c r="D915" s="1">
        <f>IF(B915="", "", "human oral metagenome")</f>
        <v>0</v>
      </c>
      <c r="E915" s="1">
        <f>IF(B915="", "", "447426")</f>
        <v>0</v>
      </c>
    </row>
    <row r="916" spans="1:5">
      <c r="A916">
        <f>IF(COUNTBLANK(B916:E916)&lt;&gt;COLUMNS(B916:E916),915,"")</f>
        <v>0</v>
      </c>
      <c r="C916" s="1">
        <f>IF(B916="", "", "human-oral")</f>
        <v>0</v>
      </c>
      <c r="D916" s="1">
        <f>IF(B916="", "", "human oral metagenome")</f>
        <v>0</v>
      </c>
      <c r="E916" s="1">
        <f>IF(B916="", "", "447426")</f>
        <v>0</v>
      </c>
    </row>
    <row r="917" spans="1:5">
      <c r="A917">
        <f>IF(COUNTBLANK(B917:E917)&lt;&gt;COLUMNS(B917:E917),916,"")</f>
        <v>0</v>
      </c>
      <c r="C917" s="1">
        <f>IF(B917="", "", "human-oral")</f>
        <v>0</v>
      </c>
      <c r="D917" s="1">
        <f>IF(B917="", "", "human oral metagenome")</f>
        <v>0</v>
      </c>
      <c r="E917" s="1">
        <f>IF(B917="", "", "447426")</f>
        <v>0</v>
      </c>
    </row>
    <row r="918" spans="1:5">
      <c r="A918">
        <f>IF(COUNTBLANK(B918:E918)&lt;&gt;COLUMNS(B918:E918),917,"")</f>
        <v>0</v>
      </c>
      <c r="C918" s="1">
        <f>IF(B918="", "", "human-oral")</f>
        <v>0</v>
      </c>
      <c r="D918" s="1">
        <f>IF(B918="", "", "human oral metagenome")</f>
        <v>0</v>
      </c>
      <c r="E918" s="1">
        <f>IF(B918="", "", "447426")</f>
        <v>0</v>
      </c>
    </row>
    <row r="919" spans="1:5">
      <c r="A919">
        <f>IF(COUNTBLANK(B919:E919)&lt;&gt;COLUMNS(B919:E919),918,"")</f>
        <v>0</v>
      </c>
      <c r="C919" s="1">
        <f>IF(B919="", "", "human-oral")</f>
        <v>0</v>
      </c>
      <c r="D919" s="1">
        <f>IF(B919="", "", "human oral metagenome")</f>
        <v>0</v>
      </c>
      <c r="E919" s="1">
        <f>IF(B919="", "", "447426")</f>
        <v>0</v>
      </c>
    </row>
    <row r="920" spans="1:5">
      <c r="A920">
        <f>IF(COUNTBLANK(B920:E920)&lt;&gt;COLUMNS(B920:E920),919,"")</f>
        <v>0</v>
      </c>
      <c r="C920" s="1">
        <f>IF(B920="", "", "human-oral")</f>
        <v>0</v>
      </c>
      <c r="D920" s="1">
        <f>IF(B920="", "", "human oral metagenome")</f>
        <v>0</v>
      </c>
      <c r="E920" s="1">
        <f>IF(B920="", "", "447426")</f>
        <v>0</v>
      </c>
    </row>
    <row r="921" spans="1:5">
      <c r="A921">
        <f>IF(COUNTBLANK(B921:E921)&lt;&gt;COLUMNS(B921:E921),920,"")</f>
        <v>0</v>
      </c>
      <c r="C921" s="1">
        <f>IF(B921="", "", "human-oral")</f>
        <v>0</v>
      </c>
      <c r="D921" s="1">
        <f>IF(B921="", "", "human oral metagenome")</f>
        <v>0</v>
      </c>
      <c r="E921" s="1">
        <f>IF(B921="", "", "447426")</f>
        <v>0</v>
      </c>
    </row>
    <row r="922" spans="1:5">
      <c r="A922">
        <f>IF(COUNTBLANK(B922:E922)&lt;&gt;COLUMNS(B922:E922),921,"")</f>
        <v>0</v>
      </c>
      <c r="C922" s="1">
        <f>IF(B922="", "", "human-oral")</f>
        <v>0</v>
      </c>
      <c r="D922" s="1">
        <f>IF(B922="", "", "human oral metagenome")</f>
        <v>0</v>
      </c>
      <c r="E922" s="1">
        <f>IF(B922="", "", "447426")</f>
        <v>0</v>
      </c>
    </row>
    <row r="923" spans="1:5">
      <c r="A923">
        <f>IF(COUNTBLANK(B923:E923)&lt;&gt;COLUMNS(B923:E923),922,"")</f>
        <v>0</v>
      </c>
      <c r="C923" s="1">
        <f>IF(B923="", "", "human-oral")</f>
        <v>0</v>
      </c>
      <c r="D923" s="1">
        <f>IF(B923="", "", "human oral metagenome")</f>
        <v>0</v>
      </c>
      <c r="E923" s="1">
        <f>IF(B923="", "", "447426")</f>
        <v>0</v>
      </c>
    </row>
    <row r="924" spans="1:5">
      <c r="A924">
        <f>IF(COUNTBLANK(B924:E924)&lt;&gt;COLUMNS(B924:E924),923,"")</f>
        <v>0</v>
      </c>
      <c r="C924" s="1">
        <f>IF(B924="", "", "human-oral")</f>
        <v>0</v>
      </c>
      <c r="D924" s="1">
        <f>IF(B924="", "", "human oral metagenome")</f>
        <v>0</v>
      </c>
      <c r="E924" s="1">
        <f>IF(B924="", "", "447426")</f>
        <v>0</v>
      </c>
    </row>
    <row r="925" spans="1:5">
      <c r="A925">
        <f>IF(COUNTBLANK(B925:E925)&lt;&gt;COLUMNS(B925:E925),924,"")</f>
        <v>0</v>
      </c>
      <c r="C925" s="1">
        <f>IF(B925="", "", "human-oral")</f>
        <v>0</v>
      </c>
      <c r="D925" s="1">
        <f>IF(B925="", "", "human oral metagenome")</f>
        <v>0</v>
      </c>
      <c r="E925" s="1">
        <f>IF(B925="", "", "447426")</f>
        <v>0</v>
      </c>
    </row>
    <row r="926" spans="1:5">
      <c r="A926">
        <f>IF(COUNTBLANK(B926:E926)&lt;&gt;COLUMNS(B926:E926),925,"")</f>
        <v>0</v>
      </c>
      <c r="C926" s="1">
        <f>IF(B926="", "", "human-oral")</f>
        <v>0</v>
      </c>
      <c r="D926" s="1">
        <f>IF(B926="", "", "human oral metagenome")</f>
        <v>0</v>
      </c>
      <c r="E926" s="1">
        <f>IF(B926="", "", "447426")</f>
        <v>0</v>
      </c>
    </row>
    <row r="927" spans="1:5">
      <c r="A927">
        <f>IF(COUNTBLANK(B927:E927)&lt;&gt;COLUMNS(B927:E927),926,"")</f>
        <v>0</v>
      </c>
      <c r="C927" s="1">
        <f>IF(B927="", "", "human-oral")</f>
        <v>0</v>
      </c>
      <c r="D927" s="1">
        <f>IF(B927="", "", "human oral metagenome")</f>
        <v>0</v>
      </c>
      <c r="E927" s="1">
        <f>IF(B927="", "", "447426")</f>
        <v>0</v>
      </c>
    </row>
    <row r="928" spans="1:5">
      <c r="A928">
        <f>IF(COUNTBLANK(B928:E928)&lt;&gt;COLUMNS(B928:E928),927,"")</f>
        <v>0</v>
      </c>
      <c r="C928" s="1">
        <f>IF(B928="", "", "human-oral")</f>
        <v>0</v>
      </c>
      <c r="D928" s="1">
        <f>IF(B928="", "", "human oral metagenome")</f>
        <v>0</v>
      </c>
      <c r="E928" s="1">
        <f>IF(B928="", "", "447426")</f>
        <v>0</v>
      </c>
    </row>
    <row r="929" spans="1:5">
      <c r="A929">
        <f>IF(COUNTBLANK(B929:E929)&lt;&gt;COLUMNS(B929:E929),928,"")</f>
        <v>0</v>
      </c>
      <c r="C929" s="1">
        <f>IF(B929="", "", "human-oral")</f>
        <v>0</v>
      </c>
      <c r="D929" s="1">
        <f>IF(B929="", "", "human oral metagenome")</f>
        <v>0</v>
      </c>
      <c r="E929" s="1">
        <f>IF(B929="", "", "447426")</f>
        <v>0</v>
      </c>
    </row>
    <row r="930" spans="1:5">
      <c r="A930">
        <f>IF(COUNTBLANK(B930:E930)&lt;&gt;COLUMNS(B930:E930),929,"")</f>
        <v>0</v>
      </c>
      <c r="C930" s="1">
        <f>IF(B930="", "", "human-oral")</f>
        <v>0</v>
      </c>
      <c r="D930" s="1">
        <f>IF(B930="", "", "human oral metagenome")</f>
        <v>0</v>
      </c>
      <c r="E930" s="1">
        <f>IF(B930="", "", "447426")</f>
        <v>0</v>
      </c>
    </row>
    <row r="931" spans="1:5">
      <c r="A931">
        <f>IF(COUNTBLANK(B931:E931)&lt;&gt;COLUMNS(B931:E931),930,"")</f>
        <v>0</v>
      </c>
      <c r="C931" s="1">
        <f>IF(B931="", "", "human-oral")</f>
        <v>0</v>
      </c>
      <c r="D931" s="1">
        <f>IF(B931="", "", "human oral metagenome")</f>
        <v>0</v>
      </c>
      <c r="E931" s="1">
        <f>IF(B931="", "", "447426")</f>
        <v>0</v>
      </c>
    </row>
    <row r="932" spans="1:5">
      <c r="A932">
        <f>IF(COUNTBLANK(B932:E932)&lt;&gt;COLUMNS(B932:E932),931,"")</f>
        <v>0</v>
      </c>
      <c r="C932" s="1">
        <f>IF(B932="", "", "human-oral")</f>
        <v>0</v>
      </c>
      <c r="D932" s="1">
        <f>IF(B932="", "", "human oral metagenome")</f>
        <v>0</v>
      </c>
      <c r="E932" s="1">
        <f>IF(B932="", "", "447426")</f>
        <v>0</v>
      </c>
    </row>
    <row r="933" spans="1:5">
      <c r="A933">
        <f>IF(COUNTBLANK(B933:E933)&lt;&gt;COLUMNS(B933:E933),932,"")</f>
        <v>0</v>
      </c>
      <c r="C933" s="1">
        <f>IF(B933="", "", "human-oral")</f>
        <v>0</v>
      </c>
      <c r="D933" s="1">
        <f>IF(B933="", "", "human oral metagenome")</f>
        <v>0</v>
      </c>
      <c r="E933" s="1">
        <f>IF(B933="", "", "447426")</f>
        <v>0</v>
      </c>
    </row>
    <row r="934" spans="1:5">
      <c r="A934">
        <f>IF(COUNTBLANK(B934:E934)&lt;&gt;COLUMNS(B934:E934),933,"")</f>
        <v>0</v>
      </c>
      <c r="C934" s="1">
        <f>IF(B934="", "", "human-oral")</f>
        <v>0</v>
      </c>
      <c r="D934" s="1">
        <f>IF(B934="", "", "human oral metagenome")</f>
        <v>0</v>
      </c>
      <c r="E934" s="1">
        <f>IF(B934="", "", "447426")</f>
        <v>0</v>
      </c>
    </row>
    <row r="935" spans="1:5">
      <c r="A935">
        <f>IF(COUNTBLANK(B935:E935)&lt;&gt;COLUMNS(B935:E935),934,"")</f>
        <v>0</v>
      </c>
      <c r="C935" s="1">
        <f>IF(B935="", "", "human-oral")</f>
        <v>0</v>
      </c>
      <c r="D935" s="1">
        <f>IF(B935="", "", "human oral metagenome")</f>
        <v>0</v>
      </c>
      <c r="E935" s="1">
        <f>IF(B935="", "", "447426")</f>
        <v>0</v>
      </c>
    </row>
    <row r="936" spans="1:5">
      <c r="A936">
        <f>IF(COUNTBLANK(B936:E936)&lt;&gt;COLUMNS(B936:E936),935,"")</f>
        <v>0</v>
      </c>
      <c r="C936" s="1">
        <f>IF(B936="", "", "human-oral")</f>
        <v>0</v>
      </c>
      <c r="D936" s="1">
        <f>IF(B936="", "", "human oral metagenome")</f>
        <v>0</v>
      </c>
      <c r="E936" s="1">
        <f>IF(B936="", "", "447426")</f>
        <v>0</v>
      </c>
    </row>
    <row r="937" spans="1:5">
      <c r="A937">
        <f>IF(COUNTBLANK(B937:E937)&lt;&gt;COLUMNS(B937:E937),936,"")</f>
        <v>0</v>
      </c>
      <c r="C937" s="1">
        <f>IF(B937="", "", "human-oral")</f>
        <v>0</v>
      </c>
      <c r="D937" s="1">
        <f>IF(B937="", "", "human oral metagenome")</f>
        <v>0</v>
      </c>
      <c r="E937" s="1">
        <f>IF(B937="", "", "447426")</f>
        <v>0</v>
      </c>
    </row>
    <row r="938" spans="1:5">
      <c r="A938">
        <f>IF(COUNTBLANK(B938:E938)&lt;&gt;COLUMNS(B938:E938),937,"")</f>
        <v>0</v>
      </c>
      <c r="C938" s="1">
        <f>IF(B938="", "", "human-oral")</f>
        <v>0</v>
      </c>
      <c r="D938" s="1">
        <f>IF(B938="", "", "human oral metagenome")</f>
        <v>0</v>
      </c>
      <c r="E938" s="1">
        <f>IF(B938="", "", "447426")</f>
        <v>0</v>
      </c>
    </row>
    <row r="939" spans="1:5">
      <c r="A939">
        <f>IF(COUNTBLANK(B939:E939)&lt;&gt;COLUMNS(B939:E939),938,"")</f>
        <v>0</v>
      </c>
      <c r="C939" s="1">
        <f>IF(B939="", "", "human-oral")</f>
        <v>0</v>
      </c>
      <c r="D939" s="1">
        <f>IF(B939="", "", "human oral metagenome")</f>
        <v>0</v>
      </c>
      <c r="E939" s="1">
        <f>IF(B939="", "", "447426")</f>
        <v>0</v>
      </c>
    </row>
    <row r="940" spans="1:5">
      <c r="A940">
        <f>IF(COUNTBLANK(B940:E940)&lt;&gt;COLUMNS(B940:E940),939,"")</f>
        <v>0</v>
      </c>
      <c r="C940" s="1">
        <f>IF(B940="", "", "human-oral")</f>
        <v>0</v>
      </c>
      <c r="D940" s="1">
        <f>IF(B940="", "", "human oral metagenome")</f>
        <v>0</v>
      </c>
      <c r="E940" s="1">
        <f>IF(B940="", "", "447426")</f>
        <v>0</v>
      </c>
    </row>
    <row r="941" spans="1:5">
      <c r="A941">
        <f>IF(COUNTBLANK(B941:E941)&lt;&gt;COLUMNS(B941:E941),940,"")</f>
        <v>0</v>
      </c>
      <c r="C941" s="1">
        <f>IF(B941="", "", "human-oral")</f>
        <v>0</v>
      </c>
      <c r="D941" s="1">
        <f>IF(B941="", "", "human oral metagenome")</f>
        <v>0</v>
      </c>
      <c r="E941" s="1">
        <f>IF(B941="", "", "447426")</f>
        <v>0</v>
      </c>
    </row>
    <row r="942" spans="1:5">
      <c r="A942">
        <f>IF(COUNTBLANK(B942:E942)&lt;&gt;COLUMNS(B942:E942),941,"")</f>
        <v>0</v>
      </c>
      <c r="C942" s="1">
        <f>IF(B942="", "", "human-oral")</f>
        <v>0</v>
      </c>
      <c r="D942" s="1">
        <f>IF(B942="", "", "human oral metagenome")</f>
        <v>0</v>
      </c>
      <c r="E942" s="1">
        <f>IF(B942="", "", "447426")</f>
        <v>0</v>
      </c>
    </row>
    <row r="943" spans="1:5">
      <c r="A943">
        <f>IF(COUNTBLANK(B943:E943)&lt;&gt;COLUMNS(B943:E943),942,"")</f>
        <v>0</v>
      </c>
      <c r="C943" s="1">
        <f>IF(B943="", "", "human-oral")</f>
        <v>0</v>
      </c>
      <c r="D943" s="1">
        <f>IF(B943="", "", "human oral metagenome")</f>
        <v>0</v>
      </c>
      <c r="E943" s="1">
        <f>IF(B943="", "", "447426")</f>
        <v>0</v>
      </c>
    </row>
    <row r="944" spans="1:5">
      <c r="A944">
        <f>IF(COUNTBLANK(B944:E944)&lt;&gt;COLUMNS(B944:E944),943,"")</f>
        <v>0</v>
      </c>
      <c r="C944" s="1">
        <f>IF(B944="", "", "human-oral")</f>
        <v>0</v>
      </c>
      <c r="D944" s="1">
        <f>IF(B944="", "", "human oral metagenome")</f>
        <v>0</v>
      </c>
      <c r="E944" s="1">
        <f>IF(B944="", "", "447426")</f>
        <v>0</v>
      </c>
    </row>
    <row r="945" spans="1:5">
      <c r="A945">
        <f>IF(COUNTBLANK(B945:E945)&lt;&gt;COLUMNS(B945:E945),944,"")</f>
        <v>0</v>
      </c>
      <c r="C945" s="1">
        <f>IF(B945="", "", "human-oral")</f>
        <v>0</v>
      </c>
      <c r="D945" s="1">
        <f>IF(B945="", "", "human oral metagenome")</f>
        <v>0</v>
      </c>
      <c r="E945" s="1">
        <f>IF(B945="", "", "447426")</f>
        <v>0</v>
      </c>
    </row>
    <row r="946" spans="1:5">
      <c r="A946">
        <f>IF(COUNTBLANK(B946:E946)&lt;&gt;COLUMNS(B946:E946),945,"")</f>
        <v>0</v>
      </c>
      <c r="C946" s="1">
        <f>IF(B946="", "", "human-oral")</f>
        <v>0</v>
      </c>
      <c r="D946" s="1">
        <f>IF(B946="", "", "human oral metagenome")</f>
        <v>0</v>
      </c>
      <c r="E946" s="1">
        <f>IF(B946="", "", "447426")</f>
        <v>0</v>
      </c>
    </row>
    <row r="947" spans="1:5">
      <c r="A947">
        <f>IF(COUNTBLANK(B947:E947)&lt;&gt;COLUMNS(B947:E947),946,"")</f>
        <v>0</v>
      </c>
      <c r="C947" s="1">
        <f>IF(B947="", "", "human-oral")</f>
        <v>0</v>
      </c>
      <c r="D947" s="1">
        <f>IF(B947="", "", "human oral metagenome")</f>
        <v>0</v>
      </c>
      <c r="E947" s="1">
        <f>IF(B947="", "", "447426")</f>
        <v>0</v>
      </c>
    </row>
    <row r="948" spans="1:5">
      <c r="A948">
        <f>IF(COUNTBLANK(B948:E948)&lt;&gt;COLUMNS(B948:E948),947,"")</f>
        <v>0</v>
      </c>
      <c r="C948" s="1">
        <f>IF(B948="", "", "human-oral")</f>
        <v>0</v>
      </c>
      <c r="D948" s="1">
        <f>IF(B948="", "", "human oral metagenome")</f>
        <v>0</v>
      </c>
      <c r="E948" s="1">
        <f>IF(B948="", "", "447426")</f>
        <v>0</v>
      </c>
    </row>
    <row r="949" spans="1:5">
      <c r="A949">
        <f>IF(COUNTBLANK(B949:E949)&lt;&gt;COLUMNS(B949:E949),948,"")</f>
        <v>0</v>
      </c>
      <c r="C949" s="1">
        <f>IF(B949="", "", "human-oral")</f>
        <v>0</v>
      </c>
      <c r="D949" s="1">
        <f>IF(B949="", "", "human oral metagenome")</f>
        <v>0</v>
      </c>
      <c r="E949" s="1">
        <f>IF(B949="", "", "447426")</f>
        <v>0</v>
      </c>
    </row>
    <row r="950" spans="1:5">
      <c r="A950">
        <f>IF(COUNTBLANK(B950:E950)&lt;&gt;COLUMNS(B950:E950),949,"")</f>
        <v>0</v>
      </c>
      <c r="C950" s="1">
        <f>IF(B950="", "", "human-oral")</f>
        <v>0</v>
      </c>
      <c r="D950" s="1">
        <f>IF(B950="", "", "human oral metagenome")</f>
        <v>0</v>
      </c>
      <c r="E950" s="1">
        <f>IF(B950="", "", "447426")</f>
        <v>0</v>
      </c>
    </row>
    <row r="951" spans="1:5">
      <c r="A951">
        <f>IF(COUNTBLANK(B951:E951)&lt;&gt;COLUMNS(B951:E951),950,"")</f>
        <v>0</v>
      </c>
      <c r="C951" s="1">
        <f>IF(B951="", "", "human-oral")</f>
        <v>0</v>
      </c>
      <c r="D951" s="1">
        <f>IF(B951="", "", "human oral metagenome")</f>
        <v>0</v>
      </c>
      <c r="E951" s="1">
        <f>IF(B951="", "", "447426")</f>
        <v>0</v>
      </c>
    </row>
    <row r="952" spans="1:5">
      <c r="A952">
        <f>IF(COUNTBLANK(B952:E952)&lt;&gt;COLUMNS(B952:E952),951,"")</f>
        <v>0</v>
      </c>
      <c r="C952" s="1">
        <f>IF(B952="", "", "human-oral")</f>
        <v>0</v>
      </c>
      <c r="D952" s="1">
        <f>IF(B952="", "", "human oral metagenome")</f>
        <v>0</v>
      </c>
      <c r="E952" s="1">
        <f>IF(B952="", "", "447426")</f>
        <v>0</v>
      </c>
    </row>
    <row r="953" spans="1:5">
      <c r="A953">
        <f>IF(COUNTBLANK(B953:E953)&lt;&gt;COLUMNS(B953:E953),952,"")</f>
        <v>0</v>
      </c>
      <c r="C953" s="1">
        <f>IF(B953="", "", "human-oral")</f>
        <v>0</v>
      </c>
      <c r="D953" s="1">
        <f>IF(B953="", "", "human oral metagenome")</f>
        <v>0</v>
      </c>
      <c r="E953" s="1">
        <f>IF(B953="", "", "447426")</f>
        <v>0</v>
      </c>
    </row>
    <row r="954" spans="1:5">
      <c r="A954">
        <f>IF(COUNTBLANK(B954:E954)&lt;&gt;COLUMNS(B954:E954),953,"")</f>
        <v>0</v>
      </c>
      <c r="C954" s="1">
        <f>IF(B954="", "", "human-oral")</f>
        <v>0</v>
      </c>
      <c r="D954" s="1">
        <f>IF(B954="", "", "human oral metagenome")</f>
        <v>0</v>
      </c>
      <c r="E954" s="1">
        <f>IF(B954="", "", "447426")</f>
        <v>0</v>
      </c>
    </row>
    <row r="955" spans="1:5">
      <c r="A955">
        <f>IF(COUNTBLANK(B955:E955)&lt;&gt;COLUMNS(B955:E955),954,"")</f>
        <v>0</v>
      </c>
      <c r="C955" s="1">
        <f>IF(B955="", "", "human-oral")</f>
        <v>0</v>
      </c>
      <c r="D955" s="1">
        <f>IF(B955="", "", "human oral metagenome")</f>
        <v>0</v>
      </c>
      <c r="E955" s="1">
        <f>IF(B955="", "", "447426")</f>
        <v>0</v>
      </c>
    </row>
    <row r="956" spans="1:5">
      <c r="A956">
        <f>IF(COUNTBLANK(B956:E956)&lt;&gt;COLUMNS(B956:E956),955,"")</f>
        <v>0</v>
      </c>
      <c r="C956" s="1">
        <f>IF(B956="", "", "human-oral")</f>
        <v>0</v>
      </c>
      <c r="D956" s="1">
        <f>IF(B956="", "", "human oral metagenome")</f>
        <v>0</v>
      </c>
      <c r="E956" s="1">
        <f>IF(B956="", "", "447426")</f>
        <v>0</v>
      </c>
    </row>
    <row r="957" spans="1:5">
      <c r="A957">
        <f>IF(COUNTBLANK(B957:E957)&lt;&gt;COLUMNS(B957:E957),956,"")</f>
        <v>0</v>
      </c>
      <c r="C957" s="1">
        <f>IF(B957="", "", "human-oral")</f>
        <v>0</v>
      </c>
      <c r="D957" s="1">
        <f>IF(B957="", "", "human oral metagenome")</f>
        <v>0</v>
      </c>
      <c r="E957" s="1">
        <f>IF(B957="", "", "447426")</f>
        <v>0</v>
      </c>
    </row>
    <row r="958" spans="1:5">
      <c r="A958">
        <f>IF(COUNTBLANK(B958:E958)&lt;&gt;COLUMNS(B958:E958),957,"")</f>
        <v>0</v>
      </c>
      <c r="C958" s="1">
        <f>IF(B958="", "", "human-oral")</f>
        <v>0</v>
      </c>
      <c r="D958" s="1">
        <f>IF(B958="", "", "human oral metagenome")</f>
        <v>0</v>
      </c>
      <c r="E958" s="1">
        <f>IF(B958="", "", "447426")</f>
        <v>0</v>
      </c>
    </row>
    <row r="959" spans="1:5">
      <c r="A959">
        <f>IF(COUNTBLANK(B959:E959)&lt;&gt;COLUMNS(B959:E959),958,"")</f>
        <v>0</v>
      </c>
      <c r="C959" s="1">
        <f>IF(B959="", "", "human-oral")</f>
        <v>0</v>
      </c>
      <c r="D959" s="1">
        <f>IF(B959="", "", "human oral metagenome")</f>
        <v>0</v>
      </c>
      <c r="E959" s="1">
        <f>IF(B959="", "", "447426")</f>
        <v>0</v>
      </c>
    </row>
    <row r="960" spans="1:5">
      <c r="A960">
        <f>IF(COUNTBLANK(B960:E960)&lt;&gt;COLUMNS(B960:E960),959,"")</f>
        <v>0</v>
      </c>
      <c r="C960" s="1">
        <f>IF(B960="", "", "human-oral")</f>
        <v>0</v>
      </c>
      <c r="D960" s="1">
        <f>IF(B960="", "", "human oral metagenome")</f>
        <v>0</v>
      </c>
      <c r="E960" s="1">
        <f>IF(B960="", "", "447426")</f>
        <v>0</v>
      </c>
    </row>
    <row r="961" spans="1:5">
      <c r="A961">
        <f>IF(COUNTBLANK(B961:E961)&lt;&gt;COLUMNS(B961:E961),960,"")</f>
        <v>0</v>
      </c>
      <c r="C961" s="1">
        <f>IF(B961="", "", "human-oral")</f>
        <v>0</v>
      </c>
      <c r="D961" s="1">
        <f>IF(B961="", "", "human oral metagenome")</f>
        <v>0</v>
      </c>
      <c r="E961" s="1">
        <f>IF(B961="", "", "447426")</f>
        <v>0</v>
      </c>
    </row>
    <row r="962" spans="1:5">
      <c r="A962">
        <f>IF(COUNTBLANK(B962:E962)&lt;&gt;COLUMNS(B962:E962),961,"")</f>
        <v>0</v>
      </c>
      <c r="C962" s="1">
        <f>IF(B962="", "", "human-oral")</f>
        <v>0</v>
      </c>
      <c r="D962" s="1">
        <f>IF(B962="", "", "human oral metagenome")</f>
        <v>0</v>
      </c>
      <c r="E962" s="1">
        <f>IF(B962="", "", "447426")</f>
        <v>0</v>
      </c>
    </row>
    <row r="963" spans="1:5">
      <c r="A963">
        <f>IF(COUNTBLANK(B963:E963)&lt;&gt;COLUMNS(B963:E963),962,"")</f>
        <v>0</v>
      </c>
      <c r="C963" s="1">
        <f>IF(B963="", "", "human-oral")</f>
        <v>0</v>
      </c>
      <c r="D963" s="1">
        <f>IF(B963="", "", "human oral metagenome")</f>
        <v>0</v>
      </c>
      <c r="E963" s="1">
        <f>IF(B963="", "", "447426")</f>
        <v>0</v>
      </c>
    </row>
    <row r="964" spans="1:5">
      <c r="A964">
        <f>IF(COUNTBLANK(B964:E964)&lt;&gt;COLUMNS(B964:E964),963,"")</f>
        <v>0</v>
      </c>
      <c r="C964" s="1">
        <f>IF(B964="", "", "human-oral")</f>
        <v>0</v>
      </c>
      <c r="D964" s="1">
        <f>IF(B964="", "", "human oral metagenome")</f>
        <v>0</v>
      </c>
      <c r="E964" s="1">
        <f>IF(B964="", "", "447426")</f>
        <v>0</v>
      </c>
    </row>
    <row r="965" spans="1:5">
      <c r="A965">
        <f>IF(COUNTBLANK(B965:E965)&lt;&gt;COLUMNS(B965:E965),964,"")</f>
        <v>0</v>
      </c>
      <c r="C965" s="1">
        <f>IF(B965="", "", "human-oral")</f>
        <v>0</v>
      </c>
      <c r="D965" s="1">
        <f>IF(B965="", "", "human oral metagenome")</f>
        <v>0</v>
      </c>
      <c r="E965" s="1">
        <f>IF(B965="", "", "447426")</f>
        <v>0</v>
      </c>
    </row>
    <row r="966" spans="1:5">
      <c r="A966">
        <f>IF(COUNTBLANK(B966:E966)&lt;&gt;COLUMNS(B966:E966),965,"")</f>
        <v>0</v>
      </c>
      <c r="C966" s="1">
        <f>IF(B966="", "", "human-oral")</f>
        <v>0</v>
      </c>
      <c r="D966" s="1">
        <f>IF(B966="", "", "human oral metagenome")</f>
        <v>0</v>
      </c>
      <c r="E966" s="1">
        <f>IF(B966="", "", "447426")</f>
        <v>0</v>
      </c>
    </row>
    <row r="967" spans="1:5">
      <c r="A967">
        <f>IF(COUNTBLANK(B967:E967)&lt;&gt;COLUMNS(B967:E967),966,"")</f>
        <v>0</v>
      </c>
      <c r="C967" s="1">
        <f>IF(B967="", "", "human-oral")</f>
        <v>0</v>
      </c>
      <c r="D967" s="1">
        <f>IF(B967="", "", "human oral metagenome")</f>
        <v>0</v>
      </c>
      <c r="E967" s="1">
        <f>IF(B967="", "", "447426")</f>
        <v>0</v>
      </c>
    </row>
    <row r="968" spans="1:5">
      <c r="A968">
        <f>IF(COUNTBLANK(B968:E968)&lt;&gt;COLUMNS(B968:E968),967,"")</f>
        <v>0</v>
      </c>
      <c r="C968" s="1">
        <f>IF(B968="", "", "human-oral")</f>
        <v>0</v>
      </c>
      <c r="D968" s="1">
        <f>IF(B968="", "", "human oral metagenome")</f>
        <v>0</v>
      </c>
      <c r="E968" s="1">
        <f>IF(B968="", "", "447426")</f>
        <v>0</v>
      </c>
    </row>
    <row r="969" spans="1:5">
      <c r="A969">
        <f>IF(COUNTBLANK(B969:E969)&lt;&gt;COLUMNS(B969:E969),968,"")</f>
        <v>0</v>
      </c>
      <c r="C969" s="1">
        <f>IF(B969="", "", "human-oral")</f>
        <v>0</v>
      </c>
      <c r="D969" s="1">
        <f>IF(B969="", "", "human oral metagenome")</f>
        <v>0</v>
      </c>
      <c r="E969" s="1">
        <f>IF(B969="", "", "447426")</f>
        <v>0</v>
      </c>
    </row>
    <row r="970" spans="1:5">
      <c r="A970">
        <f>IF(COUNTBLANK(B970:E970)&lt;&gt;COLUMNS(B970:E970),969,"")</f>
        <v>0</v>
      </c>
      <c r="C970" s="1">
        <f>IF(B970="", "", "human-oral")</f>
        <v>0</v>
      </c>
      <c r="D970" s="1">
        <f>IF(B970="", "", "human oral metagenome")</f>
        <v>0</v>
      </c>
      <c r="E970" s="1">
        <f>IF(B970="", "", "447426")</f>
        <v>0</v>
      </c>
    </row>
    <row r="971" spans="1:5">
      <c r="A971">
        <f>IF(COUNTBLANK(B971:E971)&lt;&gt;COLUMNS(B971:E971),970,"")</f>
        <v>0</v>
      </c>
      <c r="C971" s="1">
        <f>IF(B971="", "", "human-oral")</f>
        <v>0</v>
      </c>
      <c r="D971" s="1">
        <f>IF(B971="", "", "human oral metagenome")</f>
        <v>0</v>
      </c>
      <c r="E971" s="1">
        <f>IF(B971="", "", "447426")</f>
        <v>0</v>
      </c>
    </row>
    <row r="972" spans="1:5">
      <c r="A972">
        <f>IF(COUNTBLANK(B972:E972)&lt;&gt;COLUMNS(B972:E972),971,"")</f>
        <v>0</v>
      </c>
      <c r="C972" s="1">
        <f>IF(B972="", "", "human-oral")</f>
        <v>0</v>
      </c>
      <c r="D972" s="1">
        <f>IF(B972="", "", "human oral metagenome")</f>
        <v>0</v>
      </c>
      <c r="E972" s="1">
        <f>IF(B972="", "", "447426")</f>
        <v>0</v>
      </c>
    </row>
    <row r="973" spans="1:5">
      <c r="A973">
        <f>IF(COUNTBLANK(B973:E973)&lt;&gt;COLUMNS(B973:E973),972,"")</f>
        <v>0</v>
      </c>
      <c r="C973" s="1">
        <f>IF(B973="", "", "human-oral")</f>
        <v>0</v>
      </c>
      <c r="D973" s="1">
        <f>IF(B973="", "", "human oral metagenome")</f>
        <v>0</v>
      </c>
      <c r="E973" s="1">
        <f>IF(B973="", "", "447426")</f>
        <v>0</v>
      </c>
    </row>
    <row r="974" spans="1:5">
      <c r="A974">
        <f>IF(COUNTBLANK(B974:E974)&lt;&gt;COLUMNS(B974:E974),973,"")</f>
        <v>0</v>
      </c>
      <c r="C974" s="1">
        <f>IF(B974="", "", "human-oral")</f>
        <v>0</v>
      </c>
      <c r="D974" s="1">
        <f>IF(B974="", "", "human oral metagenome")</f>
        <v>0</v>
      </c>
      <c r="E974" s="1">
        <f>IF(B974="", "", "447426")</f>
        <v>0</v>
      </c>
    </row>
    <row r="975" spans="1:5">
      <c r="A975">
        <f>IF(COUNTBLANK(B975:E975)&lt;&gt;COLUMNS(B975:E975),974,"")</f>
        <v>0</v>
      </c>
      <c r="C975" s="1">
        <f>IF(B975="", "", "human-oral")</f>
        <v>0</v>
      </c>
      <c r="D975" s="1">
        <f>IF(B975="", "", "human oral metagenome")</f>
        <v>0</v>
      </c>
      <c r="E975" s="1">
        <f>IF(B975="", "", "447426")</f>
        <v>0</v>
      </c>
    </row>
    <row r="976" spans="1:5">
      <c r="A976">
        <f>IF(COUNTBLANK(B976:E976)&lt;&gt;COLUMNS(B976:E976),975,"")</f>
        <v>0</v>
      </c>
      <c r="C976" s="1">
        <f>IF(B976="", "", "human-oral")</f>
        <v>0</v>
      </c>
      <c r="D976" s="1">
        <f>IF(B976="", "", "human oral metagenome")</f>
        <v>0</v>
      </c>
      <c r="E976" s="1">
        <f>IF(B976="", "", "447426")</f>
        <v>0</v>
      </c>
    </row>
    <row r="977" spans="1:5">
      <c r="A977">
        <f>IF(COUNTBLANK(B977:E977)&lt;&gt;COLUMNS(B977:E977),976,"")</f>
        <v>0</v>
      </c>
      <c r="C977" s="1">
        <f>IF(B977="", "", "human-oral")</f>
        <v>0</v>
      </c>
      <c r="D977" s="1">
        <f>IF(B977="", "", "human oral metagenome")</f>
        <v>0</v>
      </c>
      <c r="E977" s="1">
        <f>IF(B977="", "", "447426")</f>
        <v>0</v>
      </c>
    </row>
    <row r="978" spans="1:5">
      <c r="A978">
        <f>IF(COUNTBLANK(B978:E978)&lt;&gt;COLUMNS(B978:E978),977,"")</f>
        <v>0</v>
      </c>
      <c r="C978" s="1">
        <f>IF(B978="", "", "human-oral")</f>
        <v>0</v>
      </c>
      <c r="D978" s="1">
        <f>IF(B978="", "", "human oral metagenome")</f>
        <v>0</v>
      </c>
      <c r="E978" s="1">
        <f>IF(B978="", "", "447426")</f>
        <v>0</v>
      </c>
    </row>
    <row r="979" spans="1:5">
      <c r="A979">
        <f>IF(COUNTBLANK(B979:E979)&lt;&gt;COLUMNS(B979:E979),978,"")</f>
        <v>0</v>
      </c>
      <c r="C979" s="1">
        <f>IF(B979="", "", "human-oral")</f>
        <v>0</v>
      </c>
      <c r="D979" s="1">
        <f>IF(B979="", "", "human oral metagenome")</f>
        <v>0</v>
      </c>
      <c r="E979" s="1">
        <f>IF(B979="", "", "447426")</f>
        <v>0</v>
      </c>
    </row>
    <row r="980" spans="1:5">
      <c r="A980">
        <f>IF(COUNTBLANK(B980:E980)&lt;&gt;COLUMNS(B980:E980),979,"")</f>
        <v>0</v>
      </c>
      <c r="C980" s="1">
        <f>IF(B980="", "", "human-oral")</f>
        <v>0</v>
      </c>
      <c r="D980" s="1">
        <f>IF(B980="", "", "human oral metagenome")</f>
        <v>0</v>
      </c>
      <c r="E980" s="1">
        <f>IF(B980="", "", "447426")</f>
        <v>0</v>
      </c>
    </row>
    <row r="981" spans="1:5">
      <c r="A981">
        <f>IF(COUNTBLANK(B981:E981)&lt;&gt;COLUMNS(B981:E981),980,"")</f>
        <v>0</v>
      </c>
      <c r="C981" s="1">
        <f>IF(B981="", "", "human-oral")</f>
        <v>0</v>
      </c>
      <c r="D981" s="1">
        <f>IF(B981="", "", "human oral metagenome")</f>
        <v>0</v>
      </c>
      <c r="E981" s="1">
        <f>IF(B981="", "", "447426")</f>
        <v>0</v>
      </c>
    </row>
    <row r="982" spans="1:5">
      <c r="A982">
        <f>IF(COUNTBLANK(B982:E982)&lt;&gt;COLUMNS(B982:E982),981,"")</f>
        <v>0</v>
      </c>
      <c r="C982" s="1">
        <f>IF(B982="", "", "human-oral")</f>
        <v>0</v>
      </c>
      <c r="D982" s="1">
        <f>IF(B982="", "", "human oral metagenome")</f>
        <v>0</v>
      </c>
      <c r="E982" s="1">
        <f>IF(B982="", "", "447426")</f>
        <v>0</v>
      </c>
    </row>
    <row r="983" spans="1:5">
      <c r="A983">
        <f>IF(COUNTBLANK(B983:E983)&lt;&gt;COLUMNS(B983:E983),982,"")</f>
        <v>0</v>
      </c>
      <c r="C983" s="1">
        <f>IF(B983="", "", "human-oral")</f>
        <v>0</v>
      </c>
      <c r="D983" s="1">
        <f>IF(B983="", "", "human oral metagenome")</f>
        <v>0</v>
      </c>
      <c r="E983" s="1">
        <f>IF(B983="", "", "447426")</f>
        <v>0</v>
      </c>
    </row>
    <row r="984" spans="1:5">
      <c r="A984">
        <f>IF(COUNTBLANK(B984:E984)&lt;&gt;COLUMNS(B984:E984),983,"")</f>
        <v>0</v>
      </c>
      <c r="C984" s="1">
        <f>IF(B984="", "", "human-oral")</f>
        <v>0</v>
      </c>
      <c r="D984" s="1">
        <f>IF(B984="", "", "human oral metagenome")</f>
        <v>0</v>
      </c>
      <c r="E984" s="1">
        <f>IF(B984="", "", "447426")</f>
        <v>0</v>
      </c>
    </row>
    <row r="985" spans="1:5">
      <c r="A985">
        <f>IF(COUNTBLANK(B985:E985)&lt;&gt;COLUMNS(B985:E985),984,"")</f>
        <v>0</v>
      </c>
      <c r="C985" s="1">
        <f>IF(B985="", "", "human-oral")</f>
        <v>0</v>
      </c>
      <c r="D985" s="1">
        <f>IF(B985="", "", "human oral metagenome")</f>
        <v>0</v>
      </c>
      <c r="E985" s="1">
        <f>IF(B985="", "", "447426")</f>
        <v>0</v>
      </c>
    </row>
    <row r="986" spans="1:5">
      <c r="A986">
        <f>IF(COUNTBLANK(B986:E986)&lt;&gt;COLUMNS(B986:E986),985,"")</f>
        <v>0</v>
      </c>
      <c r="C986" s="1">
        <f>IF(B986="", "", "human-oral")</f>
        <v>0</v>
      </c>
      <c r="D986" s="1">
        <f>IF(B986="", "", "human oral metagenome")</f>
        <v>0</v>
      </c>
      <c r="E986" s="1">
        <f>IF(B986="", "", "447426")</f>
        <v>0</v>
      </c>
    </row>
    <row r="987" spans="1:5">
      <c r="A987">
        <f>IF(COUNTBLANK(B987:E987)&lt;&gt;COLUMNS(B987:E987),986,"")</f>
        <v>0</v>
      </c>
      <c r="C987" s="1">
        <f>IF(B987="", "", "human-oral")</f>
        <v>0</v>
      </c>
      <c r="D987" s="1">
        <f>IF(B987="", "", "human oral metagenome")</f>
        <v>0</v>
      </c>
      <c r="E987" s="1">
        <f>IF(B987="", "", "447426")</f>
        <v>0</v>
      </c>
    </row>
    <row r="988" spans="1:5">
      <c r="A988">
        <f>IF(COUNTBLANK(B988:E988)&lt;&gt;COLUMNS(B988:E988),987,"")</f>
        <v>0</v>
      </c>
      <c r="C988" s="1">
        <f>IF(B988="", "", "human-oral")</f>
        <v>0</v>
      </c>
      <c r="D988" s="1">
        <f>IF(B988="", "", "human oral metagenome")</f>
        <v>0</v>
      </c>
      <c r="E988" s="1">
        <f>IF(B988="", "", "447426")</f>
        <v>0</v>
      </c>
    </row>
    <row r="989" spans="1:5">
      <c r="A989">
        <f>IF(COUNTBLANK(B989:E989)&lt;&gt;COLUMNS(B989:E989),988,"")</f>
        <v>0</v>
      </c>
      <c r="C989" s="1">
        <f>IF(B989="", "", "human-oral")</f>
        <v>0</v>
      </c>
      <c r="D989" s="1">
        <f>IF(B989="", "", "human oral metagenome")</f>
        <v>0</v>
      </c>
      <c r="E989" s="1">
        <f>IF(B989="", "", "447426")</f>
        <v>0</v>
      </c>
    </row>
    <row r="990" spans="1:5">
      <c r="A990">
        <f>IF(COUNTBLANK(B990:E990)&lt;&gt;COLUMNS(B990:E990),989,"")</f>
        <v>0</v>
      </c>
      <c r="C990" s="1">
        <f>IF(B990="", "", "human-oral")</f>
        <v>0</v>
      </c>
      <c r="D990" s="1">
        <f>IF(B990="", "", "human oral metagenome")</f>
        <v>0</v>
      </c>
      <c r="E990" s="1">
        <f>IF(B990="", "", "447426")</f>
        <v>0</v>
      </c>
    </row>
    <row r="991" spans="1:5">
      <c r="A991">
        <f>IF(COUNTBLANK(B991:E991)&lt;&gt;COLUMNS(B991:E991),990,"")</f>
        <v>0</v>
      </c>
      <c r="C991" s="1">
        <f>IF(B991="", "", "human-oral")</f>
        <v>0</v>
      </c>
      <c r="D991" s="1">
        <f>IF(B991="", "", "human oral metagenome")</f>
        <v>0</v>
      </c>
      <c r="E991" s="1">
        <f>IF(B991="", "", "447426")</f>
        <v>0</v>
      </c>
    </row>
    <row r="992" spans="1:5">
      <c r="A992">
        <f>IF(COUNTBLANK(B992:E992)&lt;&gt;COLUMNS(B992:E992),991,"")</f>
        <v>0</v>
      </c>
      <c r="C992" s="1">
        <f>IF(B992="", "", "human-oral")</f>
        <v>0</v>
      </c>
      <c r="D992" s="1">
        <f>IF(B992="", "", "human oral metagenome")</f>
        <v>0</v>
      </c>
      <c r="E992" s="1">
        <f>IF(B992="", "", "447426")</f>
        <v>0</v>
      </c>
    </row>
    <row r="993" spans="1:5">
      <c r="A993">
        <f>IF(COUNTBLANK(B993:E993)&lt;&gt;COLUMNS(B993:E993),992,"")</f>
        <v>0</v>
      </c>
      <c r="C993" s="1">
        <f>IF(B993="", "", "human-oral")</f>
        <v>0</v>
      </c>
      <c r="D993" s="1">
        <f>IF(B993="", "", "human oral metagenome")</f>
        <v>0</v>
      </c>
      <c r="E993" s="1">
        <f>IF(B993="", "", "447426")</f>
        <v>0</v>
      </c>
    </row>
    <row r="994" spans="1:5">
      <c r="A994">
        <f>IF(COUNTBLANK(B994:E994)&lt;&gt;COLUMNS(B994:E994),993,"")</f>
        <v>0</v>
      </c>
      <c r="C994" s="1">
        <f>IF(B994="", "", "human-oral")</f>
        <v>0</v>
      </c>
      <c r="D994" s="1">
        <f>IF(B994="", "", "human oral metagenome")</f>
        <v>0</v>
      </c>
      <c r="E994" s="1">
        <f>IF(B994="", "", "447426")</f>
        <v>0</v>
      </c>
    </row>
    <row r="995" spans="1:5">
      <c r="A995">
        <f>IF(COUNTBLANK(B995:E995)&lt;&gt;COLUMNS(B995:E995),994,"")</f>
        <v>0</v>
      </c>
      <c r="C995" s="1">
        <f>IF(B995="", "", "human-oral")</f>
        <v>0</v>
      </c>
      <c r="D995" s="1">
        <f>IF(B995="", "", "human oral metagenome")</f>
        <v>0</v>
      </c>
      <c r="E995" s="1">
        <f>IF(B995="", "", "447426")</f>
        <v>0</v>
      </c>
    </row>
    <row r="996" spans="1:5">
      <c r="A996">
        <f>IF(COUNTBLANK(B996:E996)&lt;&gt;COLUMNS(B996:E996),995,"")</f>
        <v>0</v>
      </c>
      <c r="C996" s="1">
        <f>IF(B996="", "", "human-oral")</f>
        <v>0</v>
      </c>
      <c r="D996" s="1">
        <f>IF(B996="", "", "human oral metagenome")</f>
        <v>0</v>
      </c>
      <c r="E996" s="1">
        <f>IF(B996="", "", "447426")</f>
        <v>0</v>
      </c>
    </row>
    <row r="997" spans="1:5">
      <c r="A997">
        <f>IF(COUNTBLANK(B997:E997)&lt;&gt;COLUMNS(B997:E997),996,"")</f>
        <v>0</v>
      </c>
      <c r="C997" s="1">
        <f>IF(B997="", "", "human-oral")</f>
        <v>0</v>
      </c>
      <c r="D997" s="1">
        <f>IF(B997="", "", "human oral metagenome")</f>
        <v>0</v>
      </c>
      <c r="E997" s="1">
        <f>IF(B997="", "", "447426")</f>
        <v>0</v>
      </c>
    </row>
    <row r="998" spans="1:5">
      <c r="A998">
        <f>IF(COUNTBLANK(B998:E998)&lt;&gt;COLUMNS(B998:E998),997,"")</f>
        <v>0</v>
      </c>
      <c r="C998" s="1">
        <f>IF(B998="", "", "human-oral")</f>
        <v>0</v>
      </c>
      <c r="D998" s="1">
        <f>IF(B998="", "", "human oral metagenome")</f>
        <v>0</v>
      </c>
      <c r="E998" s="1">
        <f>IF(B998="", "", "447426")</f>
        <v>0</v>
      </c>
    </row>
    <row r="999" spans="1:5">
      <c r="A999">
        <f>IF(COUNTBLANK(B999:E999)&lt;&gt;COLUMNS(B999:E999),998,"")</f>
        <v>0</v>
      </c>
      <c r="C999" s="1">
        <f>IF(B999="", "", "human-oral")</f>
        <v>0</v>
      </c>
      <c r="D999" s="1">
        <f>IF(B999="", "", "human oral metagenome")</f>
        <v>0</v>
      </c>
      <c r="E999" s="1">
        <f>IF(B999="", "", "447426")</f>
        <v>0</v>
      </c>
    </row>
    <row r="1000" spans="1:5">
      <c r="A1000">
        <f>IF(COUNTBLANK(B1000:E1000)&lt;&gt;COLUMNS(B1000:E1000),999,"")</f>
        <v>0</v>
      </c>
      <c r="C1000" s="1">
        <f>IF(B1000="", "", "human-oral")</f>
        <v>0</v>
      </c>
      <c r="D1000" s="1">
        <f>IF(B1000="", "", "human oral metagenome")</f>
        <v>0</v>
      </c>
      <c r="E1000" s="1">
        <f>IF(B1000="", "", "447426")</f>
        <v>0</v>
      </c>
    </row>
    <row r="1001" spans="1:5">
      <c r="A1001">
        <f>IF(COUNTBLANK(B1001:E1001)&lt;&gt;COLUMNS(B1001:E1001),1000,"")</f>
        <v>0</v>
      </c>
      <c r="C1001" s="1">
        <f>IF(B1001="", "", "human-oral")</f>
        <v>0</v>
      </c>
      <c r="D1001" s="1">
        <f>IF(B1001="", "", "human oral metagenome")</f>
        <v>0</v>
      </c>
      <c r="E1001" s="1">
        <f>IF(B1001="", "", "447426")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oral&quot;. The default value is human-oral." promptTitle="Enter env_package" prompt="The value must be a string and must equal &quot;human-oral&quot;. The default value is human-oral." sqref="C2:C1001">
      <formula1>"human-oral"</formula1>
    </dataValidation>
    <dataValidation type="list" allowBlank="1" showInputMessage="1" showErrorMessage="1" errorTitle="Invalid scientific_name" error="The scientific_name value entered is not valid. The value must be a string and must equal &quot;human oral metagenome&quot;. The default value is human oral metagenome." promptTitle="Enter scientific_name" prompt="The value must be a string and must equal &quot;human oral metagenome&quot;. The default value is human oral metagenome." sqref="D2:D1001">
      <formula1>"human oral metagenome"</formula1>
    </dataValidation>
    <dataValidation type="list" allowBlank="1" showInputMessage="1" showErrorMessage="1" errorTitle="Invalid taxon_id" error="The taxon_id value entered is not valid. The value must be a string and must equal &quot;447426&quot;. The default value is 447426." promptTitle="Enter taxon_id" prompt="The value must be a string and must equal &quot;447426&quot;. The default value is 447426." sqref="E2:E1001">
      <formula1>"447426"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AND(IF(Metadata!C2="",FALSE,TRUE),exact(Metadata!C2,"human-oral"))</f>
        <v>0</v>
      </c>
      <c r="R2">
        <f>AND(IF(Metadata!D2="",FALSE,TRUE),exact(Metadata!D2,"human oral metagenome"))</f>
        <v>0</v>
      </c>
      <c r="S2">
        <f>AND(IF(Metadata!E2="",FALSE,TRUE),exact(Metadata!E2,"447426"))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AND(IF(Metadata!C3="",FALSE,TRUE),exact(Metadata!C3,"human-oral"))</f>
        <v>0</v>
      </c>
      <c r="R3">
        <f>AND(IF(Metadata!D3="",FALSE,TRUE),exact(Metadata!D3,"human oral metagenome"))</f>
        <v>0</v>
      </c>
      <c r="S3">
        <f>AND(IF(Metadata!E3="",FALSE,TRUE),exact(Metadata!E3,"447426"))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AND(IF(Metadata!C4="",FALSE,TRUE),exact(Metadata!C4,"human-oral"))</f>
        <v>0</v>
      </c>
      <c r="R4">
        <f>AND(IF(Metadata!D4="",FALSE,TRUE),exact(Metadata!D4,"human oral metagenome"))</f>
        <v>0</v>
      </c>
      <c r="S4">
        <f>AND(IF(Metadata!E4="",FALSE,TRUE),exact(Metadata!E4,"447426"))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AND(IF(Metadata!C5="",FALSE,TRUE),exact(Metadata!C5,"human-oral"))</f>
        <v>0</v>
      </c>
      <c r="R5">
        <f>AND(IF(Metadata!D5="",FALSE,TRUE),exact(Metadata!D5,"human oral metagenome"))</f>
        <v>0</v>
      </c>
      <c r="S5">
        <f>AND(IF(Metadata!E5="",FALSE,TRUE),exact(Metadata!E5,"447426"))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AND(IF(Metadata!C6="",FALSE,TRUE),exact(Metadata!C6,"human-oral"))</f>
        <v>0</v>
      </c>
      <c r="R6">
        <f>AND(IF(Metadata!D6="",FALSE,TRUE),exact(Metadata!D6,"human oral metagenome"))</f>
        <v>0</v>
      </c>
      <c r="S6">
        <f>AND(IF(Metadata!E6="",FALSE,TRUE),exact(Metadata!E6,"447426"))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AND(IF(Metadata!C7="",FALSE,TRUE),exact(Metadata!C7,"human-oral"))</f>
        <v>0</v>
      </c>
      <c r="R7">
        <f>AND(IF(Metadata!D7="",FALSE,TRUE),exact(Metadata!D7,"human oral metagenome"))</f>
        <v>0</v>
      </c>
      <c r="S7">
        <f>AND(IF(Metadata!E7="",FALSE,TRUE),exact(Metadata!E7,"447426"))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AND(IF(Metadata!C8="",FALSE,TRUE),exact(Metadata!C8,"human-oral"))</f>
        <v>0</v>
      </c>
      <c r="R8">
        <f>AND(IF(Metadata!D8="",FALSE,TRUE),exact(Metadata!D8,"human oral metagenome"))</f>
        <v>0</v>
      </c>
      <c r="S8">
        <f>AND(IF(Metadata!E8="",FALSE,TRUE),exact(Metadata!E8,"447426"))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AND(IF(Metadata!C9="",FALSE,TRUE),exact(Metadata!C9,"human-oral"))</f>
        <v>0</v>
      </c>
      <c r="R9">
        <f>AND(IF(Metadata!D9="",FALSE,TRUE),exact(Metadata!D9,"human oral metagenome"))</f>
        <v>0</v>
      </c>
      <c r="S9">
        <f>AND(IF(Metadata!E9="",FALSE,TRUE),exact(Metadata!E9,"447426"))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AND(IF(Metadata!C10="",FALSE,TRUE),exact(Metadata!C10,"human-oral"))</f>
        <v>0</v>
      </c>
      <c r="R10">
        <f>AND(IF(Metadata!D10="",FALSE,TRUE),exact(Metadata!D10,"human oral metagenome"))</f>
        <v>0</v>
      </c>
      <c r="S10">
        <f>AND(IF(Metadata!E10="",FALSE,TRUE),exact(Metadata!E10,"447426"))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AND(IF(Metadata!C11="",FALSE,TRUE),exact(Metadata!C11,"human-oral"))</f>
        <v>0</v>
      </c>
      <c r="R11">
        <f>AND(IF(Metadata!D11="",FALSE,TRUE),exact(Metadata!D11,"human oral metagenome"))</f>
        <v>0</v>
      </c>
      <c r="S11">
        <f>AND(IF(Metadata!E11="",FALSE,TRUE),exact(Metadata!E11,"447426"))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AND(IF(Metadata!C12="",FALSE,TRUE),exact(Metadata!C12,"human-oral"))</f>
        <v>0</v>
      </c>
      <c r="R12">
        <f>AND(IF(Metadata!D12="",FALSE,TRUE),exact(Metadata!D12,"human oral metagenome"))</f>
        <v>0</v>
      </c>
      <c r="S12">
        <f>AND(IF(Metadata!E12="",FALSE,TRUE),exact(Metadata!E12,"447426"))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AND(IF(Metadata!C13="",FALSE,TRUE),exact(Metadata!C13,"human-oral"))</f>
        <v>0</v>
      </c>
      <c r="R13">
        <f>AND(IF(Metadata!D13="",FALSE,TRUE),exact(Metadata!D13,"human oral metagenome"))</f>
        <v>0</v>
      </c>
      <c r="S13">
        <f>AND(IF(Metadata!E13="",FALSE,TRUE),exact(Metadata!E13,"447426"))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AND(IF(Metadata!C14="",FALSE,TRUE),exact(Metadata!C14,"human-oral"))</f>
        <v>0</v>
      </c>
      <c r="R14">
        <f>AND(IF(Metadata!D14="",FALSE,TRUE),exact(Metadata!D14,"human oral metagenome"))</f>
        <v>0</v>
      </c>
      <c r="S14">
        <f>AND(IF(Metadata!E14="",FALSE,TRUE),exact(Metadata!E14,"447426"))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AND(IF(Metadata!C15="",FALSE,TRUE),exact(Metadata!C15,"human-oral"))</f>
        <v>0</v>
      </c>
      <c r="R15">
        <f>AND(IF(Metadata!D15="",FALSE,TRUE),exact(Metadata!D15,"human oral metagenome"))</f>
        <v>0</v>
      </c>
      <c r="S15">
        <f>AND(IF(Metadata!E15="",FALSE,TRUE),exact(Metadata!E15,"447426"))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AND(IF(Metadata!C16="",FALSE,TRUE),exact(Metadata!C16,"human-oral"))</f>
        <v>0</v>
      </c>
      <c r="R16">
        <f>AND(IF(Metadata!D16="",FALSE,TRUE),exact(Metadata!D16,"human oral metagenome"))</f>
        <v>0</v>
      </c>
      <c r="S16">
        <f>AND(IF(Metadata!E16="",FALSE,TRUE),exact(Metadata!E16,"447426"))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AND(IF(Metadata!C17="",FALSE,TRUE),exact(Metadata!C17,"human-oral"))</f>
        <v>0</v>
      </c>
      <c r="R17">
        <f>AND(IF(Metadata!D17="",FALSE,TRUE),exact(Metadata!D17,"human oral metagenome"))</f>
        <v>0</v>
      </c>
      <c r="S17">
        <f>AND(IF(Metadata!E17="",FALSE,TRUE),exact(Metadata!E17,"447426"))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AND(IF(Metadata!C18="",FALSE,TRUE),exact(Metadata!C18,"human-oral"))</f>
        <v>0</v>
      </c>
      <c r="R18">
        <f>AND(IF(Metadata!D18="",FALSE,TRUE),exact(Metadata!D18,"human oral metagenome"))</f>
        <v>0</v>
      </c>
      <c r="S18">
        <f>AND(IF(Metadata!E18="",FALSE,TRUE),exact(Metadata!E18,"447426"))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AND(IF(Metadata!C19="",FALSE,TRUE),exact(Metadata!C19,"human-oral"))</f>
        <v>0</v>
      </c>
      <c r="R19">
        <f>AND(IF(Metadata!D19="",FALSE,TRUE),exact(Metadata!D19,"human oral metagenome"))</f>
        <v>0</v>
      </c>
      <c r="S19">
        <f>AND(IF(Metadata!E19="",FALSE,TRUE),exact(Metadata!E19,"447426"))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AND(IF(Metadata!C20="",FALSE,TRUE),exact(Metadata!C20,"human-oral"))</f>
        <v>0</v>
      </c>
      <c r="R20">
        <f>AND(IF(Metadata!D20="",FALSE,TRUE),exact(Metadata!D20,"human oral metagenome"))</f>
        <v>0</v>
      </c>
      <c r="S20">
        <f>AND(IF(Metadata!E20="",FALSE,TRUE),exact(Metadata!E20,"447426"))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AND(IF(Metadata!C21="",FALSE,TRUE),exact(Metadata!C21,"human-oral"))</f>
        <v>0</v>
      </c>
      <c r="R21">
        <f>AND(IF(Metadata!D21="",FALSE,TRUE),exact(Metadata!D21,"human oral metagenome"))</f>
        <v>0</v>
      </c>
      <c r="S21">
        <f>AND(IF(Metadata!E21="",FALSE,TRUE),exact(Metadata!E21,"447426"))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AND(IF(Metadata!C22="",FALSE,TRUE),exact(Metadata!C22,"human-oral"))</f>
        <v>0</v>
      </c>
      <c r="R22">
        <f>AND(IF(Metadata!D22="",FALSE,TRUE),exact(Metadata!D22,"human oral metagenome"))</f>
        <v>0</v>
      </c>
      <c r="S22">
        <f>AND(IF(Metadata!E22="",FALSE,TRUE),exact(Metadata!E22,"447426"))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AND(IF(Metadata!C23="",FALSE,TRUE),exact(Metadata!C23,"human-oral"))</f>
        <v>0</v>
      </c>
      <c r="R23">
        <f>AND(IF(Metadata!D23="",FALSE,TRUE),exact(Metadata!D23,"human oral metagenome"))</f>
        <v>0</v>
      </c>
      <c r="S23">
        <f>AND(IF(Metadata!E23="",FALSE,TRUE),exact(Metadata!E23,"447426"))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AND(IF(Metadata!C24="",FALSE,TRUE),exact(Metadata!C24,"human-oral"))</f>
        <v>0</v>
      </c>
      <c r="R24">
        <f>AND(IF(Metadata!D24="",FALSE,TRUE),exact(Metadata!D24,"human oral metagenome"))</f>
        <v>0</v>
      </c>
      <c r="S24">
        <f>AND(IF(Metadata!E24="",FALSE,TRUE),exact(Metadata!E24,"447426"))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AND(IF(Metadata!C25="",FALSE,TRUE),exact(Metadata!C25,"human-oral"))</f>
        <v>0</v>
      </c>
      <c r="R25">
        <f>AND(IF(Metadata!D25="",FALSE,TRUE),exact(Metadata!D25,"human oral metagenome"))</f>
        <v>0</v>
      </c>
      <c r="S25">
        <f>AND(IF(Metadata!E25="",FALSE,TRUE),exact(Metadata!E25,"447426"))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AND(IF(Metadata!C26="",FALSE,TRUE),exact(Metadata!C26,"human-oral"))</f>
        <v>0</v>
      </c>
      <c r="R26">
        <f>AND(IF(Metadata!D26="",FALSE,TRUE),exact(Metadata!D26,"human oral metagenome"))</f>
        <v>0</v>
      </c>
      <c r="S26">
        <f>AND(IF(Metadata!E26="",FALSE,TRUE),exact(Metadata!E26,"447426"))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AND(IF(Metadata!C27="",FALSE,TRUE),exact(Metadata!C27,"human-oral"))</f>
        <v>0</v>
      </c>
      <c r="R27">
        <f>AND(IF(Metadata!D27="",FALSE,TRUE),exact(Metadata!D27,"human oral metagenome"))</f>
        <v>0</v>
      </c>
      <c r="S27">
        <f>AND(IF(Metadata!E27="",FALSE,TRUE),exact(Metadata!E27,"447426"))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AND(IF(Metadata!C28="",FALSE,TRUE),exact(Metadata!C28,"human-oral"))</f>
        <v>0</v>
      </c>
      <c r="R28">
        <f>AND(IF(Metadata!D28="",FALSE,TRUE),exact(Metadata!D28,"human oral metagenome"))</f>
        <v>0</v>
      </c>
      <c r="S28">
        <f>AND(IF(Metadata!E28="",FALSE,TRUE),exact(Metadata!E28,"447426"))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AND(IF(Metadata!C29="",FALSE,TRUE),exact(Metadata!C29,"human-oral"))</f>
        <v>0</v>
      </c>
      <c r="R29">
        <f>AND(IF(Metadata!D29="",FALSE,TRUE),exact(Metadata!D29,"human oral metagenome"))</f>
        <v>0</v>
      </c>
      <c r="S29">
        <f>AND(IF(Metadata!E29="",FALSE,TRUE),exact(Metadata!E29,"447426"))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AND(IF(Metadata!C30="",FALSE,TRUE),exact(Metadata!C30,"human-oral"))</f>
        <v>0</v>
      </c>
      <c r="R30">
        <f>AND(IF(Metadata!D30="",FALSE,TRUE),exact(Metadata!D30,"human oral metagenome"))</f>
        <v>0</v>
      </c>
      <c r="S30">
        <f>AND(IF(Metadata!E30="",FALSE,TRUE),exact(Metadata!E30,"447426"))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AND(IF(Metadata!C31="",FALSE,TRUE),exact(Metadata!C31,"human-oral"))</f>
        <v>0</v>
      </c>
      <c r="R31">
        <f>AND(IF(Metadata!D31="",FALSE,TRUE),exact(Metadata!D31,"human oral metagenome"))</f>
        <v>0</v>
      </c>
      <c r="S31">
        <f>AND(IF(Metadata!E31="",FALSE,TRUE),exact(Metadata!E31,"447426"))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AND(IF(Metadata!C32="",FALSE,TRUE),exact(Metadata!C32,"human-oral"))</f>
        <v>0</v>
      </c>
      <c r="R32">
        <f>AND(IF(Metadata!D32="",FALSE,TRUE),exact(Metadata!D32,"human oral metagenome"))</f>
        <v>0</v>
      </c>
      <c r="S32">
        <f>AND(IF(Metadata!E32="",FALSE,TRUE),exact(Metadata!E32,"447426"))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AND(IF(Metadata!C33="",FALSE,TRUE),exact(Metadata!C33,"human-oral"))</f>
        <v>0</v>
      </c>
      <c r="R33">
        <f>AND(IF(Metadata!D33="",FALSE,TRUE),exact(Metadata!D33,"human oral metagenome"))</f>
        <v>0</v>
      </c>
      <c r="S33">
        <f>AND(IF(Metadata!E33="",FALSE,TRUE),exact(Metadata!E33,"447426"))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AND(IF(Metadata!C34="",FALSE,TRUE),exact(Metadata!C34,"human-oral"))</f>
        <v>0</v>
      </c>
      <c r="R34">
        <f>AND(IF(Metadata!D34="",FALSE,TRUE),exact(Metadata!D34,"human oral metagenome"))</f>
        <v>0</v>
      </c>
      <c r="S34">
        <f>AND(IF(Metadata!E34="",FALSE,TRUE),exact(Metadata!E34,"447426"))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AND(IF(Metadata!C35="",FALSE,TRUE),exact(Metadata!C35,"human-oral"))</f>
        <v>0</v>
      </c>
      <c r="R35">
        <f>AND(IF(Metadata!D35="",FALSE,TRUE),exact(Metadata!D35,"human oral metagenome"))</f>
        <v>0</v>
      </c>
      <c r="S35">
        <f>AND(IF(Metadata!E35="",FALSE,TRUE),exact(Metadata!E35,"447426"))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AND(IF(Metadata!C36="",FALSE,TRUE),exact(Metadata!C36,"human-oral"))</f>
        <v>0</v>
      </c>
      <c r="R36">
        <f>AND(IF(Metadata!D36="",FALSE,TRUE),exact(Metadata!D36,"human oral metagenome"))</f>
        <v>0</v>
      </c>
      <c r="S36">
        <f>AND(IF(Metadata!E36="",FALSE,TRUE),exact(Metadata!E36,"447426"))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AND(IF(Metadata!C37="",FALSE,TRUE),exact(Metadata!C37,"human-oral"))</f>
        <v>0</v>
      </c>
      <c r="R37">
        <f>AND(IF(Metadata!D37="",FALSE,TRUE),exact(Metadata!D37,"human oral metagenome"))</f>
        <v>0</v>
      </c>
      <c r="S37">
        <f>AND(IF(Metadata!E37="",FALSE,TRUE),exact(Metadata!E37,"447426"))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AND(IF(Metadata!C38="",FALSE,TRUE),exact(Metadata!C38,"human-oral"))</f>
        <v>0</v>
      </c>
      <c r="R38">
        <f>AND(IF(Metadata!D38="",FALSE,TRUE),exact(Metadata!D38,"human oral metagenome"))</f>
        <v>0</v>
      </c>
      <c r="S38">
        <f>AND(IF(Metadata!E38="",FALSE,TRUE),exact(Metadata!E38,"447426"))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AND(IF(Metadata!C39="",FALSE,TRUE),exact(Metadata!C39,"human-oral"))</f>
        <v>0</v>
      </c>
      <c r="R39">
        <f>AND(IF(Metadata!D39="",FALSE,TRUE),exact(Metadata!D39,"human oral metagenome"))</f>
        <v>0</v>
      </c>
      <c r="S39">
        <f>AND(IF(Metadata!E39="",FALSE,TRUE),exact(Metadata!E39,"447426"))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AND(IF(Metadata!C40="",FALSE,TRUE),exact(Metadata!C40,"human-oral"))</f>
        <v>0</v>
      </c>
      <c r="R40">
        <f>AND(IF(Metadata!D40="",FALSE,TRUE),exact(Metadata!D40,"human oral metagenome"))</f>
        <v>0</v>
      </c>
      <c r="S40">
        <f>AND(IF(Metadata!E40="",FALSE,TRUE),exact(Metadata!E40,"447426"))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AND(IF(Metadata!C41="",FALSE,TRUE),exact(Metadata!C41,"human-oral"))</f>
        <v>0</v>
      </c>
      <c r="R41">
        <f>AND(IF(Metadata!D41="",FALSE,TRUE),exact(Metadata!D41,"human oral metagenome"))</f>
        <v>0</v>
      </c>
      <c r="S41">
        <f>AND(IF(Metadata!E41="",FALSE,TRUE),exact(Metadata!E41,"447426"))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AND(IF(Metadata!C42="",FALSE,TRUE),exact(Metadata!C42,"human-oral"))</f>
        <v>0</v>
      </c>
      <c r="R42">
        <f>AND(IF(Metadata!D42="",FALSE,TRUE),exact(Metadata!D42,"human oral metagenome"))</f>
        <v>0</v>
      </c>
      <c r="S42">
        <f>AND(IF(Metadata!E42="",FALSE,TRUE),exact(Metadata!E42,"447426"))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AND(IF(Metadata!C43="",FALSE,TRUE),exact(Metadata!C43,"human-oral"))</f>
        <v>0</v>
      </c>
      <c r="R43">
        <f>AND(IF(Metadata!D43="",FALSE,TRUE),exact(Metadata!D43,"human oral metagenome"))</f>
        <v>0</v>
      </c>
      <c r="S43">
        <f>AND(IF(Metadata!E43="",FALSE,TRUE),exact(Metadata!E43,"447426"))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AND(IF(Metadata!C44="",FALSE,TRUE),exact(Metadata!C44,"human-oral"))</f>
        <v>0</v>
      </c>
      <c r="R44">
        <f>AND(IF(Metadata!D44="",FALSE,TRUE),exact(Metadata!D44,"human oral metagenome"))</f>
        <v>0</v>
      </c>
      <c r="S44">
        <f>AND(IF(Metadata!E44="",FALSE,TRUE),exact(Metadata!E44,"447426"))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AND(IF(Metadata!C45="",FALSE,TRUE),exact(Metadata!C45,"human-oral"))</f>
        <v>0</v>
      </c>
      <c r="R45">
        <f>AND(IF(Metadata!D45="",FALSE,TRUE),exact(Metadata!D45,"human oral metagenome"))</f>
        <v>0</v>
      </c>
      <c r="S45">
        <f>AND(IF(Metadata!E45="",FALSE,TRUE),exact(Metadata!E45,"447426"))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AND(IF(Metadata!C46="",FALSE,TRUE),exact(Metadata!C46,"human-oral"))</f>
        <v>0</v>
      </c>
      <c r="R46">
        <f>AND(IF(Metadata!D46="",FALSE,TRUE),exact(Metadata!D46,"human oral metagenome"))</f>
        <v>0</v>
      </c>
      <c r="S46">
        <f>AND(IF(Metadata!E46="",FALSE,TRUE),exact(Metadata!E46,"447426"))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AND(IF(Metadata!C47="",FALSE,TRUE),exact(Metadata!C47,"human-oral"))</f>
        <v>0</v>
      </c>
      <c r="R47">
        <f>AND(IF(Metadata!D47="",FALSE,TRUE),exact(Metadata!D47,"human oral metagenome"))</f>
        <v>0</v>
      </c>
      <c r="S47">
        <f>AND(IF(Metadata!E47="",FALSE,TRUE),exact(Metadata!E47,"447426"))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AND(IF(Metadata!C48="",FALSE,TRUE),exact(Metadata!C48,"human-oral"))</f>
        <v>0</v>
      </c>
      <c r="R48">
        <f>AND(IF(Metadata!D48="",FALSE,TRUE),exact(Metadata!D48,"human oral metagenome"))</f>
        <v>0</v>
      </c>
      <c r="S48">
        <f>AND(IF(Metadata!E48="",FALSE,TRUE),exact(Metadata!E48,"447426"))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AND(IF(Metadata!C49="",FALSE,TRUE),exact(Metadata!C49,"human-oral"))</f>
        <v>0</v>
      </c>
      <c r="R49">
        <f>AND(IF(Metadata!D49="",FALSE,TRUE),exact(Metadata!D49,"human oral metagenome"))</f>
        <v>0</v>
      </c>
      <c r="S49">
        <f>AND(IF(Metadata!E49="",FALSE,TRUE),exact(Metadata!E49,"447426"))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AND(IF(Metadata!C50="",FALSE,TRUE),exact(Metadata!C50,"human-oral"))</f>
        <v>0</v>
      </c>
      <c r="R50">
        <f>AND(IF(Metadata!D50="",FALSE,TRUE),exact(Metadata!D50,"human oral metagenome"))</f>
        <v>0</v>
      </c>
      <c r="S50">
        <f>AND(IF(Metadata!E50="",FALSE,TRUE),exact(Metadata!E50,"447426"))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AND(IF(Metadata!C51="",FALSE,TRUE),exact(Metadata!C51,"human-oral"))</f>
        <v>0</v>
      </c>
      <c r="R51">
        <f>AND(IF(Metadata!D51="",FALSE,TRUE),exact(Metadata!D51,"human oral metagenome"))</f>
        <v>0</v>
      </c>
      <c r="S51">
        <f>AND(IF(Metadata!E51="",FALSE,TRUE),exact(Metadata!E51,"447426"))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AND(IF(Metadata!C52="",FALSE,TRUE),exact(Metadata!C52,"human-oral"))</f>
        <v>0</v>
      </c>
      <c r="R52">
        <f>AND(IF(Metadata!D52="",FALSE,TRUE),exact(Metadata!D52,"human oral metagenome"))</f>
        <v>0</v>
      </c>
      <c r="S52">
        <f>AND(IF(Metadata!E52="",FALSE,TRUE),exact(Metadata!E52,"447426"))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AND(IF(Metadata!C53="",FALSE,TRUE),exact(Metadata!C53,"human-oral"))</f>
        <v>0</v>
      </c>
      <c r="R53">
        <f>AND(IF(Metadata!D53="",FALSE,TRUE),exact(Metadata!D53,"human oral metagenome"))</f>
        <v>0</v>
      </c>
      <c r="S53">
        <f>AND(IF(Metadata!E53="",FALSE,TRUE),exact(Metadata!E53,"447426"))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AND(IF(Metadata!C54="",FALSE,TRUE),exact(Metadata!C54,"human-oral"))</f>
        <v>0</v>
      </c>
      <c r="R54">
        <f>AND(IF(Metadata!D54="",FALSE,TRUE),exact(Metadata!D54,"human oral metagenome"))</f>
        <v>0</v>
      </c>
      <c r="S54">
        <f>AND(IF(Metadata!E54="",FALSE,TRUE),exact(Metadata!E54,"447426"))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AND(IF(Metadata!C55="",FALSE,TRUE),exact(Metadata!C55,"human-oral"))</f>
        <v>0</v>
      </c>
      <c r="R55">
        <f>AND(IF(Metadata!D55="",FALSE,TRUE),exact(Metadata!D55,"human oral metagenome"))</f>
        <v>0</v>
      </c>
      <c r="S55">
        <f>AND(IF(Metadata!E55="",FALSE,TRUE),exact(Metadata!E55,"447426"))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AND(IF(Metadata!C56="",FALSE,TRUE),exact(Metadata!C56,"human-oral"))</f>
        <v>0</v>
      </c>
      <c r="R56">
        <f>AND(IF(Metadata!D56="",FALSE,TRUE),exact(Metadata!D56,"human oral metagenome"))</f>
        <v>0</v>
      </c>
      <c r="S56">
        <f>AND(IF(Metadata!E56="",FALSE,TRUE),exact(Metadata!E56,"447426"))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AND(IF(Metadata!C57="",FALSE,TRUE),exact(Metadata!C57,"human-oral"))</f>
        <v>0</v>
      </c>
      <c r="R57">
        <f>AND(IF(Metadata!D57="",FALSE,TRUE),exact(Metadata!D57,"human oral metagenome"))</f>
        <v>0</v>
      </c>
      <c r="S57">
        <f>AND(IF(Metadata!E57="",FALSE,TRUE),exact(Metadata!E57,"447426"))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AND(IF(Metadata!C58="",FALSE,TRUE),exact(Metadata!C58,"human-oral"))</f>
        <v>0</v>
      </c>
      <c r="R58">
        <f>AND(IF(Metadata!D58="",FALSE,TRUE),exact(Metadata!D58,"human oral metagenome"))</f>
        <v>0</v>
      </c>
      <c r="S58">
        <f>AND(IF(Metadata!E58="",FALSE,TRUE),exact(Metadata!E58,"447426"))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AND(IF(Metadata!C59="",FALSE,TRUE),exact(Metadata!C59,"human-oral"))</f>
        <v>0</v>
      </c>
      <c r="R59">
        <f>AND(IF(Metadata!D59="",FALSE,TRUE),exact(Metadata!D59,"human oral metagenome"))</f>
        <v>0</v>
      </c>
      <c r="S59">
        <f>AND(IF(Metadata!E59="",FALSE,TRUE),exact(Metadata!E59,"447426"))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AND(IF(Metadata!C60="",FALSE,TRUE),exact(Metadata!C60,"human-oral"))</f>
        <v>0</v>
      </c>
      <c r="R60">
        <f>AND(IF(Metadata!D60="",FALSE,TRUE),exact(Metadata!D60,"human oral metagenome"))</f>
        <v>0</v>
      </c>
      <c r="S60">
        <f>AND(IF(Metadata!E60="",FALSE,TRUE),exact(Metadata!E60,"447426"))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AND(IF(Metadata!C61="",FALSE,TRUE),exact(Metadata!C61,"human-oral"))</f>
        <v>0</v>
      </c>
      <c r="R61">
        <f>AND(IF(Metadata!D61="",FALSE,TRUE),exact(Metadata!D61,"human oral metagenome"))</f>
        <v>0</v>
      </c>
      <c r="S61">
        <f>AND(IF(Metadata!E61="",FALSE,TRUE),exact(Metadata!E61,"447426"))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AND(IF(Metadata!C62="",FALSE,TRUE),exact(Metadata!C62,"human-oral"))</f>
        <v>0</v>
      </c>
      <c r="R62">
        <f>AND(IF(Metadata!D62="",FALSE,TRUE),exact(Metadata!D62,"human oral metagenome"))</f>
        <v>0</v>
      </c>
      <c r="S62">
        <f>AND(IF(Metadata!E62="",FALSE,TRUE),exact(Metadata!E62,"447426"))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AND(IF(Metadata!C63="",FALSE,TRUE),exact(Metadata!C63,"human-oral"))</f>
        <v>0</v>
      </c>
      <c r="R63">
        <f>AND(IF(Metadata!D63="",FALSE,TRUE),exact(Metadata!D63,"human oral metagenome"))</f>
        <v>0</v>
      </c>
      <c r="S63">
        <f>AND(IF(Metadata!E63="",FALSE,TRUE),exact(Metadata!E63,"447426"))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AND(IF(Metadata!C64="",FALSE,TRUE),exact(Metadata!C64,"human-oral"))</f>
        <v>0</v>
      </c>
      <c r="R64">
        <f>AND(IF(Metadata!D64="",FALSE,TRUE),exact(Metadata!D64,"human oral metagenome"))</f>
        <v>0</v>
      </c>
      <c r="S64">
        <f>AND(IF(Metadata!E64="",FALSE,TRUE),exact(Metadata!E64,"447426"))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AND(IF(Metadata!C65="",FALSE,TRUE),exact(Metadata!C65,"human-oral"))</f>
        <v>0</v>
      </c>
      <c r="R65">
        <f>AND(IF(Metadata!D65="",FALSE,TRUE),exact(Metadata!D65,"human oral metagenome"))</f>
        <v>0</v>
      </c>
      <c r="S65">
        <f>AND(IF(Metadata!E65="",FALSE,TRUE),exact(Metadata!E65,"447426"))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AND(IF(Metadata!C66="",FALSE,TRUE),exact(Metadata!C66,"human-oral"))</f>
        <v>0</v>
      </c>
      <c r="R66">
        <f>AND(IF(Metadata!D66="",FALSE,TRUE),exact(Metadata!D66,"human oral metagenome"))</f>
        <v>0</v>
      </c>
      <c r="S66">
        <f>AND(IF(Metadata!E66="",FALSE,TRUE),exact(Metadata!E66,"447426"))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AND(IF(Metadata!C67="",FALSE,TRUE),exact(Metadata!C67,"human-oral"))</f>
        <v>0</v>
      </c>
      <c r="R67">
        <f>AND(IF(Metadata!D67="",FALSE,TRUE),exact(Metadata!D67,"human oral metagenome"))</f>
        <v>0</v>
      </c>
      <c r="S67">
        <f>AND(IF(Metadata!E67="",FALSE,TRUE),exact(Metadata!E67,"447426"))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AND(IF(Metadata!C68="",FALSE,TRUE),exact(Metadata!C68,"human-oral"))</f>
        <v>0</v>
      </c>
      <c r="R68">
        <f>AND(IF(Metadata!D68="",FALSE,TRUE),exact(Metadata!D68,"human oral metagenome"))</f>
        <v>0</v>
      </c>
      <c r="S68">
        <f>AND(IF(Metadata!E68="",FALSE,TRUE),exact(Metadata!E68,"447426"))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AND(IF(Metadata!C69="",FALSE,TRUE),exact(Metadata!C69,"human-oral"))</f>
        <v>0</v>
      </c>
      <c r="R69">
        <f>AND(IF(Metadata!D69="",FALSE,TRUE),exact(Metadata!D69,"human oral metagenome"))</f>
        <v>0</v>
      </c>
      <c r="S69">
        <f>AND(IF(Metadata!E69="",FALSE,TRUE),exact(Metadata!E69,"447426"))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AND(IF(Metadata!C70="",FALSE,TRUE),exact(Metadata!C70,"human-oral"))</f>
        <v>0</v>
      </c>
      <c r="R70">
        <f>AND(IF(Metadata!D70="",FALSE,TRUE),exact(Metadata!D70,"human oral metagenome"))</f>
        <v>0</v>
      </c>
      <c r="S70">
        <f>AND(IF(Metadata!E70="",FALSE,TRUE),exact(Metadata!E70,"447426"))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AND(IF(Metadata!C71="",FALSE,TRUE),exact(Metadata!C71,"human-oral"))</f>
        <v>0</v>
      </c>
      <c r="R71">
        <f>AND(IF(Metadata!D71="",FALSE,TRUE),exact(Metadata!D71,"human oral metagenome"))</f>
        <v>0</v>
      </c>
      <c r="S71">
        <f>AND(IF(Metadata!E71="",FALSE,TRUE),exact(Metadata!E71,"447426"))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AND(IF(Metadata!C72="",FALSE,TRUE),exact(Metadata!C72,"human-oral"))</f>
        <v>0</v>
      </c>
      <c r="R72">
        <f>AND(IF(Metadata!D72="",FALSE,TRUE),exact(Metadata!D72,"human oral metagenome"))</f>
        <v>0</v>
      </c>
      <c r="S72">
        <f>AND(IF(Metadata!E72="",FALSE,TRUE),exact(Metadata!E72,"447426"))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AND(IF(Metadata!C73="",FALSE,TRUE),exact(Metadata!C73,"human-oral"))</f>
        <v>0</v>
      </c>
      <c r="R73">
        <f>AND(IF(Metadata!D73="",FALSE,TRUE),exact(Metadata!D73,"human oral metagenome"))</f>
        <v>0</v>
      </c>
      <c r="S73">
        <f>AND(IF(Metadata!E73="",FALSE,TRUE),exact(Metadata!E73,"447426"))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AND(IF(Metadata!C74="",FALSE,TRUE),exact(Metadata!C74,"human-oral"))</f>
        <v>0</v>
      </c>
      <c r="R74">
        <f>AND(IF(Metadata!D74="",FALSE,TRUE),exact(Metadata!D74,"human oral metagenome"))</f>
        <v>0</v>
      </c>
      <c r="S74">
        <f>AND(IF(Metadata!E74="",FALSE,TRUE),exact(Metadata!E74,"447426"))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AND(IF(Metadata!C75="",FALSE,TRUE),exact(Metadata!C75,"human-oral"))</f>
        <v>0</v>
      </c>
      <c r="R75">
        <f>AND(IF(Metadata!D75="",FALSE,TRUE),exact(Metadata!D75,"human oral metagenome"))</f>
        <v>0</v>
      </c>
      <c r="S75">
        <f>AND(IF(Metadata!E75="",FALSE,TRUE),exact(Metadata!E75,"447426"))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AND(IF(Metadata!C76="",FALSE,TRUE),exact(Metadata!C76,"human-oral"))</f>
        <v>0</v>
      </c>
      <c r="R76">
        <f>AND(IF(Metadata!D76="",FALSE,TRUE),exact(Metadata!D76,"human oral metagenome"))</f>
        <v>0</v>
      </c>
      <c r="S76">
        <f>AND(IF(Metadata!E76="",FALSE,TRUE),exact(Metadata!E76,"447426"))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AND(IF(Metadata!C77="",FALSE,TRUE),exact(Metadata!C77,"human-oral"))</f>
        <v>0</v>
      </c>
      <c r="R77">
        <f>AND(IF(Metadata!D77="",FALSE,TRUE),exact(Metadata!D77,"human oral metagenome"))</f>
        <v>0</v>
      </c>
      <c r="S77">
        <f>AND(IF(Metadata!E77="",FALSE,TRUE),exact(Metadata!E77,"447426"))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AND(IF(Metadata!C78="",FALSE,TRUE),exact(Metadata!C78,"human-oral"))</f>
        <v>0</v>
      </c>
      <c r="R78">
        <f>AND(IF(Metadata!D78="",FALSE,TRUE),exact(Metadata!D78,"human oral metagenome"))</f>
        <v>0</v>
      </c>
      <c r="S78">
        <f>AND(IF(Metadata!E78="",FALSE,TRUE),exact(Metadata!E78,"447426"))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AND(IF(Metadata!C79="",FALSE,TRUE),exact(Metadata!C79,"human-oral"))</f>
        <v>0</v>
      </c>
      <c r="R79">
        <f>AND(IF(Metadata!D79="",FALSE,TRUE),exact(Metadata!D79,"human oral metagenome"))</f>
        <v>0</v>
      </c>
      <c r="S79">
        <f>AND(IF(Metadata!E79="",FALSE,TRUE),exact(Metadata!E79,"447426"))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AND(IF(Metadata!C80="",FALSE,TRUE),exact(Metadata!C80,"human-oral"))</f>
        <v>0</v>
      </c>
      <c r="R80">
        <f>AND(IF(Metadata!D80="",FALSE,TRUE),exact(Metadata!D80,"human oral metagenome"))</f>
        <v>0</v>
      </c>
      <c r="S80">
        <f>AND(IF(Metadata!E80="",FALSE,TRUE),exact(Metadata!E80,"447426"))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AND(IF(Metadata!C81="",FALSE,TRUE),exact(Metadata!C81,"human-oral"))</f>
        <v>0</v>
      </c>
      <c r="R81">
        <f>AND(IF(Metadata!D81="",FALSE,TRUE),exact(Metadata!D81,"human oral metagenome"))</f>
        <v>0</v>
      </c>
      <c r="S81">
        <f>AND(IF(Metadata!E81="",FALSE,TRUE),exact(Metadata!E81,"447426"))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AND(IF(Metadata!C82="",FALSE,TRUE),exact(Metadata!C82,"human-oral"))</f>
        <v>0</v>
      </c>
      <c r="R82">
        <f>AND(IF(Metadata!D82="",FALSE,TRUE),exact(Metadata!D82,"human oral metagenome"))</f>
        <v>0</v>
      </c>
      <c r="S82">
        <f>AND(IF(Metadata!E82="",FALSE,TRUE),exact(Metadata!E82,"447426"))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AND(IF(Metadata!C83="",FALSE,TRUE),exact(Metadata!C83,"human-oral"))</f>
        <v>0</v>
      </c>
      <c r="R83">
        <f>AND(IF(Metadata!D83="",FALSE,TRUE),exact(Metadata!D83,"human oral metagenome"))</f>
        <v>0</v>
      </c>
      <c r="S83">
        <f>AND(IF(Metadata!E83="",FALSE,TRUE),exact(Metadata!E83,"447426"))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AND(IF(Metadata!C84="",FALSE,TRUE),exact(Metadata!C84,"human-oral"))</f>
        <v>0</v>
      </c>
      <c r="R84">
        <f>AND(IF(Metadata!D84="",FALSE,TRUE),exact(Metadata!D84,"human oral metagenome"))</f>
        <v>0</v>
      </c>
      <c r="S84">
        <f>AND(IF(Metadata!E84="",FALSE,TRUE),exact(Metadata!E84,"447426"))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AND(IF(Metadata!C85="",FALSE,TRUE),exact(Metadata!C85,"human-oral"))</f>
        <v>0</v>
      </c>
      <c r="R85">
        <f>AND(IF(Metadata!D85="",FALSE,TRUE),exact(Metadata!D85,"human oral metagenome"))</f>
        <v>0</v>
      </c>
      <c r="S85">
        <f>AND(IF(Metadata!E85="",FALSE,TRUE),exact(Metadata!E85,"447426"))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AND(IF(Metadata!C86="",FALSE,TRUE),exact(Metadata!C86,"human-oral"))</f>
        <v>0</v>
      </c>
      <c r="R86">
        <f>AND(IF(Metadata!D86="",FALSE,TRUE),exact(Metadata!D86,"human oral metagenome"))</f>
        <v>0</v>
      </c>
      <c r="S86">
        <f>AND(IF(Metadata!E86="",FALSE,TRUE),exact(Metadata!E86,"447426"))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AND(IF(Metadata!C87="",FALSE,TRUE),exact(Metadata!C87,"human-oral"))</f>
        <v>0</v>
      </c>
      <c r="R87">
        <f>AND(IF(Metadata!D87="",FALSE,TRUE),exact(Metadata!D87,"human oral metagenome"))</f>
        <v>0</v>
      </c>
      <c r="S87">
        <f>AND(IF(Metadata!E87="",FALSE,TRUE),exact(Metadata!E87,"447426"))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AND(IF(Metadata!C88="",FALSE,TRUE),exact(Metadata!C88,"human-oral"))</f>
        <v>0</v>
      </c>
      <c r="R88">
        <f>AND(IF(Metadata!D88="",FALSE,TRUE),exact(Metadata!D88,"human oral metagenome"))</f>
        <v>0</v>
      </c>
      <c r="S88">
        <f>AND(IF(Metadata!E88="",FALSE,TRUE),exact(Metadata!E88,"447426"))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AND(IF(Metadata!C89="",FALSE,TRUE),exact(Metadata!C89,"human-oral"))</f>
        <v>0</v>
      </c>
      <c r="R89">
        <f>AND(IF(Metadata!D89="",FALSE,TRUE),exact(Metadata!D89,"human oral metagenome"))</f>
        <v>0</v>
      </c>
      <c r="S89">
        <f>AND(IF(Metadata!E89="",FALSE,TRUE),exact(Metadata!E89,"447426"))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AND(IF(Metadata!C90="",FALSE,TRUE),exact(Metadata!C90,"human-oral"))</f>
        <v>0</v>
      </c>
      <c r="R90">
        <f>AND(IF(Metadata!D90="",FALSE,TRUE),exact(Metadata!D90,"human oral metagenome"))</f>
        <v>0</v>
      </c>
      <c r="S90">
        <f>AND(IF(Metadata!E90="",FALSE,TRUE),exact(Metadata!E90,"447426"))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AND(IF(Metadata!C91="",FALSE,TRUE),exact(Metadata!C91,"human-oral"))</f>
        <v>0</v>
      </c>
      <c r="R91">
        <f>AND(IF(Metadata!D91="",FALSE,TRUE),exact(Metadata!D91,"human oral metagenome"))</f>
        <v>0</v>
      </c>
      <c r="S91">
        <f>AND(IF(Metadata!E91="",FALSE,TRUE),exact(Metadata!E91,"447426"))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AND(IF(Metadata!C92="",FALSE,TRUE),exact(Metadata!C92,"human-oral"))</f>
        <v>0</v>
      </c>
      <c r="R92">
        <f>AND(IF(Metadata!D92="",FALSE,TRUE),exact(Metadata!D92,"human oral metagenome"))</f>
        <v>0</v>
      </c>
      <c r="S92">
        <f>AND(IF(Metadata!E92="",FALSE,TRUE),exact(Metadata!E92,"447426"))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AND(IF(Metadata!C93="",FALSE,TRUE),exact(Metadata!C93,"human-oral"))</f>
        <v>0</v>
      </c>
      <c r="R93">
        <f>AND(IF(Metadata!D93="",FALSE,TRUE),exact(Metadata!D93,"human oral metagenome"))</f>
        <v>0</v>
      </c>
      <c r="S93">
        <f>AND(IF(Metadata!E93="",FALSE,TRUE),exact(Metadata!E93,"447426"))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AND(IF(Metadata!C94="",FALSE,TRUE),exact(Metadata!C94,"human-oral"))</f>
        <v>0</v>
      </c>
      <c r="R94">
        <f>AND(IF(Metadata!D94="",FALSE,TRUE),exact(Metadata!D94,"human oral metagenome"))</f>
        <v>0</v>
      </c>
      <c r="S94">
        <f>AND(IF(Metadata!E94="",FALSE,TRUE),exact(Metadata!E94,"447426"))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AND(IF(Metadata!C95="",FALSE,TRUE),exact(Metadata!C95,"human-oral"))</f>
        <v>0</v>
      </c>
      <c r="R95">
        <f>AND(IF(Metadata!D95="",FALSE,TRUE),exact(Metadata!D95,"human oral metagenome"))</f>
        <v>0</v>
      </c>
      <c r="S95">
        <f>AND(IF(Metadata!E95="",FALSE,TRUE),exact(Metadata!E95,"447426"))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AND(IF(Metadata!C96="",FALSE,TRUE),exact(Metadata!C96,"human-oral"))</f>
        <v>0</v>
      </c>
      <c r="R96">
        <f>AND(IF(Metadata!D96="",FALSE,TRUE),exact(Metadata!D96,"human oral metagenome"))</f>
        <v>0</v>
      </c>
      <c r="S96">
        <f>AND(IF(Metadata!E96="",FALSE,TRUE),exact(Metadata!E96,"447426"))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AND(IF(Metadata!C97="",FALSE,TRUE),exact(Metadata!C97,"human-oral"))</f>
        <v>0</v>
      </c>
      <c r="R97">
        <f>AND(IF(Metadata!D97="",FALSE,TRUE),exact(Metadata!D97,"human oral metagenome"))</f>
        <v>0</v>
      </c>
      <c r="S97">
        <f>AND(IF(Metadata!E97="",FALSE,TRUE),exact(Metadata!E97,"447426"))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AND(IF(Metadata!C98="",FALSE,TRUE),exact(Metadata!C98,"human-oral"))</f>
        <v>0</v>
      </c>
      <c r="R98">
        <f>AND(IF(Metadata!D98="",FALSE,TRUE),exact(Metadata!D98,"human oral metagenome"))</f>
        <v>0</v>
      </c>
      <c r="S98">
        <f>AND(IF(Metadata!E98="",FALSE,TRUE),exact(Metadata!E98,"447426"))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AND(IF(Metadata!C99="",FALSE,TRUE),exact(Metadata!C99,"human-oral"))</f>
        <v>0</v>
      </c>
      <c r="R99">
        <f>AND(IF(Metadata!D99="",FALSE,TRUE),exact(Metadata!D99,"human oral metagenome"))</f>
        <v>0</v>
      </c>
      <c r="S99">
        <f>AND(IF(Metadata!E99="",FALSE,TRUE),exact(Metadata!E99,"447426"))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AND(IF(Metadata!C100="",FALSE,TRUE),exact(Metadata!C100,"human-oral"))</f>
        <v>0</v>
      </c>
      <c r="R100">
        <f>AND(IF(Metadata!D100="",FALSE,TRUE),exact(Metadata!D100,"human oral metagenome"))</f>
        <v>0</v>
      </c>
      <c r="S100">
        <f>AND(IF(Metadata!E100="",FALSE,TRUE),exact(Metadata!E100,"447426"))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AND(IF(Metadata!C101="",FALSE,TRUE),exact(Metadata!C101,"human-oral"))</f>
        <v>0</v>
      </c>
      <c r="R101">
        <f>AND(IF(Metadata!D101="",FALSE,TRUE),exact(Metadata!D101,"human oral metagenome"))</f>
        <v>0</v>
      </c>
      <c r="S101">
        <f>AND(IF(Metadata!E101="",FALSE,TRUE),exact(Metadata!E101,"447426"))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AND(IF(Metadata!C102="",FALSE,TRUE),exact(Metadata!C102,"human-oral"))</f>
        <v>0</v>
      </c>
      <c r="R102">
        <f>AND(IF(Metadata!D102="",FALSE,TRUE),exact(Metadata!D102,"human oral metagenome"))</f>
        <v>0</v>
      </c>
      <c r="S102">
        <f>AND(IF(Metadata!E102="",FALSE,TRUE),exact(Metadata!E102,"447426"))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AND(IF(Metadata!C103="",FALSE,TRUE),exact(Metadata!C103,"human-oral"))</f>
        <v>0</v>
      </c>
      <c r="R103">
        <f>AND(IF(Metadata!D103="",FALSE,TRUE),exact(Metadata!D103,"human oral metagenome"))</f>
        <v>0</v>
      </c>
      <c r="S103">
        <f>AND(IF(Metadata!E103="",FALSE,TRUE),exact(Metadata!E103,"447426"))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AND(IF(Metadata!C104="",FALSE,TRUE),exact(Metadata!C104,"human-oral"))</f>
        <v>0</v>
      </c>
      <c r="R104">
        <f>AND(IF(Metadata!D104="",FALSE,TRUE),exact(Metadata!D104,"human oral metagenome"))</f>
        <v>0</v>
      </c>
      <c r="S104">
        <f>AND(IF(Metadata!E104="",FALSE,TRUE),exact(Metadata!E104,"447426"))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AND(IF(Metadata!C105="",FALSE,TRUE),exact(Metadata!C105,"human-oral"))</f>
        <v>0</v>
      </c>
      <c r="R105">
        <f>AND(IF(Metadata!D105="",FALSE,TRUE),exact(Metadata!D105,"human oral metagenome"))</f>
        <v>0</v>
      </c>
      <c r="S105">
        <f>AND(IF(Metadata!E105="",FALSE,TRUE),exact(Metadata!E105,"447426"))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AND(IF(Metadata!C106="",FALSE,TRUE),exact(Metadata!C106,"human-oral"))</f>
        <v>0</v>
      </c>
      <c r="R106">
        <f>AND(IF(Metadata!D106="",FALSE,TRUE),exact(Metadata!D106,"human oral metagenome"))</f>
        <v>0</v>
      </c>
      <c r="S106">
        <f>AND(IF(Metadata!E106="",FALSE,TRUE),exact(Metadata!E106,"447426"))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AND(IF(Metadata!C107="",FALSE,TRUE),exact(Metadata!C107,"human-oral"))</f>
        <v>0</v>
      </c>
      <c r="R107">
        <f>AND(IF(Metadata!D107="",FALSE,TRUE),exact(Metadata!D107,"human oral metagenome"))</f>
        <v>0</v>
      </c>
      <c r="S107">
        <f>AND(IF(Metadata!E107="",FALSE,TRUE),exact(Metadata!E107,"447426"))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AND(IF(Metadata!C108="",FALSE,TRUE),exact(Metadata!C108,"human-oral"))</f>
        <v>0</v>
      </c>
      <c r="R108">
        <f>AND(IF(Metadata!D108="",FALSE,TRUE),exact(Metadata!D108,"human oral metagenome"))</f>
        <v>0</v>
      </c>
      <c r="S108">
        <f>AND(IF(Metadata!E108="",FALSE,TRUE),exact(Metadata!E108,"447426"))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AND(IF(Metadata!C109="",FALSE,TRUE),exact(Metadata!C109,"human-oral"))</f>
        <v>0</v>
      </c>
      <c r="R109">
        <f>AND(IF(Metadata!D109="",FALSE,TRUE),exact(Metadata!D109,"human oral metagenome"))</f>
        <v>0</v>
      </c>
      <c r="S109">
        <f>AND(IF(Metadata!E109="",FALSE,TRUE),exact(Metadata!E109,"447426"))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AND(IF(Metadata!C110="",FALSE,TRUE),exact(Metadata!C110,"human-oral"))</f>
        <v>0</v>
      </c>
      <c r="R110">
        <f>AND(IF(Metadata!D110="",FALSE,TRUE),exact(Metadata!D110,"human oral metagenome"))</f>
        <v>0</v>
      </c>
      <c r="S110">
        <f>AND(IF(Metadata!E110="",FALSE,TRUE),exact(Metadata!E110,"447426"))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AND(IF(Metadata!C111="",FALSE,TRUE),exact(Metadata!C111,"human-oral"))</f>
        <v>0</v>
      </c>
      <c r="R111">
        <f>AND(IF(Metadata!D111="",FALSE,TRUE),exact(Metadata!D111,"human oral metagenome"))</f>
        <v>0</v>
      </c>
      <c r="S111">
        <f>AND(IF(Metadata!E111="",FALSE,TRUE),exact(Metadata!E111,"447426"))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AND(IF(Metadata!C112="",FALSE,TRUE),exact(Metadata!C112,"human-oral"))</f>
        <v>0</v>
      </c>
      <c r="R112">
        <f>AND(IF(Metadata!D112="",FALSE,TRUE),exact(Metadata!D112,"human oral metagenome"))</f>
        <v>0</v>
      </c>
      <c r="S112">
        <f>AND(IF(Metadata!E112="",FALSE,TRUE),exact(Metadata!E112,"447426"))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AND(IF(Metadata!C113="",FALSE,TRUE),exact(Metadata!C113,"human-oral"))</f>
        <v>0</v>
      </c>
      <c r="R113">
        <f>AND(IF(Metadata!D113="",FALSE,TRUE),exact(Metadata!D113,"human oral metagenome"))</f>
        <v>0</v>
      </c>
      <c r="S113">
        <f>AND(IF(Metadata!E113="",FALSE,TRUE),exact(Metadata!E113,"447426"))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AND(IF(Metadata!C114="",FALSE,TRUE),exact(Metadata!C114,"human-oral"))</f>
        <v>0</v>
      </c>
      <c r="R114">
        <f>AND(IF(Metadata!D114="",FALSE,TRUE),exact(Metadata!D114,"human oral metagenome"))</f>
        <v>0</v>
      </c>
      <c r="S114">
        <f>AND(IF(Metadata!E114="",FALSE,TRUE),exact(Metadata!E114,"447426"))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AND(IF(Metadata!C115="",FALSE,TRUE),exact(Metadata!C115,"human-oral"))</f>
        <v>0</v>
      </c>
      <c r="R115">
        <f>AND(IF(Metadata!D115="",FALSE,TRUE),exact(Metadata!D115,"human oral metagenome"))</f>
        <v>0</v>
      </c>
      <c r="S115">
        <f>AND(IF(Metadata!E115="",FALSE,TRUE),exact(Metadata!E115,"447426"))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AND(IF(Metadata!C116="",FALSE,TRUE),exact(Metadata!C116,"human-oral"))</f>
        <v>0</v>
      </c>
      <c r="R116">
        <f>AND(IF(Metadata!D116="",FALSE,TRUE),exact(Metadata!D116,"human oral metagenome"))</f>
        <v>0</v>
      </c>
      <c r="S116">
        <f>AND(IF(Metadata!E116="",FALSE,TRUE),exact(Metadata!E116,"447426"))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AND(IF(Metadata!C117="",FALSE,TRUE),exact(Metadata!C117,"human-oral"))</f>
        <v>0</v>
      </c>
      <c r="R117">
        <f>AND(IF(Metadata!D117="",FALSE,TRUE),exact(Metadata!D117,"human oral metagenome"))</f>
        <v>0</v>
      </c>
      <c r="S117">
        <f>AND(IF(Metadata!E117="",FALSE,TRUE),exact(Metadata!E117,"447426"))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AND(IF(Metadata!C118="",FALSE,TRUE),exact(Metadata!C118,"human-oral"))</f>
        <v>0</v>
      </c>
      <c r="R118">
        <f>AND(IF(Metadata!D118="",FALSE,TRUE),exact(Metadata!D118,"human oral metagenome"))</f>
        <v>0</v>
      </c>
      <c r="S118">
        <f>AND(IF(Metadata!E118="",FALSE,TRUE),exact(Metadata!E118,"447426"))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AND(IF(Metadata!C119="",FALSE,TRUE),exact(Metadata!C119,"human-oral"))</f>
        <v>0</v>
      </c>
      <c r="R119">
        <f>AND(IF(Metadata!D119="",FALSE,TRUE),exact(Metadata!D119,"human oral metagenome"))</f>
        <v>0</v>
      </c>
      <c r="S119">
        <f>AND(IF(Metadata!E119="",FALSE,TRUE),exact(Metadata!E119,"447426"))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AND(IF(Metadata!C120="",FALSE,TRUE),exact(Metadata!C120,"human-oral"))</f>
        <v>0</v>
      </c>
      <c r="R120">
        <f>AND(IF(Metadata!D120="",FALSE,TRUE),exact(Metadata!D120,"human oral metagenome"))</f>
        <v>0</v>
      </c>
      <c r="S120">
        <f>AND(IF(Metadata!E120="",FALSE,TRUE),exact(Metadata!E120,"447426"))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AND(IF(Metadata!C121="",FALSE,TRUE),exact(Metadata!C121,"human-oral"))</f>
        <v>0</v>
      </c>
      <c r="R121">
        <f>AND(IF(Metadata!D121="",FALSE,TRUE),exact(Metadata!D121,"human oral metagenome"))</f>
        <v>0</v>
      </c>
      <c r="S121">
        <f>AND(IF(Metadata!E121="",FALSE,TRUE),exact(Metadata!E121,"447426"))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AND(IF(Metadata!C122="",FALSE,TRUE),exact(Metadata!C122,"human-oral"))</f>
        <v>0</v>
      </c>
      <c r="R122">
        <f>AND(IF(Metadata!D122="",FALSE,TRUE),exact(Metadata!D122,"human oral metagenome"))</f>
        <v>0</v>
      </c>
      <c r="S122">
        <f>AND(IF(Metadata!E122="",FALSE,TRUE),exact(Metadata!E122,"447426"))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AND(IF(Metadata!C123="",FALSE,TRUE),exact(Metadata!C123,"human-oral"))</f>
        <v>0</v>
      </c>
      <c r="R123">
        <f>AND(IF(Metadata!D123="",FALSE,TRUE),exact(Metadata!D123,"human oral metagenome"))</f>
        <v>0</v>
      </c>
      <c r="S123">
        <f>AND(IF(Metadata!E123="",FALSE,TRUE),exact(Metadata!E123,"447426"))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AND(IF(Metadata!C124="",FALSE,TRUE),exact(Metadata!C124,"human-oral"))</f>
        <v>0</v>
      </c>
      <c r="R124">
        <f>AND(IF(Metadata!D124="",FALSE,TRUE),exact(Metadata!D124,"human oral metagenome"))</f>
        <v>0</v>
      </c>
      <c r="S124">
        <f>AND(IF(Metadata!E124="",FALSE,TRUE),exact(Metadata!E124,"447426"))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AND(IF(Metadata!C125="",FALSE,TRUE),exact(Metadata!C125,"human-oral"))</f>
        <v>0</v>
      </c>
      <c r="R125">
        <f>AND(IF(Metadata!D125="",FALSE,TRUE),exact(Metadata!D125,"human oral metagenome"))</f>
        <v>0</v>
      </c>
      <c r="S125">
        <f>AND(IF(Metadata!E125="",FALSE,TRUE),exact(Metadata!E125,"447426"))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AND(IF(Metadata!C126="",FALSE,TRUE),exact(Metadata!C126,"human-oral"))</f>
        <v>0</v>
      </c>
      <c r="R126">
        <f>AND(IF(Metadata!D126="",FALSE,TRUE),exact(Metadata!D126,"human oral metagenome"))</f>
        <v>0</v>
      </c>
      <c r="S126">
        <f>AND(IF(Metadata!E126="",FALSE,TRUE),exact(Metadata!E126,"447426"))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AND(IF(Metadata!C127="",FALSE,TRUE),exact(Metadata!C127,"human-oral"))</f>
        <v>0</v>
      </c>
      <c r="R127">
        <f>AND(IF(Metadata!D127="",FALSE,TRUE),exact(Metadata!D127,"human oral metagenome"))</f>
        <v>0</v>
      </c>
      <c r="S127">
        <f>AND(IF(Metadata!E127="",FALSE,TRUE),exact(Metadata!E127,"447426"))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AND(IF(Metadata!C128="",FALSE,TRUE),exact(Metadata!C128,"human-oral"))</f>
        <v>0</v>
      </c>
      <c r="R128">
        <f>AND(IF(Metadata!D128="",FALSE,TRUE),exact(Metadata!D128,"human oral metagenome"))</f>
        <v>0</v>
      </c>
      <c r="S128">
        <f>AND(IF(Metadata!E128="",FALSE,TRUE),exact(Metadata!E128,"447426"))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AND(IF(Metadata!C129="",FALSE,TRUE),exact(Metadata!C129,"human-oral"))</f>
        <v>0</v>
      </c>
      <c r="R129">
        <f>AND(IF(Metadata!D129="",FALSE,TRUE),exact(Metadata!D129,"human oral metagenome"))</f>
        <v>0</v>
      </c>
      <c r="S129">
        <f>AND(IF(Metadata!E129="",FALSE,TRUE),exact(Metadata!E129,"447426"))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AND(IF(Metadata!C130="",FALSE,TRUE),exact(Metadata!C130,"human-oral"))</f>
        <v>0</v>
      </c>
      <c r="R130">
        <f>AND(IF(Metadata!D130="",FALSE,TRUE),exact(Metadata!D130,"human oral metagenome"))</f>
        <v>0</v>
      </c>
      <c r="S130">
        <f>AND(IF(Metadata!E130="",FALSE,TRUE),exact(Metadata!E130,"447426"))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AND(IF(Metadata!C131="",FALSE,TRUE),exact(Metadata!C131,"human-oral"))</f>
        <v>0</v>
      </c>
      <c r="R131">
        <f>AND(IF(Metadata!D131="",FALSE,TRUE),exact(Metadata!D131,"human oral metagenome"))</f>
        <v>0</v>
      </c>
      <c r="S131">
        <f>AND(IF(Metadata!E131="",FALSE,TRUE),exact(Metadata!E131,"447426"))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AND(IF(Metadata!C132="",FALSE,TRUE),exact(Metadata!C132,"human-oral"))</f>
        <v>0</v>
      </c>
      <c r="R132">
        <f>AND(IF(Metadata!D132="",FALSE,TRUE),exact(Metadata!D132,"human oral metagenome"))</f>
        <v>0</v>
      </c>
      <c r="S132">
        <f>AND(IF(Metadata!E132="",FALSE,TRUE),exact(Metadata!E132,"447426"))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AND(IF(Metadata!C133="",FALSE,TRUE),exact(Metadata!C133,"human-oral"))</f>
        <v>0</v>
      </c>
      <c r="R133">
        <f>AND(IF(Metadata!D133="",FALSE,TRUE),exact(Metadata!D133,"human oral metagenome"))</f>
        <v>0</v>
      </c>
      <c r="S133">
        <f>AND(IF(Metadata!E133="",FALSE,TRUE),exact(Metadata!E133,"447426"))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AND(IF(Metadata!C134="",FALSE,TRUE),exact(Metadata!C134,"human-oral"))</f>
        <v>0</v>
      </c>
      <c r="R134">
        <f>AND(IF(Metadata!D134="",FALSE,TRUE),exact(Metadata!D134,"human oral metagenome"))</f>
        <v>0</v>
      </c>
      <c r="S134">
        <f>AND(IF(Metadata!E134="",FALSE,TRUE),exact(Metadata!E134,"447426"))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AND(IF(Metadata!C135="",FALSE,TRUE),exact(Metadata!C135,"human-oral"))</f>
        <v>0</v>
      </c>
      <c r="R135">
        <f>AND(IF(Metadata!D135="",FALSE,TRUE),exact(Metadata!D135,"human oral metagenome"))</f>
        <v>0</v>
      </c>
      <c r="S135">
        <f>AND(IF(Metadata!E135="",FALSE,TRUE),exact(Metadata!E135,"447426"))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AND(IF(Metadata!C136="",FALSE,TRUE),exact(Metadata!C136,"human-oral"))</f>
        <v>0</v>
      </c>
      <c r="R136">
        <f>AND(IF(Metadata!D136="",FALSE,TRUE),exact(Metadata!D136,"human oral metagenome"))</f>
        <v>0</v>
      </c>
      <c r="S136">
        <f>AND(IF(Metadata!E136="",FALSE,TRUE),exact(Metadata!E136,"447426"))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AND(IF(Metadata!C137="",FALSE,TRUE),exact(Metadata!C137,"human-oral"))</f>
        <v>0</v>
      </c>
      <c r="R137">
        <f>AND(IF(Metadata!D137="",FALSE,TRUE),exact(Metadata!D137,"human oral metagenome"))</f>
        <v>0</v>
      </c>
      <c r="S137">
        <f>AND(IF(Metadata!E137="",FALSE,TRUE),exact(Metadata!E137,"447426"))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AND(IF(Metadata!C138="",FALSE,TRUE),exact(Metadata!C138,"human-oral"))</f>
        <v>0</v>
      </c>
      <c r="R138">
        <f>AND(IF(Metadata!D138="",FALSE,TRUE),exact(Metadata!D138,"human oral metagenome"))</f>
        <v>0</v>
      </c>
      <c r="S138">
        <f>AND(IF(Metadata!E138="",FALSE,TRUE),exact(Metadata!E138,"447426"))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AND(IF(Metadata!C139="",FALSE,TRUE),exact(Metadata!C139,"human-oral"))</f>
        <v>0</v>
      </c>
      <c r="R139">
        <f>AND(IF(Metadata!D139="",FALSE,TRUE),exact(Metadata!D139,"human oral metagenome"))</f>
        <v>0</v>
      </c>
      <c r="S139">
        <f>AND(IF(Metadata!E139="",FALSE,TRUE),exact(Metadata!E139,"447426"))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AND(IF(Metadata!C140="",FALSE,TRUE),exact(Metadata!C140,"human-oral"))</f>
        <v>0</v>
      </c>
      <c r="R140">
        <f>AND(IF(Metadata!D140="",FALSE,TRUE),exact(Metadata!D140,"human oral metagenome"))</f>
        <v>0</v>
      </c>
      <c r="S140">
        <f>AND(IF(Metadata!E140="",FALSE,TRUE),exact(Metadata!E140,"447426"))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AND(IF(Metadata!C141="",FALSE,TRUE),exact(Metadata!C141,"human-oral"))</f>
        <v>0</v>
      </c>
      <c r="R141">
        <f>AND(IF(Metadata!D141="",FALSE,TRUE),exact(Metadata!D141,"human oral metagenome"))</f>
        <v>0</v>
      </c>
      <c r="S141">
        <f>AND(IF(Metadata!E141="",FALSE,TRUE),exact(Metadata!E141,"447426"))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AND(IF(Metadata!C142="",FALSE,TRUE),exact(Metadata!C142,"human-oral"))</f>
        <v>0</v>
      </c>
      <c r="R142">
        <f>AND(IF(Metadata!D142="",FALSE,TRUE),exact(Metadata!D142,"human oral metagenome"))</f>
        <v>0</v>
      </c>
      <c r="S142">
        <f>AND(IF(Metadata!E142="",FALSE,TRUE),exact(Metadata!E142,"447426"))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AND(IF(Metadata!C143="",FALSE,TRUE),exact(Metadata!C143,"human-oral"))</f>
        <v>0</v>
      </c>
      <c r="R143">
        <f>AND(IF(Metadata!D143="",FALSE,TRUE),exact(Metadata!D143,"human oral metagenome"))</f>
        <v>0</v>
      </c>
      <c r="S143">
        <f>AND(IF(Metadata!E143="",FALSE,TRUE),exact(Metadata!E143,"447426"))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AND(IF(Metadata!C144="",FALSE,TRUE),exact(Metadata!C144,"human-oral"))</f>
        <v>0</v>
      </c>
      <c r="R144">
        <f>AND(IF(Metadata!D144="",FALSE,TRUE),exact(Metadata!D144,"human oral metagenome"))</f>
        <v>0</v>
      </c>
      <c r="S144">
        <f>AND(IF(Metadata!E144="",FALSE,TRUE),exact(Metadata!E144,"447426"))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AND(IF(Metadata!C145="",FALSE,TRUE),exact(Metadata!C145,"human-oral"))</f>
        <v>0</v>
      </c>
      <c r="R145">
        <f>AND(IF(Metadata!D145="",FALSE,TRUE),exact(Metadata!D145,"human oral metagenome"))</f>
        <v>0</v>
      </c>
      <c r="S145">
        <f>AND(IF(Metadata!E145="",FALSE,TRUE),exact(Metadata!E145,"447426"))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AND(IF(Metadata!C146="",FALSE,TRUE),exact(Metadata!C146,"human-oral"))</f>
        <v>0</v>
      </c>
      <c r="R146">
        <f>AND(IF(Metadata!D146="",FALSE,TRUE),exact(Metadata!D146,"human oral metagenome"))</f>
        <v>0</v>
      </c>
      <c r="S146">
        <f>AND(IF(Metadata!E146="",FALSE,TRUE),exact(Metadata!E146,"447426"))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AND(IF(Metadata!C147="",FALSE,TRUE),exact(Metadata!C147,"human-oral"))</f>
        <v>0</v>
      </c>
      <c r="R147">
        <f>AND(IF(Metadata!D147="",FALSE,TRUE),exact(Metadata!D147,"human oral metagenome"))</f>
        <v>0</v>
      </c>
      <c r="S147">
        <f>AND(IF(Metadata!E147="",FALSE,TRUE),exact(Metadata!E147,"447426"))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AND(IF(Metadata!C148="",FALSE,TRUE),exact(Metadata!C148,"human-oral"))</f>
        <v>0</v>
      </c>
      <c r="R148">
        <f>AND(IF(Metadata!D148="",FALSE,TRUE),exact(Metadata!D148,"human oral metagenome"))</f>
        <v>0</v>
      </c>
      <c r="S148">
        <f>AND(IF(Metadata!E148="",FALSE,TRUE),exact(Metadata!E148,"447426"))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AND(IF(Metadata!C149="",FALSE,TRUE),exact(Metadata!C149,"human-oral"))</f>
        <v>0</v>
      </c>
      <c r="R149">
        <f>AND(IF(Metadata!D149="",FALSE,TRUE),exact(Metadata!D149,"human oral metagenome"))</f>
        <v>0</v>
      </c>
      <c r="S149">
        <f>AND(IF(Metadata!E149="",FALSE,TRUE),exact(Metadata!E149,"447426"))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AND(IF(Metadata!C150="",FALSE,TRUE),exact(Metadata!C150,"human-oral"))</f>
        <v>0</v>
      </c>
      <c r="R150">
        <f>AND(IF(Metadata!D150="",FALSE,TRUE),exact(Metadata!D150,"human oral metagenome"))</f>
        <v>0</v>
      </c>
      <c r="S150">
        <f>AND(IF(Metadata!E150="",FALSE,TRUE),exact(Metadata!E150,"447426"))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AND(IF(Metadata!C151="",FALSE,TRUE),exact(Metadata!C151,"human-oral"))</f>
        <v>0</v>
      </c>
      <c r="R151">
        <f>AND(IF(Metadata!D151="",FALSE,TRUE),exact(Metadata!D151,"human oral metagenome"))</f>
        <v>0</v>
      </c>
      <c r="S151">
        <f>AND(IF(Metadata!E151="",FALSE,TRUE),exact(Metadata!E151,"447426"))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AND(IF(Metadata!C152="",FALSE,TRUE),exact(Metadata!C152,"human-oral"))</f>
        <v>0</v>
      </c>
      <c r="R152">
        <f>AND(IF(Metadata!D152="",FALSE,TRUE),exact(Metadata!D152,"human oral metagenome"))</f>
        <v>0</v>
      </c>
      <c r="S152">
        <f>AND(IF(Metadata!E152="",FALSE,TRUE),exact(Metadata!E152,"447426"))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AND(IF(Metadata!C153="",FALSE,TRUE),exact(Metadata!C153,"human-oral"))</f>
        <v>0</v>
      </c>
      <c r="R153">
        <f>AND(IF(Metadata!D153="",FALSE,TRUE),exact(Metadata!D153,"human oral metagenome"))</f>
        <v>0</v>
      </c>
      <c r="S153">
        <f>AND(IF(Metadata!E153="",FALSE,TRUE),exact(Metadata!E153,"447426"))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AND(IF(Metadata!C154="",FALSE,TRUE),exact(Metadata!C154,"human-oral"))</f>
        <v>0</v>
      </c>
      <c r="R154">
        <f>AND(IF(Metadata!D154="",FALSE,TRUE),exact(Metadata!D154,"human oral metagenome"))</f>
        <v>0</v>
      </c>
      <c r="S154">
        <f>AND(IF(Metadata!E154="",FALSE,TRUE),exact(Metadata!E154,"447426"))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AND(IF(Metadata!C155="",FALSE,TRUE),exact(Metadata!C155,"human-oral"))</f>
        <v>0</v>
      </c>
      <c r="R155">
        <f>AND(IF(Metadata!D155="",FALSE,TRUE),exact(Metadata!D155,"human oral metagenome"))</f>
        <v>0</v>
      </c>
      <c r="S155">
        <f>AND(IF(Metadata!E155="",FALSE,TRUE),exact(Metadata!E155,"447426"))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AND(IF(Metadata!C156="",FALSE,TRUE),exact(Metadata!C156,"human-oral"))</f>
        <v>0</v>
      </c>
      <c r="R156">
        <f>AND(IF(Metadata!D156="",FALSE,TRUE),exact(Metadata!D156,"human oral metagenome"))</f>
        <v>0</v>
      </c>
      <c r="S156">
        <f>AND(IF(Metadata!E156="",FALSE,TRUE),exact(Metadata!E156,"447426"))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AND(IF(Metadata!C157="",FALSE,TRUE),exact(Metadata!C157,"human-oral"))</f>
        <v>0</v>
      </c>
      <c r="R157">
        <f>AND(IF(Metadata!D157="",FALSE,TRUE),exact(Metadata!D157,"human oral metagenome"))</f>
        <v>0</v>
      </c>
      <c r="S157">
        <f>AND(IF(Metadata!E157="",FALSE,TRUE),exact(Metadata!E157,"447426"))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AND(IF(Metadata!C158="",FALSE,TRUE),exact(Metadata!C158,"human-oral"))</f>
        <v>0</v>
      </c>
      <c r="R158">
        <f>AND(IF(Metadata!D158="",FALSE,TRUE),exact(Metadata!D158,"human oral metagenome"))</f>
        <v>0</v>
      </c>
      <c r="S158">
        <f>AND(IF(Metadata!E158="",FALSE,TRUE),exact(Metadata!E158,"447426"))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AND(IF(Metadata!C159="",FALSE,TRUE),exact(Metadata!C159,"human-oral"))</f>
        <v>0</v>
      </c>
      <c r="R159">
        <f>AND(IF(Metadata!D159="",FALSE,TRUE),exact(Metadata!D159,"human oral metagenome"))</f>
        <v>0</v>
      </c>
      <c r="S159">
        <f>AND(IF(Metadata!E159="",FALSE,TRUE),exact(Metadata!E159,"447426"))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AND(IF(Metadata!C160="",FALSE,TRUE),exact(Metadata!C160,"human-oral"))</f>
        <v>0</v>
      </c>
      <c r="R160">
        <f>AND(IF(Metadata!D160="",FALSE,TRUE),exact(Metadata!D160,"human oral metagenome"))</f>
        <v>0</v>
      </c>
      <c r="S160">
        <f>AND(IF(Metadata!E160="",FALSE,TRUE),exact(Metadata!E160,"447426"))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AND(IF(Metadata!C161="",FALSE,TRUE),exact(Metadata!C161,"human-oral"))</f>
        <v>0</v>
      </c>
      <c r="R161">
        <f>AND(IF(Metadata!D161="",FALSE,TRUE),exact(Metadata!D161,"human oral metagenome"))</f>
        <v>0</v>
      </c>
      <c r="S161">
        <f>AND(IF(Metadata!E161="",FALSE,TRUE),exact(Metadata!E161,"447426"))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AND(IF(Metadata!C162="",FALSE,TRUE),exact(Metadata!C162,"human-oral"))</f>
        <v>0</v>
      </c>
      <c r="R162">
        <f>AND(IF(Metadata!D162="",FALSE,TRUE),exact(Metadata!D162,"human oral metagenome"))</f>
        <v>0</v>
      </c>
      <c r="S162">
        <f>AND(IF(Metadata!E162="",FALSE,TRUE),exact(Metadata!E162,"447426"))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AND(IF(Metadata!C163="",FALSE,TRUE),exact(Metadata!C163,"human-oral"))</f>
        <v>0</v>
      </c>
      <c r="R163">
        <f>AND(IF(Metadata!D163="",FALSE,TRUE),exact(Metadata!D163,"human oral metagenome"))</f>
        <v>0</v>
      </c>
      <c r="S163">
        <f>AND(IF(Metadata!E163="",FALSE,TRUE),exact(Metadata!E163,"447426"))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AND(IF(Metadata!C164="",FALSE,TRUE),exact(Metadata!C164,"human-oral"))</f>
        <v>0</v>
      </c>
      <c r="R164">
        <f>AND(IF(Metadata!D164="",FALSE,TRUE),exact(Metadata!D164,"human oral metagenome"))</f>
        <v>0</v>
      </c>
      <c r="S164">
        <f>AND(IF(Metadata!E164="",FALSE,TRUE),exact(Metadata!E164,"447426"))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AND(IF(Metadata!C165="",FALSE,TRUE),exact(Metadata!C165,"human-oral"))</f>
        <v>0</v>
      </c>
      <c r="R165">
        <f>AND(IF(Metadata!D165="",FALSE,TRUE),exact(Metadata!D165,"human oral metagenome"))</f>
        <v>0</v>
      </c>
      <c r="S165">
        <f>AND(IF(Metadata!E165="",FALSE,TRUE),exact(Metadata!E165,"447426"))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AND(IF(Metadata!C166="",FALSE,TRUE),exact(Metadata!C166,"human-oral"))</f>
        <v>0</v>
      </c>
      <c r="R166">
        <f>AND(IF(Metadata!D166="",FALSE,TRUE),exact(Metadata!D166,"human oral metagenome"))</f>
        <v>0</v>
      </c>
      <c r="S166">
        <f>AND(IF(Metadata!E166="",FALSE,TRUE),exact(Metadata!E166,"447426"))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AND(IF(Metadata!C167="",FALSE,TRUE),exact(Metadata!C167,"human-oral"))</f>
        <v>0</v>
      </c>
      <c r="R167">
        <f>AND(IF(Metadata!D167="",FALSE,TRUE),exact(Metadata!D167,"human oral metagenome"))</f>
        <v>0</v>
      </c>
      <c r="S167">
        <f>AND(IF(Metadata!E167="",FALSE,TRUE),exact(Metadata!E167,"447426"))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AND(IF(Metadata!C168="",FALSE,TRUE),exact(Metadata!C168,"human-oral"))</f>
        <v>0</v>
      </c>
      <c r="R168">
        <f>AND(IF(Metadata!D168="",FALSE,TRUE),exact(Metadata!D168,"human oral metagenome"))</f>
        <v>0</v>
      </c>
      <c r="S168">
        <f>AND(IF(Metadata!E168="",FALSE,TRUE),exact(Metadata!E168,"447426"))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AND(IF(Metadata!C169="",FALSE,TRUE),exact(Metadata!C169,"human-oral"))</f>
        <v>0</v>
      </c>
      <c r="R169">
        <f>AND(IF(Metadata!D169="",FALSE,TRUE),exact(Metadata!D169,"human oral metagenome"))</f>
        <v>0</v>
      </c>
      <c r="S169">
        <f>AND(IF(Metadata!E169="",FALSE,TRUE),exact(Metadata!E169,"447426"))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AND(IF(Metadata!C170="",FALSE,TRUE),exact(Metadata!C170,"human-oral"))</f>
        <v>0</v>
      </c>
      <c r="R170">
        <f>AND(IF(Metadata!D170="",FALSE,TRUE),exact(Metadata!D170,"human oral metagenome"))</f>
        <v>0</v>
      </c>
      <c r="S170">
        <f>AND(IF(Metadata!E170="",FALSE,TRUE),exact(Metadata!E170,"447426"))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AND(IF(Metadata!C171="",FALSE,TRUE),exact(Metadata!C171,"human-oral"))</f>
        <v>0</v>
      </c>
      <c r="R171">
        <f>AND(IF(Metadata!D171="",FALSE,TRUE),exact(Metadata!D171,"human oral metagenome"))</f>
        <v>0</v>
      </c>
      <c r="S171">
        <f>AND(IF(Metadata!E171="",FALSE,TRUE),exact(Metadata!E171,"447426"))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AND(IF(Metadata!C172="",FALSE,TRUE),exact(Metadata!C172,"human-oral"))</f>
        <v>0</v>
      </c>
      <c r="R172">
        <f>AND(IF(Metadata!D172="",FALSE,TRUE),exact(Metadata!D172,"human oral metagenome"))</f>
        <v>0</v>
      </c>
      <c r="S172">
        <f>AND(IF(Metadata!E172="",FALSE,TRUE),exact(Metadata!E172,"447426"))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AND(IF(Metadata!C173="",FALSE,TRUE),exact(Metadata!C173,"human-oral"))</f>
        <v>0</v>
      </c>
      <c r="R173">
        <f>AND(IF(Metadata!D173="",FALSE,TRUE),exact(Metadata!D173,"human oral metagenome"))</f>
        <v>0</v>
      </c>
      <c r="S173">
        <f>AND(IF(Metadata!E173="",FALSE,TRUE),exact(Metadata!E173,"447426"))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AND(IF(Metadata!C174="",FALSE,TRUE),exact(Metadata!C174,"human-oral"))</f>
        <v>0</v>
      </c>
      <c r="R174">
        <f>AND(IF(Metadata!D174="",FALSE,TRUE),exact(Metadata!D174,"human oral metagenome"))</f>
        <v>0</v>
      </c>
      <c r="S174">
        <f>AND(IF(Metadata!E174="",FALSE,TRUE),exact(Metadata!E174,"447426"))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AND(IF(Metadata!C175="",FALSE,TRUE),exact(Metadata!C175,"human-oral"))</f>
        <v>0</v>
      </c>
      <c r="R175">
        <f>AND(IF(Metadata!D175="",FALSE,TRUE),exact(Metadata!D175,"human oral metagenome"))</f>
        <v>0</v>
      </c>
      <c r="S175">
        <f>AND(IF(Metadata!E175="",FALSE,TRUE),exact(Metadata!E175,"447426"))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AND(IF(Metadata!C176="",FALSE,TRUE),exact(Metadata!C176,"human-oral"))</f>
        <v>0</v>
      </c>
      <c r="R176">
        <f>AND(IF(Metadata!D176="",FALSE,TRUE),exact(Metadata!D176,"human oral metagenome"))</f>
        <v>0</v>
      </c>
      <c r="S176">
        <f>AND(IF(Metadata!E176="",FALSE,TRUE),exact(Metadata!E176,"447426"))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AND(IF(Metadata!C177="",FALSE,TRUE),exact(Metadata!C177,"human-oral"))</f>
        <v>0</v>
      </c>
      <c r="R177">
        <f>AND(IF(Metadata!D177="",FALSE,TRUE),exact(Metadata!D177,"human oral metagenome"))</f>
        <v>0</v>
      </c>
      <c r="S177">
        <f>AND(IF(Metadata!E177="",FALSE,TRUE),exact(Metadata!E177,"447426"))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AND(IF(Metadata!C178="",FALSE,TRUE),exact(Metadata!C178,"human-oral"))</f>
        <v>0</v>
      </c>
      <c r="R178">
        <f>AND(IF(Metadata!D178="",FALSE,TRUE),exact(Metadata!D178,"human oral metagenome"))</f>
        <v>0</v>
      </c>
      <c r="S178">
        <f>AND(IF(Metadata!E178="",FALSE,TRUE),exact(Metadata!E178,"447426"))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AND(IF(Metadata!C179="",FALSE,TRUE),exact(Metadata!C179,"human-oral"))</f>
        <v>0</v>
      </c>
      <c r="R179">
        <f>AND(IF(Metadata!D179="",FALSE,TRUE),exact(Metadata!D179,"human oral metagenome"))</f>
        <v>0</v>
      </c>
      <c r="S179">
        <f>AND(IF(Metadata!E179="",FALSE,TRUE),exact(Metadata!E179,"447426"))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AND(IF(Metadata!C180="",FALSE,TRUE),exact(Metadata!C180,"human-oral"))</f>
        <v>0</v>
      </c>
      <c r="R180">
        <f>AND(IF(Metadata!D180="",FALSE,TRUE),exact(Metadata!D180,"human oral metagenome"))</f>
        <v>0</v>
      </c>
      <c r="S180">
        <f>AND(IF(Metadata!E180="",FALSE,TRUE),exact(Metadata!E180,"447426"))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AND(IF(Metadata!C181="",FALSE,TRUE),exact(Metadata!C181,"human-oral"))</f>
        <v>0</v>
      </c>
      <c r="R181">
        <f>AND(IF(Metadata!D181="",FALSE,TRUE),exact(Metadata!D181,"human oral metagenome"))</f>
        <v>0</v>
      </c>
      <c r="S181">
        <f>AND(IF(Metadata!E181="",FALSE,TRUE),exact(Metadata!E181,"447426"))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AND(IF(Metadata!C182="",FALSE,TRUE),exact(Metadata!C182,"human-oral"))</f>
        <v>0</v>
      </c>
      <c r="R182">
        <f>AND(IF(Metadata!D182="",FALSE,TRUE),exact(Metadata!D182,"human oral metagenome"))</f>
        <v>0</v>
      </c>
      <c r="S182">
        <f>AND(IF(Metadata!E182="",FALSE,TRUE),exact(Metadata!E182,"447426"))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AND(IF(Metadata!C183="",FALSE,TRUE),exact(Metadata!C183,"human-oral"))</f>
        <v>0</v>
      </c>
      <c r="R183">
        <f>AND(IF(Metadata!D183="",FALSE,TRUE),exact(Metadata!D183,"human oral metagenome"))</f>
        <v>0</v>
      </c>
      <c r="S183">
        <f>AND(IF(Metadata!E183="",FALSE,TRUE),exact(Metadata!E183,"447426"))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AND(IF(Metadata!C184="",FALSE,TRUE),exact(Metadata!C184,"human-oral"))</f>
        <v>0</v>
      </c>
      <c r="R184">
        <f>AND(IF(Metadata!D184="",FALSE,TRUE),exact(Metadata!D184,"human oral metagenome"))</f>
        <v>0</v>
      </c>
      <c r="S184">
        <f>AND(IF(Metadata!E184="",FALSE,TRUE),exact(Metadata!E184,"447426"))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AND(IF(Metadata!C185="",FALSE,TRUE),exact(Metadata!C185,"human-oral"))</f>
        <v>0</v>
      </c>
      <c r="R185">
        <f>AND(IF(Metadata!D185="",FALSE,TRUE),exact(Metadata!D185,"human oral metagenome"))</f>
        <v>0</v>
      </c>
      <c r="S185">
        <f>AND(IF(Metadata!E185="",FALSE,TRUE),exact(Metadata!E185,"447426"))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AND(IF(Metadata!C186="",FALSE,TRUE),exact(Metadata!C186,"human-oral"))</f>
        <v>0</v>
      </c>
      <c r="R186">
        <f>AND(IF(Metadata!D186="",FALSE,TRUE),exact(Metadata!D186,"human oral metagenome"))</f>
        <v>0</v>
      </c>
      <c r="S186">
        <f>AND(IF(Metadata!E186="",FALSE,TRUE),exact(Metadata!E186,"447426"))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AND(IF(Metadata!C187="",FALSE,TRUE),exact(Metadata!C187,"human-oral"))</f>
        <v>0</v>
      </c>
      <c r="R187">
        <f>AND(IF(Metadata!D187="",FALSE,TRUE),exact(Metadata!D187,"human oral metagenome"))</f>
        <v>0</v>
      </c>
      <c r="S187">
        <f>AND(IF(Metadata!E187="",FALSE,TRUE),exact(Metadata!E187,"447426"))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AND(IF(Metadata!C188="",FALSE,TRUE),exact(Metadata!C188,"human-oral"))</f>
        <v>0</v>
      </c>
      <c r="R188">
        <f>AND(IF(Metadata!D188="",FALSE,TRUE),exact(Metadata!D188,"human oral metagenome"))</f>
        <v>0</v>
      </c>
      <c r="S188">
        <f>AND(IF(Metadata!E188="",FALSE,TRUE),exact(Metadata!E188,"447426"))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AND(IF(Metadata!C189="",FALSE,TRUE),exact(Metadata!C189,"human-oral"))</f>
        <v>0</v>
      </c>
      <c r="R189">
        <f>AND(IF(Metadata!D189="",FALSE,TRUE),exact(Metadata!D189,"human oral metagenome"))</f>
        <v>0</v>
      </c>
      <c r="S189">
        <f>AND(IF(Metadata!E189="",FALSE,TRUE),exact(Metadata!E189,"447426"))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AND(IF(Metadata!C190="",FALSE,TRUE),exact(Metadata!C190,"human-oral"))</f>
        <v>0</v>
      </c>
      <c r="R190">
        <f>AND(IF(Metadata!D190="",FALSE,TRUE),exact(Metadata!D190,"human oral metagenome"))</f>
        <v>0</v>
      </c>
      <c r="S190">
        <f>AND(IF(Metadata!E190="",FALSE,TRUE),exact(Metadata!E190,"447426"))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AND(IF(Metadata!C191="",FALSE,TRUE),exact(Metadata!C191,"human-oral"))</f>
        <v>0</v>
      </c>
      <c r="R191">
        <f>AND(IF(Metadata!D191="",FALSE,TRUE),exact(Metadata!D191,"human oral metagenome"))</f>
        <v>0</v>
      </c>
      <c r="S191">
        <f>AND(IF(Metadata!E191="",FALSE,TRUE),exact(Metadata!E191,"447426"))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AND(IF(Metadata!C192="",FALSE,TRUE),exact(Metadata!C192,"human-oral"))</f>
        <v>0</v>
      </c>
      <c r="R192">
        <f>AND(IF(Metadata!D192="",FALSE,TRUE),exact(Metadata!D192,"human oral metagenome"))</f>
        <v>0</v>
      </c>
      <c r="S192">
        <f>AND(IF(Metadata!E192="",FALSE,TRUE),exact(Metadata!E192,"447426"))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AND(IF(Metadata!C193="",FALSE,TRUE),exact(Metadata!C193,"human-oral"))</f>
        <v>0</v>
      </c>
      <c r="R193">
        <f>AND(IF(Metadata!D193="",FALSE,TRUE),exact(Metadata!D193,"human oral metagenome"))</f>
        <v>0</v>
      </c>
      <c r="S193">
        <f>AND(IF(Metadata!E193="",FALSE,TRUE),exact(Metadata!E193,"447426"))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AND(IF(Metadata!C194="",FALSE,TRUE),exact(Metadata!C194,"human-oral"))</f>
        <v>0</v>
      </c>
      <c r="R194">
        <f>AND(IF(Metadata!D194="",FALSE,TRUE),exact(Metadata!D194,"human oral metagenome"))</f>
        <v>0</v>
      </c>
      <c r="S194">
        <f>AND(IF(Metadata!E194="",FALSE,TRUE),exact(Metadata!E194,"447426"))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AND(IF(Metadata!C195="",FALSE,TRUE),exact(Metadata!C195,"human-oral"))</f>
        <v>0</v>
      </c>
      <c r="R195">
        <f>AND(IF(Metadata!D195="",FALSE,TRUE),exact(Metadata!D195,"human oral metagenome"))</f>
        <v>0</v>
      </c>
      <c r="S195">
        <f>AND(IF(Metadata!E195="",FALSE,TRUE),exact(Metadata!E195,"447426"))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AND(IF(Metadata!C196="",FALSE,TRUE),exact(Metadata!C196,"human-oral"))</f>
        <v>0</v>
      </c>
      <c r="R196">
        <f>AND(IF(Metadata!D196="",FALSE,TRUE),exact(Metadata!D196,"human oral metagenome"))</f>
        <v>0</v>
      </c>
      <c r="S196">
        <f>AND(IF(Metadata!E196="",FALSE,TRUE),exact(Metadata!E196,"447426"))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AND(IF(Metadata!C197="",FALSE,TRUE),exact(Metadata!C197,"human-oral"))</f>
        <v>0</v>
      </c>
      <c r="R197">
        <f>AND(IF(Metadata!D197="",FALSE,TRUE),exact(Metadata!D197,"human oral metagenome"))</f>
        <v>0</v>
      </c>
      <c r="S197">
        <f>AND(IF(Metadata!E197="",FALSE,TRUE),exact(Metadata!E197,"447426"))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AND(IF(Metadata!C198="",FALSE,TRUE),exact(Metadata!C198,"human-oral"))</f>
        <v>0</v>
      </c>
      <c r="R198">
        <f>AND(IF(Metadata!D198="",FALSE,TRUE),exact(Metadata!D198,"human oral metagenome"))</f>
        <v>0</v>
      </c>
      <c r="S198">
        <f>AND(IF(Metadata!E198="",FALSE,TRUE),exact(Metadata!E198,"447426"))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AND(IF(Metadata!C199="",FALSE,TRUE),exact(Metadata!C199,"human-oral"))</f>
        <v>0</v>
      </c>
      <c r="R199">
        <f>AND(IF(Metadata!D199="",FALSE,TRUE),exact(Metadata!D199,"human oral metagenome"))</f>
        <v>0</v>
      </c>
      <c r="S199">
        <f>AND(IF(Metadata!E199="",FALSE,TRUE),exact(Metadata!E199,"447426"))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AND(IF(Metadata!C200="",FALSE,TRUE),exact(Metadata!C200,"human-oral"))</f>
        <v>0</v>
      </c>
      <c r="R200">
        <f>AND(IF(Metadata!D200="",FALSE,TRUE),exact(Metadata!D200,"human oral metagenome"))</f>
        <v>0</v>
      </c>
      <c r="S200">
        <f>AND(IF(Metadata!E200="",FALSE,TRUE),exact(Metadata!E200,"447426"))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AND(IF(Metadata!C201="",FALSE,TRUE),exact(Metadata!C201,"human-oral"))</f>
        <v>0</v>
      </c>
      <c r="R201">
        <f>AND(IF(Metadata!D201="",FALSE,TRUE),exact(Metadata!D201,"human oral metagenome"))</f>
        <v>0</v>
      </c>
      <c r="S201">
        <f>AND(IF(Metadata!E201="",FALSE,TRUE),exact(Metadata!E201,"447426"))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AND(IF(Metadata!C202="",FALSE,TRUE),exact(Metadata!C202,"human-oral"))</f>
        <v>0</v>
      </c>
      <c r="R202">
        <f>AND(IF(Metadata!D202="",FALSE,TRUE),exact(Metadata!D202,"human oral metagenome"))</f>
        <v>0</v>
      </c>
      <c r="S202">
        <f>AND(IF(Metadata!E202="",FALSE,TRUE),exact(Metadata!E202,"447426"))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AND(IF(Metadata!C203="",FALSE,TRUE),exact(Metadata!C203,"human-oral"))</f>
        <v>0</v>
      </c>
      <c r="R203">
        <f>AND(IF(Metadata!D203="",FALSE,TRUE),exact(Metadata!D203,"human oral metagenome"))</f>
        <v>0</v>
      </c>
      <c r="S203">
        <f>AND(IF(Metadata!E203="",FALSE,TRUE),exact(Metadata!E203,"447426"))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AND(IF(Metadata!C204="",FALSE,TRUE),exact(Metadata!C204,"human-oral"))</f>
        <v>0</v>
      </c>
      <c r="R204">
        <f>AND(IF(Metadata!D204="",FALSE,TRUE),exact(Metadata!D204,"human oral metagenome"))</f>
        <v>0</v>
      </c>
      <c r="S204">
        <f>AND(IF(Metadata!E204="",FALSE,TRUE),exact(Metadata!E204,"447426"))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AND(IF(Metadata!C205="",FALSE,TRUE),exact(Metadata!C205,"human-oral"))</f>
        <v>0</v>
      </c>
      <c r="R205">
        <f>AND(IF(Metadata!D205="",FALSE,TRUE),exact(Metadata!D205,"human oral metagenome"))</f>
        <v>0</v>
      </c>
      <c r="S205">
        <f>AND(IF(Metadata!E205="",FALSE,TRUE),exact(Metadata!E205,"447426"))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AND(IF(Metadata!C206="",FALSE,TRUE),exact(Metadata!C206,"human-oral"))</f>
        <v>0</v>
      </c>
      <c r="R206">
        <f>AND(IF(Metadata!D206="",FALSE,TRUE),exact(Metadata!D206,"human oral metagenome"))</f>
        <v>0</v>
      </c>
      <c r="S206">
        <f>AND(IF(Metadata!E206="",FALSE,TRUE),exact(Metadata!E206,"447426"))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AND(IF(Metadata!C207="",FALSE,TRUE),exact(Metadata!C207,"human-oral"))</f>
        <v>0</v>
      </c>
      <c r="R207">
        <f>AND(IF(Metadata!D207="",FALSE,TRUE),exact(Metadata!D207,"human oral metagenome"))</f>
        <v>0</v>
      </c>
      <c r="S207">
        <f>AND(IF(Metadata!E207="",FALSE,TRUE),exact(Metadata!E207,"447426"))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AND(IF(Metadata!C208="",FALSE,TRUE),exact(Metadata!C208,"human-oral"))</f>
        <v>0</v>
      </c>
      <c r="R208">
        <f>AND(IF(Metadata!D208="",FALSE,TRUE),exact(Metadata!D208,"human oral metagenome"))</f>
        <v>0</v>
      </c>
      <c r="S208">
        <f>AND(IF(Metadata!E208="",FALSE,TRUE),exact(Metadata!E208,"447426"))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AND(IF(Metadata!C209="",FALSE,TRUE),exact(Metadata!C209,"human-oral"))</f>
        <v>0</v>
      </c>
      <c r="R209">
        <f>AND(IF(Metadata!D209="",FALSE,TRUE),exact(Metadata!D209,"human oral metagenome"))</f>
        <v>0</v>
      </c>
      <c r="S209">
        <f>AND(IF(Metadata!E209="",FALSE,TRUE),exact(Metadata!E209,"447426"))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AND(IF(Metadata!C210="",FALSE,TRUE),exact(Metadata!C210,"human-oral"))</f>
        <v>0</v>
      </c>
      <c r="R210">
        <f>AND(IF(Metadata!D210="",FALSE,TRUE),exact(Metadata!D210,"human oral metagenome"))</f>
        <v>0</v>
      </c>
      <c r="S210">
        <f>AND(IF(Metadata!E210="",FALSE,TRUE),exact(Metadata!E210,"447426"))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AND(IF(Metadata!C211="",FALSE,TRUE),exact(Metadata!C211,"human-oral"))</f>
        <v>0</v>
      </c>
      <c r="R211">
        <f>AND(IF(Metadata!D211="",FALSE,TRUE),exact(Metadata!D211,"human oral metagenome"))</f>
        <v>0</v>
      </c>
      <c r="S211">
        <f>AND(IF(Metadata!E211="",FALSE,TRUE),exact(Metadata!E211,"447426"))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AND(IF(Metadata!C212="",FALSE,TRUE),exact(Metadata!C212,"human-oral"))</f>
        <v>0</v>
      </c>
      <c r="R212">
        <f>AND(IF(Metadata!D212="",FALSE,TRUE),exact(Metadata!D212,"human oral metagenome"))</f>
        <v>0</v>
      </c>
      <c r="S212">
        <f>AND(IF(Metadata!E212="",FALSE,TRUE),exact(Metadata!E212,"447426"))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AND(IF(Metadata!C213="",FALSE,TRUE),exact(Metadata!C213,"human-oral"))</f>
        <v>0</v>
      </c>
      <c r="R213">
        <f>AND(IF(Metadata!D213="",FALSE,TRUE),exact(Metadata!D213,"human oral metagenome"))</f>
        <v>0</v>
      </c>
      <c r="S213">
        <f>AND(IF(Metadata!E213="",FALSE,TRUE),exact(Metadata!E213,"447426"))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AND(IF(Metadata!C214="",FALSE,TRUE),exact(Metadata!C214,"human-oral"))</f>
        <v>0</v>
      </c>
      <c r="R214">
        <f>AND(IF(Metadata!D214="",FALSE,TRUE),exact(Metadata!D214,"human oral metagenome"))</f>
        <v>0</v>
      </c>
      <c r="S214">
        <f>AND(IF(Metadata!E214="",FALSE,TRUE),exact(Metadata!E214,"447426"))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AND(IF(Metadata!C215="",FALSE,TRUE),exact(Metadata!C215,"human-oral"))</f>
        <v>0</v>
      </c>
      <c r="R215">
        <f>AND(IF(Metadata!D215="",FALSE,TRUE),exact(Metadata!D215,"human oral metagenome"))</f>
        <v>0</v>
      </c>
      <c r="S215">
        <f>AND(IF(Metadata!E215="",FALSE,TRUE),exact(Metadata!E215,"447426"))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AND(IF(Metadata!C216="",FALSE,TRUE),exact(Metadata!C216,"human-oral"))</f>
        <v>0</v>
      </c>
      <c r="R216">
        <f>AND(IF(Metadata!D216="",FALSE,TRUE),exact(Metadata!D216,"human oral metagenome"))</f>
        <v>0</v>
      </c>
      <c r="S216">
        <f>AND(IF(Metadata!E216="",FALSE,TRUE),exact(Metadata!E216,"447426"))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AND(IF(Metadata!C217="",FALSE,TRUE),exact(Metadata!C217,"human-oral"))</f>
        <v>0</v>
      </c>
      <c r="R217">
        <f>AND(IF(Metadata!D217="",FALSE,TRUE),exact(Metadata!D217,"human oral metagenome"))</f>
        <v>0</v>
      </c>
      <c r="S217">
        <f>AND(IF(Metadata!E217="",FALSE,TRUE),exact(Metadata!E217,"447426"))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AND(IF(Metadata!C218="",FALSE,TRUE),exact(Metadata!C218,"human-oral"))</f>
        <v>0</v>
      </c>
      <c r="R218">
        <f>AND(IF(Metadata!D218="",FALSE,TRUE),exact(Metadata!D218,"human oral metagenome"))</f>
        <v>0</v>
      </c>
      <c r="S218">
        <f>AND(IF(Metadata!E218="",FALSE,TRUE),exact(Metadata!E218,"447426"))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AND(IF(Metadata!C219="",FALSE,TRUE),exact(Metadata!C219,"human-oral"))</f>
        <v>0</v>
      </c>
      <c r="R219">
        <f>AND(IF(Metadata!D219="",FALSE,TRUE),exact(Metadata!D219,"human oral metagenome"))</f>
        <v>0</v>
      </c>
      <c r="S219">
        <f>AND(IF(Metadata!E219="",FALSE,TRUE),exact(Metadata!E219,"447426"))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AND(IF(Metadata!C220="",FALSE,TRUE),exact(Metadata!C220,"human-oral"))</f>
        <v>0</v>
      </c>
      <c r="R220">
        <f>AND(IF(Metadata!D220="",FALSE,TRUE),exact(Metadata!D220,"human oral metagenome"))</f>
        <v>0</v>
      </c>
      <c r="S220">
        <f>AND(IF(Metadata!E220="",FALSE,TRUE),exact(Metadata!E220,"447426"))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AND(IF(Metadata!C221="",FALSE,TRUE),exact(Metadata!C221,"human-oral"))</f>
        <v>0</v>
      </c>
      <c r="R221">
        <f>AND(IF(Metadata!D221="",FALSE,TRUE),exact(Metadata!D221,"human oral metagenome"))</f>
        <v>0</v>
      </c>
      <c r="S221">
        <f>AND(IF(Metadata!E221="",FALSE,TRUE),exact(Metadata!E221,"447426"))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AND(IF(Metadata!C222="",FALSE,TRUE),exact(Metadata!C222,"human-oral"))</f>
        <v>0</v>
      </c>
      <c r="R222">
        <f>AND(IF(Metadata!D222="",FALSE,TRUE),exact(Metadata!D222,"human oral metagenome"))</f>
        <v>0</v>
      </c>
      <c r="S222">
        <f>AND(IF(Metadata!E222="",FALSE,TRUE),exact(Metadata!E222,"447426"))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AND(IF(Metadata!C223="",FALSE,TRUE),exact(Metadata!C223,"human-oral"))</f>
        <v>0</v>
      </c>
      <c r="R223">
        <f>AND(IF(Metadata!D223="",FALSE,TRUE),exact(Metadata!D223,"human oral metagenome"))</f>
        <v>0</v>
      </c>
      <c r="S223">
        <f>AND(IF(Metadata!E223="",FALSE,TRUE),exact(Metadata!E223,"447426"))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AND(IF(Metadata!C224="",FALSE,TRUE),exact(Metadata!C224,"human-oral"))</f>
        <v>0</v>
      </c>
      <c r="R224">
        <f>AND(IF(Metadata!D224="",FALSE,TRUE),exact(Metadata!D224,"human oral metagenome"))</f>
        <v>0</v>
      </c>
      <c r="S224">
        <f>AND(IF(Metadata!E224="",FALSE,TRUE),exact(Metadata!E224,"447426"))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AND(IF(Metadata!C225="",FALSE,TRUE),exact(Metadata!C225,"human-oral"))</f>
        <v>0</v>
      </c>
      <c r="R225">
        <f>AND(IF(Metadata!D225="",FALSE,TRUE),exact(Metadata!D225,"human oral metagenome"))</f>
        <v>0</v>
      </c>
      <c r="S225">
        <f>AND(IF(Metadata!E225="",FALSE,TRUE),exact(Metadata!E225,"447426"))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AND(IF(Metadata!C226="",FALSE,TRUE),exact(Metadata!C226,"human-oral"))</f>
        <v>0</v>
      </c>
      <c r="R226">
        <f>AND(IF(Metadata!D226="",FALSE,TRUE),exact(Metadata!D226,"human oral metagenome"))</f>
        <v>0</v>
      </c>
      <c r="S226">
        <f>AND(IF(Metadata!E226="",FALSE,TRUE),exact(Metadata!E226,"447426"))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AND(IF(Metadata!C227="",FALSE,TRUE),exact(Metadata!C227,"human-oral"))</f>
        <v>0</v>
      </c>
      <c r="R227">
        <f>AND(IF(Metadata!D227="",FALSE,TRUE),exact(Metadata!D227,"human oral metagenome"))</f>
        <v>0</v>
      </c>
      <c r="S227">
        <f>AND(IF(Metadata!E227="",FALSE,TRUE),exact(Metadata!E227,"447426"))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AND(IF(Metadata!C228="",FALSE,TRUE),exact(Metadata!C228,"human-oral"))</f>
        <v>0</v>
      </c>
      <c r="R228">
        <f>AND(IF(Metadata!D228="",FALSE,TRUE),exact(Metadata!D228,"human oral metagenome"))</f>
        <v>0</v>
      </c>
      <c r="S228">
        <f>AND(IF(Metadata!E228="",FALSE,TRUE),exact(Metadata!E228,"447426"))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AND(IF(Metadata!C229="",FALSE,TRUE),exact(Metadata!C229,"human-oral"))</f>
        <v>0</v>
      </c>
      <c r="R229">
        <f>AND(IF(Metadata!D229="",FALSE,TRUE),exact(Metadata!D229,"human oral metagenome"))</f>
        <v>0</v>
      </c>
      <c r="S229">
        <f>AND(IF(Metadata!E229="",FALSE,TRUE),exact(Metadata!E229,"447426"))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AND(IF(Metadata!C230="",FALSE,TRUE),exact(Metadata!C230,"human-oral"))</f>
        <v>0</v>
      </c>
      <c r="R230">
        <f>AND(IF(Metadata!D230="",FALSE,TRUE),exact(Metadata!D230,"human oral metagenome"))</f>
        <v>0</v>
      </c>
      <c r="S230">
        <f>AND(IF(Metadata!E230="",FALSE,TRUE),exact(Metadata!E230,"447426"))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AND(IF(Metadata!C231="",FALSE,TRUE),exact(Metadata!C231,"human-oral"))</f>
        <v>0</v>
      </c>
      <c r="R231">
        <f>AND(IF(Metadata!D231="",FALSE,TRUE),exact(Metadata!D231,"human oral metagenome"))</f>
        <v>0</v>
      </c>
      <c r="S231">
        <f>AND(IF(Metadata!E231="",FALSE,TRUE),exact(Metadata!E231,"447426"))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AND(IF(Metadata!C232="",FALSE,TRUE),exact(Metadata!C232,"human-oral"))</f>
        <v>0</v>
      </c>
      <c r="R232">
        <f>AND(IF(Metadata!D232="",FALSE,TRUE),exact(Metadata!D232,"human oral metagenome"))</f>
        <v>0</v>
      </c>
      <c r="S232">
        <f>AND(IF(Metadata!E232="",FALSE,TRUE),exact(Metadata!E232,"447426"))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AND(IF(Metadata!C233="",FALSE,TRUE),exact(Metadata!C233,"human-oral"))</f>
        <v>0</v>
      </c>
      <c r="R233">
        <f>AND(IF(Metadata!D233="",FALSE,TRUE),exact(Metadata!D233,"human oral metagenome"))</f>
        <v>0</v>
      </c>
      <c r="S233">
        <f>AND(IF(Metadata!E233="",FALSE,TRUE),exact(Metadata!E233,"447426"))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AND(IF(Metadata!C234="",FALSE,TRUE),exact(Metadata!C234,"human-oral"))</f>
        <v>0</v>
      </c>
      <c r="R234">
        <f>AND(IF(Metadata!D234="",FALSE,TRUE),exact(Metadata!D234,"human oral metagenome"))</f>
        <v>0</v>
      </c>
      <c r="S234">
        <f>AND(IF(Metadata!E234="",FALSE,TRUE),exact(Metadata!E234,"447426"))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AND(IF(Metadata!C235="",FALSE,TRUE),exact(Metadata!C235,"human-oral"))</f>
        <v>0</v>
      </c>
      <c r="R235">
        <f>AND(IF(Metadata!D235="",FALSE,TRUE),exact(Metadata!D235,"human oral metagenome"))</f>
        <v>0</v>
      </c>
      <c r="S235">
        <f>AND(IF(Metadata!E235="",FALSE,TRUE),exact(Metadata!E235,"447426"))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AND(IF(Metadata!C236="",FALSE,TRUE),exact(Metadata!C236,"human-oral"))</f>
        <v>0</v>
      </c>
      <c r="R236">
        <f>AND(IF(Metadata!D236="",FALSE,TRUE),exact(Metadata!D236,"human oral metagenome"))</f>
        <v>0</v>
      </c>
      <c r="S236">
        <f>AND(IF(Metadata!E236="",FALSE,TRUE),exact(Metadata!E236,"447426"))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AND(IF(Metadata!C237="",FALSE,TRUE),exact(Metadata!C237,"human-oral"))</f>
        <v>0</v>
      </c>
      <c r="R237">
        <f>AND(IF(Metadata!D237="",FALSE,TRUE),exact(Metadata!D237,"human oral metagenome"))</f>
        <v>0</v>
      </c>
      <c r="S237">
        <f>AND(IF(Metadata!E237="",FALSE,TRUE),exact(Metadata!E237,"447426"))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AND(IF(Metadata!C238="",FALSE,TRUE),exact(Metadata!C238,"human-oral"))</f>
        <v>0</v>
      </c>
      <c r="R238">
        <f>AND(IF(Metadata!D238="",FALSE,TRUE),exact(Metadata!D238,"human oral metagenome"))</f>
        <v>0</v>
      </c>
      <c r="S238">
        <f>AND(IF(Metadata!E238="",FALSE,TRUE),exact(Metadata!E238,"447426"))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AND(IF(Metadata!C239="",FALSE,TRUE),exact(Metadata!C239,"human-oral"))</f>
        <v>0</v>
      </c>
      <c r="R239">
        <f>AND(IF(Metadata!D239="",FALSE,TRUE),exact(Metadata!D239,"human oral metagenome"))</f>
        <v>0</v>
      </c>
      <c r="S239">
        <f>AND(IF(Metadata!E239="",FALSE,TRUE),exact(Metadata!E239,"447426"))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AND(IF(Metadata!C240="",FALSE,TRUE),exact(Metadata!C240,"human-oral"))</f>
        <v>0</v>
      </c>
      <c r="R240">
        <f>AND(IF(Metadata!D240="",FALSE,TRUE),exact(Metadata!D240,"human oral metagenome"))</f>
        <v>0</v>
      </c>
      <c r="S240">
        <f>AND(IF(Metadata!E240="",FALSE,TRUE),exact(Metadata!E240,"447426"))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AND(IF(Metadata!C241="",FALSE,TRUE),exact(Metadata!C241,"human-oral"))</f>
        <v>0</v>
      </c>
      <c r="R241">
        <f>AND(IF(Metadata!D241="",FALSE,TRUE),exact(Metadata!D241,"human oral metagenome"))</f>
        <v>0</v>
      </c>
      <c r="S241">
        <f>AND(IF(Metadata!E241="",FALSE,TRUE),exact(Metadata!E241,"447426"))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AND(IF(Metadata!C242="",FALSE,TRUE),exact(Metadata!C242,"human-oral"))</f>
        <v>0</v>
      </c>
      <c r="R242">
        <f>AND(IF(Metadata!D242="",FALSE,TRUE),exact(Metadata!D242,"human oral metagenome"))</f>
        <v>0</v>
      </c>
      <c r="S242">
        <f>AND(IF(Metadata!E242="",FALSE,TRUE),exact(Metadata!E242,"447426"))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AND(IF(Metadata!C243="",FALSE,TRUE),exact(Metadata!C243,"human-oral"))</f>
        <v>0</v>
      </c>
      <c r="R243">
        <f>AND(IF(Metadata!D243="",FALSE,TRUE),exact(Metadata!D243,"human oral metagenome"))</f>
        <v>0</v>
      </c>
      <c r="S243">
        <f>AND(IF(Metadata!E243="",FALSE,TRUE),exact(Metadata!E243,"447426"))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AND(IF(Metadata!C244="",FALSE,TRUE),exact(Metadata!C244,"human-oral"))</f>
        <v>0</v>
      </c>
      <c r="R244">
        <f>AND(IF(Metadata!D244="",FALSE,TRUE),exact(Metadata!D244,"human oral metagenome"))</f>
        <v>0</v>
      </c>
      <c r="S244">
        <f>AND(IF(Metadata!E244="",FALSE,TRUE),exact(Metadata!E244,"447426"))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AND(IF(Metadata!C245="",FALSE,TRUE),exact(Metadata!C245,"human-oral"))</f>
        <v>0</v>
      </c>
      <c r="R245">
        <f>AND(IF(Metadata!D245="",FALSE,TRUE),exact(Metadata!D245,"human oral metagenome"))</f>
        <v>0</v>
      </c>
      <c r="S245">
        <f>AND(IF(Metadata!E245="",FALSE,TRUE),exact(Metadata!E245,"447426"))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AND(IF(Metadata!C246="",FALSE,TRUE),exact(Metadata!C246,"human-oral"))</f>
        <v>0</v>
      </c>
      <c r="R246">
        <f>AND(IF(Metadata!D246="",FALSE,TRUE),exact(Metadata!D246,"human oral metagenome"))</f>
        <v>0</v>
      </c>
      <c r="S246">
        <f>AND(IF(Metadata!E246="",FALSE,TRUE),exact(Metadata!E246,"447426"))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AND(IF(Metadata!C247="",FALSE,TRUE),exact(Metadata!C247,"human-oral"))</f>
        <v>0</v>
      </c>
      <c r="R247">
        <f>AND(IF(Metadata!D247="",FALSE,TRUE),exact(Metadata!D247,"human oral metagenome"))</f>
        <v>0</v>
      </c>
      <c r="S247">
        <f>AND(IF(Metadata!E247="",FALSE,TRUE),exact(Metadata!E247,"447426"))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AND(IF(Metadata!C248="",FALSE,TRUE),exact(Metadata!C248,"human-oral"))</f>
        <v>0</v>
      </c>
      <c r="R248">
        <f>AND(IF(Metadata!D248="",FALSE,TRUE),exact(Metadata!D248,"human oral metagenome"))</f>
        <v>0</v>
      </c>
      <c r="S248">
        <f>AND(IF(Metadata!E248="",FALSE,TRUE),exact(Metadata!E248,"447426"))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AND(IF(Metadata!C249="",FALSE,TRUE),exact(Metadata!C249,"human-oral"))</f>
        <v>0</v>
      </c>
      <c r="R249">
        <f>AND(IF(Metadata!D249="",FALSE,TRUE),exact(Metadata!D249,"human oral metagenome"))</f>
        <v>0</v>
      </c>
      <c r="S249">
        <f>AND(IF(Metadata!E249="",FALSE,TRUE),exact(Metadata!E249,"447426"))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AND(IF(Metadata!C250="",FALSE,TRUE),exact(Metadata!C250,"human-oral"))</f>
        <v>0</v>
      </c>
      <c r="R250">
        <f>AND(IF(Metadata!D250="",FALSE,TRUE),exact(Metadata!D250,"human oral metagenome"))</f>
        <v>0</v>
      </c>
      <c r="S250">
        <f>AND(IF(Metadata!E250="",FALSE,TRUE),exact(Metadata!E250,"447426"))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AND(IF(Metadata!C251="",FALSE,TRUE),exact(Metadata!C251,"human-oral"))</f>
        <v>0</v>
      </c>
      <c r="R251">
        <f>AND(IF(Metadata!D251="",FALSE,TRUE),exact(Metadata!D251,"human oral metagenome"))</f>
        <v>0</v>
      </c>
      <c r="S251">
        <f>AND(IF(Metadata!E251="",FALSE,TRUE),exact(Metadata!E251,"447426"))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AND(IF(Metadata!C252="",FALSE,TRUE),exact(Metadata!C252,"human-oral"))</f>
        <v>0</v>
      </c>
      <c r="R252">
        <f>AND(IF(Metadata!D252="",FALSE,TRUE),exact(Metadata!D252,"human oral metagenome"))</f>
        <v>0</v>
      </c>
      <c r="S252">
        <f>AND(IF(Metadata!E252="",FALSE,TRUE),exact(Metadata!E252,"447426"))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AND(IF(Metadata!C253="",FALSE,TRUE),exact(Metadata!C253,"human-oral"))</f>
        <v>0</v>
      </c>
      <c r="R253">
        <f>AND(IF(Metadata!D253="",FALSE,TRUE),exact(Metadata!D253,"human oral metagenome"))</f>
        <v>0</v>
      </c>
      <c r="S253">
        <f>AND(IF(Metadata!E253="",FALSE,TRUE),exact(Metadata!E253,"447426"))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AND(IF(Metadata!C254="",FALSE,TRUE),exact(Metadata!C254,"human-oral"))</f>
        <v>0</v>
      </c>
      <c r="R254">
        <f>AND(IF(Metadata!D254="",FALSE,TRUE),exact(Metadata!D254,"human oral metagenome"))</f>
        <v>0</v>
      </c>
      <c r="S254">
        <f>AND(IF(Metadata!E254="",FALSE,TRUE),exact(Metadata!E254,"447426"))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AND(IF(Metadata!C255="",FALSE,TRUE),exact(Metadata!C255,"human-oral"))</f>
        <v>0</v>
      </c>
      <c r="R255">
        <f>AND(IF(Metadata!D255="",FALSE,TRUE),exact(Metadata!D255,"human oral metagenome"))</f>
        <v>0</v>
      </c>
      <c r="S255">
        <f>AND(IF(Metadata!E255="",FALSE,TRUE),exact(Metadata!E255,"447426"))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AND(IF(Metadata!C256="",FALSE,TRUE),exact(Metadata!C256,"human-oral"))</f>
        <v>0</v>
      </c>
      <c r="R256">
        <f>AND(IF(Metadata!D256="",FALSE,TRUE),exact(Metadata!D256,"human oral metagenome"))</f>
        <v>0</v>
      </c>
      <c r="S256">
        <f>AND(IF(Metadata!E256="",FALSE,TRUE),exact(Metadata!E256,"447426"))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AND(IF(Metadata!C257="",FALSE,TRUE),exact(Metadata!C257,"human-oral"))</f>
        <v>0</v>
      </c>
      <c r="R257">
        <f>AND(IF(Metadata!D257="",FALSE,TRUE),exact(Metadata!D257,"human oral metagenome"))</f>
        <v>0</v>
      </c>
      <c r="S257">
        <f>AND(IF(Metadata!E257="",FALSE,TRUE),exact(Metadata!E257,"447426"))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AND(IF(Metadata!C258="",FALSE,TRUE),exact(Metadata!C258,"human-oral"))</f>
        <v>0</v>
      </c>
      <c r="R258">
        <f>AND(IF(Metadata!D258="",FALSE,TRUE),exact(Metadata!D258,"human oral metagenome"))</f>
        <v>0</v>
      </c>
      <c r="S258">
        <f>AND(IF(Metadata!E258="",FALSE,TRUE),exact(Metadata!E258,"447426"))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AND(IF(Metadata!C259="",FALSE,TRUE),exact(Metadata!C259,"human-oral"))</f>
        <v>0</v>
      </c>
      <c r="R259">
        <f>AND(IF(Metadata!D259="",FALSE,TRUE),exact(Metadata!D259,"human oral metagenome"))</f>
        <v>0</v>
      </c>
      <c r="S259">
        <f>AND(IF(Metadata!E259="",FALSE,TRUE),exact(Metadata!E259,"447426"))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AND(IF(Metadata!C260="",FALSE,TRUE),exact(Metadata!C260,"human-oral"))</f>
        <v>0</v>
      </c>
      <c r="R260">
        <f>AND(IF(Metadata!D260="",FALSE,TRUE),exact(Metadata!D260,"human oral metagenome"))</f>
        <v>0</v>
      </c>
      <c r="S260">
        <f>AND(IF(Metadata!E260="",FALSE,TRUE),exact(Metadata!E260,"447426"))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AND(IF(Metadata!C261="",FALSE,TRUE),exact(Metadata!C261,"human-oral"))</f>
        <v>0</v>
      </c>
      <c r="R261">
        <f>AND(IF(Metadata!D261="",FALSE,TRUE),exact(Metadata!D261,"human oral metagenome"))</f>
        <v>0</v>
      </c>
      <c r="S261">
        <f>AND(IF(Metadata!E261="",FALSE,TRUE),exact(Metadata!E261,"447426"))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AND(IF(Metadata!C262="",FALSE,TRUE),exact(Metadata!C262,"human-oral"))</f>
        <v>0</v>
      </c>
      <c r="R262">
        <f>AND(IF(Metadata!D262="",FALSE,TRUE),exact(Metadata!D262,"human oral metagenome"))</f>
        <v>0</v>
      </c>
      <c r="S262">
        <f>AND(IF(Metadata!E262="",FALSE,TRUE),exact(Metadata!E262,"447426"))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AND(IF(Metadata!C263="",FALSE,TRUE),exact(Metadata!C263,"human-oral"))</f>
        <v>0</v>
      </c>
      <c r="R263">
        <f>AND(IF(Metadata!D263="",FALSE,TRUE),exact(Metadata!D263,"human oral metagenome"))</f>
        <v>0</v>
      </c>
      <c r="S263">
        <f>AND(IF(Metadata!E263="",FALSE,TRUE),exact(Metadata!E263,"447426"))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AND(IF(Metadata!C264="",FALSE,TRUE),exact(Metadata!C264,"human-oral"))</f>
        <v>0</v>
      </c>
      <c r="R264">
        <f>AND(IF(Metadata!D264="",FALSE,TRUE),exact(Metadata!D264,"human oral metagenome"))</f>
        <v>0</v>
      </c>
      <c r="S264">
        <f>AND(IF(Metadata!E264="",FALSE,TRUE),exact(Metadata!E264,"447426"))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AND(IF(Metadata!C265="",FALSE,TRUE),exact(Metadata!C265,"human-oral"))</f>
        <v>0</v>
      </c>
      <c r="R265">
        <f>AND(IF(Metadata!D265="",FALSE,TRUE),exact(Metadata!D265,"human oral metagenome"))</f>
        <v>0</v>
      </c>
      <c r="S265">
        <f>AND(IF(Metadata!E265="",FALSE,TRUE),exact(Metadata!E265,"447426"))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AND(IF(Metadata!C266="",FALSE,TRUE),exact(Metadata!C266,"human-oral"))</f>
        <v>0</v>
      </c>
      <c r="R266">
        <f>AND(IF(Metadata!D266="",FALSE,TRUE),exact(Metadata!D266,"human oral metagenome"))</f>
        <v>0</v>
      </c>
      <c r="S266">
        <f>AND(IF(Metadata!E266="",FALSE,TRUE),exact(Metadata!E266,"447426"))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AND(IF(Metadata!C267="",FALSE,TRUE),exact(Metadata!C267,"human-oral"))</f>
        <v>0</v>
      </c>
      <c r="R267">
        <f>AND(IF(Metadata!D267="",FALSE,TRUE),exact(Metadata!D267,"human oral metagenome"))</f>
        <v>0</v>
      </c>
      <c r="S267">
        <f>AND(IF(Metadata!E267="",FALSE,TRUE),exact(Metadata!E267,"447426"))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AND(IF(Metadata!C268="",FALSE,TRUE),exact(Metadata!C268,"human-oral"))</f>
        <v>0</v>
      </c>
      <c r="R268">
        <f>AND(IF(Metadata!D268="",FALSE,TRUE),exact(Metadata!D268,"human oral metagenome"))</f>
        <v>0</v>
      </c>
      <c r="S268">
        <f>AND(IF(Metadata!E268="",FALSE,TRUE),exact(Metadata!E268,"447426"))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AND(IF(Metadata!C269="",FALSE,TRUE),exact(Metadata!C269,"human-oral"))</f>
        <v>0</v>
      </c>
      <c r="R269">
        <f>AND(IF(Metadata!D269="",FALSE,TRUE),exact(Metadata!D269,"human oral metagenome"))</f>
        <v>0</v>
      </c>
      <c r="S269">
        <f>AND(IF(Metadata!E269="",FALSE,TRUE),exact(Metadata!E269,"447426"))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AND(IF(Metadata!C270="",FALSE,TRUE),exact(Metadata!C270,"human-oral"))</f>
        <v>0</v>
      </c>
      <c r="R270">
        <f>AND(IF(Metadata!D270="",FALSE,TRUE),exact(Metadata!D270,"human oral metagenome"))</f>
        <v>0</v>
      </c>
      <c r="S270">
        <f>AND(IF(Metadata!E270="",FALSE,TRUE),exact(Metadata!E270,"447426"))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AND(IF(Metadata!C271="",FALSE,TRUE),exact(Metadata!C271,"human-oral"))</f>
        <v>0</v>
      </c>
      <c r="R271">
        <f>AND(IF(Metadata!D271="",FALSE,TRUE),exact(Metadata!D271,"human oral metagenome"))</f>
        <v>0</v>
      </c>
      <c r="S271">
        <f>AND(IF(Metadata!E271="",FALSE,TRUE),exact(Metadata!E271,"447426"))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AND(IF(Metadata!C272="",FALSE,TRUE),exact(Metadata!C272,"human-oral"))</f>
        <v>0</v>
      </c>
      <c r="R272">
        <f>AND(IF(Metadata!D272="",FALSE,TRUE),exact(Metadata!D272,"human oral metagenome"))</f>
        <v>0</v>
      </c>
      <c r="S272">
        <f>AND(IF(Metadata!E272="",FALSE,TRUE),exact(Metadata!E272,"447426"))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AND(IF(Metadata!C273="",FALSE,TRUE),exact(Metadata!C273,"human-oral"))</f>
        <v>0</v>
      </c>
      <c r="R273">
        <f>AND(IF(Metadata!D273="",FALSE,TRUE),exact(Metadata!D273,"human oral metagenome"))</f>
        <v>0</v>
      </c>
      <c r="S273">
        <f>AND(IF(Metadata!E273="",FALSE,TRUE),exact(Metadata!E273,"447426"))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AND(IF(Metadata!C274="",FALSE,TRUE),exact(Metadata!C274,"human-oral"))</f>
        <v>0</v>
      </c>
      <c r="R274">
        <f>AND(IF(Metadata!D274="",FALSE,TRUE),exact(Metadata!D274,"human oral metagenome"))</f>
        <v>0</v>
      </c>
      <c r="S274">
        <f>AND(IF(Metadata!E274="",FALSE,TRUE),exact(Metadata!E274,"447426"))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AND(IF(Metadata!C275="",FALSE,TRUE),exact(Metadata!C275,"human-oral"))</f>
        <v>0</v>
      </c>
      <c r="R275">
        <f>AND(IF(Metadata!D275="",FALSE,TRUE),exact(Metadata!D275,"human oral metagenome"))</f>
        <v>0</v>
      </c>
      <c r="S275">
        <f>AND(IF(Metadata!E275="",FALSE,TRUE),exact(Metadata!E275,"447426"))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AND(IF(Metadata!C276="",FALSE,TRUE),exact(Metadata!C276,"human-oral"))</f>
        <v>0</v>
      </c>
      <c r="R276">
        <f>AND(IF(Metadata!D276="",FALSE,TRUE),exact(Metadata!D276,"human oral metagenome"))</f>
        <v>0</v>
      </c>
      <c r="S276">
        <f>AND(IF(Metadata!E276="",FALSE,TRUE),exact(Metadata!E276,"447426"))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AND(IF(Metadata!C277="",FALSE,TRUE),exact(Metadata!C277,"human-oral"))</f>
        <v>0</v>
      </c>
      <c r="R277">
        <f>AND(IF(Metadata!D277="",FALSE,TRUE),exact(Metadata!D277,"human oral metagenome"))</f>
        <v>0</v>
      </c>
      <c r="S277">
        <f>AND(IF(Metadata!E277="",FALSE,TRUE),exact(Metadata!E277,"447426"))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AND(IF(Metadata!C278="",FALSE,TRUE),exact(Metadata!C278,"human-oral"))</f>
        <v>0</v>
      </c>
      <c r="R278">
        <f>AND(IF(Metadata!D278="",FALSE,TRUE),exact(Metadata!D278,"human oral metagenome"))</f>
        <v>0</v>
      </c>
      <c r="S278">
        <f>AND(IF(Metadata!E278="",FALSE,TRUE),exact(Metadata!E278,"447426"))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AND(IF(Metadata!C279="",FALSE,TRUE),exact(Metadata!C279,"human-oral"))</f>
        <v>0</v>
      </c>
      <c r="R279">
        <f>AND(IF(Metadata!D279="",FALSE,TRUE),exact(Metadata!D279,"human oral metagenome"))</f>
        <v>0</v>
      </c>
      <c r="S279">
        <f>AND(IF(Metadata!E279="",FALSE,TRUE),exact(Metadata!E279,"447426"))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AND(IF(Metadata!C280="",FALSE,TRUE),exact(Metadata!C280,"human-oral"))</f>
        <v>0</v>
      </c>
      <c r="R280">
        <f>AND(IF(Metadata!D280="",FALSE,TRUE),exact(Metadata!D280,"human oral metagenome"))</f>
        <v>0</v>
      </c>
      <c r="S280">
        <f>AND(IF(Metadata!E280="",FALSE,TRUE),exact(Metadata!E280,"447426"))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AND(IF(Metadata!C281="",FALSE,TRUE),exact(Metadata!C281,"human-oral"))</f>
        <v>0</v>
      </c>
      <c r="R281">
        <f>AND(IF(Metadata!D281="",FALSE,TRUE),exact(Metadata!D281,"human oral metagenome"))</f>
        <v>0</v>
      </c>
      <c r="S281">
        <f>AND(IF(Metadata!E281="",FALSE,TRUE),exact(Metadata!E281,"447426"))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AND(IF(Metadata!C282="",FALSE,TRUE),exact(Metadata!C282,"human-oral"))</f>
        <v>0</v>
      </c>
      <c r="R282">
        <f>AND(IF(Metadata!D282="",FALSE,TRUE),exact(Metadata!D282,"human oral metagenome"))</f>
        <v>0</v>
      </c>
      <c r="S282">
        <f>AND(IF(Metadata!E282="",FALSE,TRUE),exact(Metadata!E282,"447426"))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AND(IF(Metadata!C283="",FALSE,TRUE),exact(Metadata!C283,"human-oral"))</f>
        <v>0</v>
      </c>
      <c r="R283">
        <f>AND(IF(Metadata!D283="",FALSE,TRUE),exact(Metadata!D283,"human oral metagenome"))</f>
        <v>0</v>
      </c>
      <c r="S283">
        <f>AND(IF(Metadata!E283="",FALSE,TRUE),exact(Metadata!E283,"447426"))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AND(IF(Metadata!C284="",FALSE,TRUE),exact(Metadata!C284,"human-oral"))</f>
        <v>0</v>
      </c>
      <c r="R284">
        <f>AND(IF(Metadata!D284="",FALSE,TRUE),exact(Metadata!D284,"human oral metagenome"))</f>
        <v>0</v>
      </c>
      <c r="S284">
        <f>AND(IF(Metadata!E284="",FALSE,TRUE),exact(Metadata!E284,"447426"))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AND(IF(Metadata!C285="",FALSE,TRUE),exact(Metadata!C285,"human-oral"))</f>
        <v>0</v>
      </c>
      <c r="R285">
        <f>AND(IF(Metadata!D285="",FALSE,TRUE),exact(Metadata!D285,"human oral metagenome"))</f>
        <v>0</v>
      </c>
      <c r="S285">
        <f>AND(IF(Metadata!E285="",FALSE,TRUE),exact(Metadata!E285,"447426"))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AND(IF(Metadata!C286="",FALSE,TRUE),exact(Metadata!C286,"human-oral"))</f>
        <v>0</v>
      </c>
      <c r="R286">
        <f>AND(IF(Metadata!D286="",FALSE,TRUE),exact(Metadata!D286,"human oral metagenome"))</f>
        <v>0</v>
      </c>
      <c r="S286">
        <f>AND(IF(Metadata!E286="",FALSE,TRUE),exact(Metadata!E286,"447426"))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AND(IF(Metadata!C287="",FALSE,TRUE),exact(Metadata!C287,"human-oral"))</f>
        <v>0</v>
      </c>
      <c r="R287">
        <f>AND(IF(Metadata!D287="",FALSE,TRUE),exact(Metadata!D287,"human oral metagenome"))</f>
        <v>0</v>
      </c>
      <c r="S287">
        <f>AND(IF(Metadata!E287="",FALSE,TRUE),exact(Metadata!E287,"447426"))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AND(IF(Metadata!C288="",FALSE,TRUE),exact(Metadata!C288,"human-oral"))</f>
        <v>0</v>
      </c>
      <c r="R288">
        <f>AND(IF(Metadata!D288="",FALSE,TRUE),exact(Metadata!D288,"human oral metagenome"))</f>
        <v>0</v>
      </c>
      <c r="S288">
        <f>AND(IF(Metadata!E288="",FALSE,TRUE),exact(Metadata!E288,"447426"))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AND(IF(Metadata!C289="",FALSE,TRUE),exact(Metadata!C289,"human-oral"))</f>
        <v>0</v>
      </c>
      <c r="R289">
        <f>AND(IF(Metadata!D289="",FALSE,TRUE),exact(Metadata!D289,"human oral metagenome"))</f>
        <v>0</v>
      </c>
      <c r="S289">
        <f>AND(IF(Metadata!E289="",FALSE,TRUE),exact(Metadata!E289,"447426"))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AND(IF(Metadata!C290="",FALSE,TRUE),exact(Metadata!C290,"human-oral"))</f>
        <v>0</v>
      </c>
      <c r="R290">
        <f>AND(IF(Metadata!D290="",FALSE,TRUE),exact(Metadata!D290,"human oral metagenome"))</f>
        <v>0</v>
      </c>
      <c r="S290">
        <f>AND(IF(Metadata!E290="",FALSE,TRUE),exact(Metadata!E290,"447426"))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AND(IF(Metadata!C291="",FALSE,TRUE),exact(Metadata!C291,"human-oral"))</f>
        <v>0</v>
      </c>
      <c r="R291">
        <f>AND(IF(Metadata!D291="",FALSE,TRUE),exact(Metadata!D291,"human oral metagenome"))</f>
        <v>0</v>
      </c>
      <c r="S291">
        <f>AND(IF(Metadata!E291="",FALSE,TRUE),exact(Metadata!E291,"447426"))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AND(IF(Metadata!C292="",FALSE,TRUE),exact(Metadata!C292,"human-oral"))</f>
        <v>0</v>
      </c>
      <c r="R292">
        <f>AND(IF(Metadata!D292="",FALSE,TRUE),exact(Metadata!D292,"human oral metagenome"))</f>
        <v>0</v>
      </c>
      <c r="S292">
        <f>AND(IF(Metadata!E292="",FALSE,TRUE),exact(Metadata!E292,"447426"))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AND(IF(Metadata!C293="",FALSE,TRUE),exact(Metadata!C293,"human-oral"))</f>
        <v>0</v>
      </c>
      <c r="R293">
        <f>AND(IF(Metadata!D293="",FALSE,TRUE),exact(Metadata!D293,"human oral metagenome"))</f>
        <v>0</v>
      </c>
      <c r="S293">
        <f>AND(IF(Metadata!E293="",FALSE,TRUE),exact(Metadata!E293,"447426"))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AND(IF(Metadata!C294="",FALSE,TRUE),exact(Metadata!C294,"human-oral"))</f>
        <v>0</v>
      </c>
      <c r="R294">
        <f>AND(IF(Metadata!D294="",FALSE,TRUE),exact(Metadata!D294,"human oral metagenome"))</f>
        <v>0</v>
      </c>
      <c r="S294">
        <f>AND(IF(Metadata!E294="",FALSE,TRUE),exact(Metadata!E294,"447426"))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AND(IF(Metadata!C295="",FALSE,TRUE),exact(Metadata!C295,"human-oral"))</f>
        <v>0</v>
      </c>
      <c r="R295">
        <f>AND(IF(Metadata!D295="",FALSE,TRUE),exact(Metadata!D295,"human oral metagenome"))</f>
        <v>0</v>
      </c>
      <c r="S295">
        <f>AND(IF(Metadata!E295="",FALSE,TRUE),exact(Metadata!E295,"447426"))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AND(IF(Metadata!C296="",FALSE,TRUE),exact(Metadata!C296,"human-oral"))</f>
        <v>0</v>
      </c>
      <c r="R296">
        <f>AND(IF(Metadata!D296="",FALSE,TRUE),exact(Metadata!D296,"human oral metagenome"))</f>
        <v>0</v>
      </c>
      <c r="S296">
        <f>AND(IF(Metadata!E296="",FALSE,TRUE),exact(Metadata!E296,"447426"))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AND(IF(Metadata!C297="",FALSE,TRUE),exact(Metadata!C297,"human-oral"))</f>
        <v>0</v>
      </c>
      <c r="R297">
        <f>AND(IF(Metadata!D297="",FALSE,TRUE),exact(Metadata!D297,"human oral metagenome"))</f>
        <v>0</v>
      </c>
      <c r="S297">
        <f>AND(IF(Metadata!E297="",FALSE,TRUE),exact(Metadata!E297,"447426"))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AND(IF(Metadata!C298="",FALSE,TRUE),exact(Metadata!C298,"human-oral"))</f>
        <v>0</v>
      </c>
      <c r="R298">
        <f>AND(IF(Metadata!D298="",FALSE,TRUE),exact(Metadata!D298,"human oral metagenome"))</f>
        <v>0</v>
      </c>
      <c r="S298">
        <f>AND(IF(Metadata!E298="",FALSE,TRUE),exact(Metadata!E298,"447426"))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AND(IF(Metadata!C299="",FALSE,TRUE),exact(Metadata!C299,"human-oral"))</f>
        <v>0</v>
      </c>
      <c r="R299">
        <f>AND(IF(Metadata!D299="",FALSE,TRUE),exact(Metadata!D299,"human oral metagenome"))</f>
        <v>0</v>
      </c>
      <c r="S299">
        <f>AND(IF(Metadata!E299="",FALSE,TRUE),exact(Metadata!E299,"447426"))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AND(IF(Metadata!C300="",FALSE,TRUE),exact(Metadata!C300,"human-oral"))</f>
        <v>0</v>
      </c>
      <c r="R300">
        <f>AND(IF(Metadata!D300="",FALSE,TRUE),exact(Metadata!D300,"human oral metagenome"))</f>
        <v>0</v>
      </c>
      <c r="S300">
        <f>AND(IF(Metadata!E300="",FALSE,TRUE),exact(Metadata!E300,"447426"))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AND(IF(Metadata!C301="",FALSE,TRUE),exact(Metadata!C301,"human-oral"))</f>
        <v>0</v>
      </c>
      <c r="R301">
        <f>AND(IF(Metadata!D301="",FALSE,TRUE),exact(Metadata!D301,"human oral metagenome"))</f>
        <v>0</v>
      </c>
      <c r="S301">
        <f>AND(IF(Metadata!E301="",FALSE,TRUE),exact(Metadata!E301,"447426"))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AND(IF(Metadata!C302="",FALSE,TRUE),exact(Metadata!C302,"human-oral"))</f>
        <v>0</v>
      </c>
      <c r="R302">
        <f>AND(IF(Metadata!D302="",FALSE,TRUE),exact(Metadata!D302,"human oral metagenome"))</f>
        <v>0</v>
      </c>
      <c r="S302">
        <f>AND(IF(Metadata!E302="",FALSE,TRUE),exact(Metadata!E302,"447426"))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AND(IF(Metadata!C303="",FALSE,TRUE),exact(Metadata!C303,"human-oral"))</f>
        <v>0</v>
      </c>
      <c r="R303">
        <f>AND(IF(Metadata!D303="",FALSE,TRUE),exact(Metadata!D303,"human oral metagenome"))</f>
        <v>0</v>
      </c>
      <c r="S303">
        <f>AND(IF(Metadata!E303="",FALSE,TRUE),exact(Metadata!E303,"447426"))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AND(IF(Metadata!C304="",FALSE,TRUE),exact(Metadata!C304,"human-oral"))</f>
        <v>0</v>
      </c>
      <c r="R304">
        <f>AND(IF(Metadata!D304="",FALSE,TRUE),exact(Metadata!D304,"human oral metagenome"))</f>
        <v>0</v>
      </c>
      <c r="S304">
        <f>AND(IF(Metadata!E304="",FALSE,TRUE),exact(Metadata!E304,"447426"))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AND(IF(Metadata!C305="",FALSE,TRUE),exact(Metadata!C305,"human-oral"))</f>
        <v>0</v>
      </c>
      <c r="R305">
        <f>AND(IF(Metadata!D305="",FALSE,TRUE),exact(Metadata!D305,"human oral metagenome"))</f>
        <v>0</v>
      </c>
      <c r="S305">
        <f>AND(IF(Metadata!E305="",FALSE,TRUE),exact(Metadata!E305,"447426"))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AND(IF(Metadata!C306="",FALSE,TRUE),exact(Metadata!C306,"human-oral"))</f>
        <v>0</v>
      </c>
      <c r="R306">
        <f>AND(IF(Metadata!D306="",FALSE,TRUE),exact(Metadata!D306,"human oral metagenome"))</f>
        <v>0</v>
      </c>
      <c r="S306">
        <f>AND(IF(Metadata!E306="",FALSE,TRUE),exact(Metadata!E306,"447426"))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AND(IF(Metadata!C307="",FALSE,TRUE),exact(Metadata!C307,"human-oral"))</f>
        <v>0</v>
      </c>
      <c r="R307">
        <f>AND(IF(Metadata!D307="",FALSE,TRUE),exact(Metadata!D307,"human oral metagenome"))</f>
        <v>0</v>
      </c>
      <c r="S307">
        <f>AND(IF(Metadata!E307="",FALSE,TRUE),exact(Metadata!E307,"447426"))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AND(IF(Metadata!C308="",FALSE,TRUE),exact(Metadata!C308,"human-oral"))</f>
        <v>0</v>
      </c>
      <c r="R308">
        <f>AND(IF(Metadata!D308="",FALSE,TRUE),exact(Metadata!D308,"human oral metagenome"))</f>
        <v>0</v>
      </c>
      <c r="S308">
        <f>AND(IF(Metadata!E308="",FALSE,TRUE),exact(Metadata!E308,"447426"))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AND(IF(Metadata!C309="",FALSE,TRUE),exact(Metadata!C309,"human-oral"))</f>
        <v>0</v>
      </c>
      <c r="R309">
        <f>AND(IF(Metadata!D309="",FALSE,TRUE),exact(Metadata!D309,"human oral metagenome"))</f>
        <v>0</v>
      </c>
      <c r="S309">
        <f>AND(IF(Metadata!E309="",FALSE,TRUE),exact(Metadata!E309,"447426"))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AND(IF(Metadata!C310="",FALSE,TRUE),exact(Metadata!C310,"human-oral"))</f>
        <v>0</v>
      </c>
      <c r="R310">
        <f>AND(IF(Metadata!D310="",FALSE,TRUE),exact(Metadata!D310,"human oral metagenome"))</f>
        <v>0</v>
      </c>
      <c r="S310">
        <f>AND(IF(Metadata!E310="",FALSE,TRUE),exact(Metadata!E310,"447426"))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AND(IF(Metadata!C311="",FALSE,TRUE),exact(Metadata!C311,"human-oral"))</f>
        <v>0</v>
      </c>
      <c r="R311">
        <f>AND(IF(Metadata!D311="",FALSE,TRUE),exact(Metadata!D311,"human oral metagenome"))</f>
        <v>0</v>
      </c>
      <c r="S311">
        <f>AND(IF(Metadata!E311="",FALSE,TRUE),exact(Metadata!E311,"447426"))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AND(IF(Metadata!C312="",FALSE,TRUE),exact(Metadata!C312,"human-oral"))</f>
        <v>0</v>
      </c>
      <c r="R312">
        <f>AND(IF(Metadata!D312="",FALSE,TRUE),exact(Metadata!D312,"human oral metagenome"))</f>
        <v>0</v>
      </c>
      <c r="S312">
        <f>AND(IF(Metadata!E312="",FALSE,TRUE),exact(Metadata!E312,"447426"))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AND(IF(Metadata!C313="",FALSE,TRUE),exact(Metadata!C313,"human-oral"))</f>
        <v>0</v>
      </c>
      <c r="R313">
        <f>AND(IF(Metadata!D313="",FALSE,TRUE),exact(Metadata!D313,"human oral metagenome"))</f>
        <v>0</v>
      </c>
      <c r="S313">
        <f>AND(IF(Metadata!E313="",FALSE,TRUE),exact(Metadata!E313,"447426"))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AND(IF(Metadata!C314="",FALSE,TRUE),exact(Metadata!C314,"human-oral"))</f>
        <v>0</v>
      </c>
      <c r="R314">
        <f>AND(IF(Metadata!D314="",FALSE,TRUE),exact(Metadata!D314,"human oral metagenome"))</f>
        <v>0</v>
      </c>
      <c r="S314">
        <f>AND(IF(Metadata!E314="",FALSE,TRUE),exact(Metadata!E314,"447426"))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AND(IF(Metadata!C315="",FALSE,TRUE),exact(Metadata!C315,"human-oral"))</f>
        <v>0</v>
      </c>
      <c r="R315">
        <f>AND(IF(Metadata!D315="",FALSE,TRUE),exact(Metadata!D315,"human oral metagenome"))</f>
        <v>0</v>
      </c>
      <c r="S315">
        <f>AND(IF(Metadata!E315="",FALSE,TRUE),exact(Metadata!E315,"447426"))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AND(IF(Metadata!C316="",FALSE,TRUE),exact(Metadata!C316,"human-oral"))</f>
        <v>0</v>
      </c>
      <c r="R316">
        <f>AND(IF(Metadata!D316="",FALSE,TRUE),exact(Metadata!D316,"human oral metagenome"))</f>
        <v>0</v>
      </c>
      <c r="S316">
        <f>AND(IF(Metadata!E316="",FALSE,TRUE),exact(Metadata!E316,"447426"))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AND(IF(Metadata!C317="",FALSE,TRUE),exact(Metadata!C317,"human-oral"))</f>
        <v>0</v>
      </c>
      <c r="R317">
        <f>AND(IF(Metadata!D317="",FALSE,TRUE),exact(Metadata!D317,"human oral metagenome"))</f>
        <v>0</v>
      </c>
      <c r="S317">
        <f>AND(IF(Metadata!E317="",FALSE,TRUE),exact(Metadata!E317,"447426"))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AND(IF(Metadata!C318="",FALSE,TRUE),exact(Metadata!C318,"human-oral"))</f>
        <v>0</v>
      </c>
      <c r="R318">
        <f>AND(IF(Metadata!D318="",FALSE,TRUE),exact(Metadata!D318,"human oral metagenome"))</f>
        <v>0</v>
      </c>
      <c r="S318">
        <f>AND(IF(Metadata!E318="",FALSE,TRUE),exact(Metadata!E318,"447426"))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AND(IF(Metadata!C319="",FALSE,TRUE),exact(Metadata!C319,"human-oral"))</f>
        <v>0</v>
      </c>
      <c r="R319">
        <f>AND(IF(Metadata!D319="",FALSE,TRUE),exact(Metadata!D319,"human oral metagenome"))</f>
        <v>0</v>
      </c>
      <c r="S319">
        <f>AND(IF(Metadata!E319="",FALSE,TRUE),exact(Metadata!E319,"447426"))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AND(IF(Metadata!C320="",FALSE,TRUE),exact(Metadata!C320,"human-oral"))</f>
        <v>0</v>
      </c>
      <c r="R320">
        <f>AND(IF(Metadata!D320="",FALSE,TRUE),exact(Metadata!D320,"human oral metagenome"))</f>
        <v>0</v>
      </c>
      <c r="S320">
        <f>AND(IF(Metadata!E320="",FALSE,TRUE),exact(Metadata!E320,"447426"))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AND(IF(Metadata!C321="",FALSE,TRUE),exact(Metadata!C321,"human-oral"))</f>
        <v>0</v>
      </c>
      <c r="R321">
        <f>AND(IF(Metadata!D321="",FALSE,TRUE),exact(Metadata!D321,"human oral metagenome"))</f>
        <v>0</v>
      </c>
      <c r="S321">
        <f>AND(IF(Metadata!E321="",FALSE,TRUE),exact(Metadata!E321,"447426"))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AND(IF(Metadata!C322="",FALSE,TRUE),exact(Metadata!C322,"human-oral"))</f>
        <v>0</v>
      </c>
      <c r="R322">
        <f>AND(IF(Metadata!D322="",FALSE,TRUE),exact(Metadata!D322,"human oral metagenome"))</f>
        <v>0</v>
      </c>
      <c r="S322">
        <f>AND(IF(Metadata!E322="",FALSE,TRUE),exact(Metadata!E322,"447426"))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AND(IF(Metadata!C323="",FALSE,TRUE),exact(Metadata!C323,"human-oral"))</f>
        <v>0</v>
      </c>
      <c r="R323">
        <f>AND(IF(Metadata!D323="",FALSE,TRUE),exact(Metadata!D323,"human oral metagenome"))</f>
        <v>0</v>
      </c>
      <c r="S323">
        <f>AND(IF(Metadata!E323="",FALSE,TRUE),exact(Metadata!E323,"447426"))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AND(IF(Metadata!C324="",FALSE,TRUE),exact(Metadata!C324,"human-oral"))</f>
        <v>0</v>
      </c>
      <c r="R324">
        <f>AND(IF(Metadata!D324="",FALSE,TRUE),exact(Metadata!D324,"human oral metagenome"))</f>
        <v>0</v>
      </c>
      <c r="S324">
        <f>AND(IF(Metadata!E324="",FALSE,TRUE),exact(Metadata!E324,"447426"))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AND(IF(Metadata!C325="",FALSE,TRUE),exact(Metadata!C325,"human-oral"))</f>
        <v>0</v>
      </c>
      <c r="R325">
        <f>AND(IF(Metadata!D325="",FALSE,TRUE),exact(Metadata!D325,"human oral metagenome"))</f>
        <v>0</v>
      </c>
      <c r="S325">
        <f>AND(IF(Metadata!E325="",FALSE,TRUE),exact(Metadata!E325,"447426"))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AND(IF(Metadata!C326="",FALSE,TRUE),exact(Metadata!C326,"human-oral"))</f>
        <v>0</v>
      </c>
      <c r="R326">
        <f>AND(IF(Metadata!D326="",FALSE,TRUE),exact(Metadata!D326,"human oral metagenome"))</f>
        <v>0</v>
      </c>
      <c r="S326">
        <f>AND(IF(Metadata!E326="",FALSE,TRUE),exact(Metadata!E326,"447426"))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AND(IF(Metadata!C327="",FALSE,TRUE),exact(Metadata!C327,"human-oral"))</f>
        <v>0</v>
      </c>
      <c r="R327">
        <f>AND(IF(Metadata!D327="",FALSE,TRUE),exact(Metadata!D327,"human oral metagenome"))</f>
        <v>0</v>
      </c>
      <c r="S327">
        <f>AND(IF(Metadata!E327="",FALSE,TRUE),exact(Metadata!E327,"447426"))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AND(IF(Metadata!C328="",FALSE,TRUE),exact(Metadata!C328,"human-oral"))</f>
        <v>0</v>
      </c>
      <c r="R328">
        <f>AND(IF(Metadata!D328="",FALSE,TRUE),exact(Metadata!D328,"human oral metagenome"))</f>
        <v>0</v>
      </c>
      <c r="S328">
        <f>AND(IF(Metadata!E328="",FALSE,TRUE),exact(Metadata!E328,"447426"))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AND(IF(Metadata!C329="",FALSE,TRUE),exact(Metadata!C329,"human-oral"))</f>
        <v>0</v>
      </c>
      <c r="R329">
        <f>AND(IF(Metadata!D329="",FALSE,TRUE),exact(Metadata!D329,"human oral metagenome"))</f>
        <v>0</v>
      </c>
      <c r="S329">
        <f>AND(IF(Metadata!E329="",FALSE,TRUE),exact(Metadata!E329,"447426"))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AND(IF(Metadata!C330="",FALSE,TRUE),exact(Metadata!C330,"human-oral"))</f>
        <v>0</v>
      </c>
      <c r="R330">
        <f>AND(IF(Metadata!D330="",FALSE,TRUE),exact(Metadata!D330,"human oral metagenome"))</f>
        <v>0</v>
      </c>
      <c r="S330">
        <f>AND(IF(Metadata!E330="",FALSE,TRUE),exact(Metadata!E330,"447426"))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AND(IF(Metadata!C331="",FALSE,TRUE),exact(Metadata!C331,"human-oral"))</f>
        <v>0</v>
      </c>
      <c r="R331">
        <f>AND(IF(Metadata!D331="",FALSE,TRUE),exact(Metadata!D331,"human oral metagenome"))</f>
        <v>0</v>
      </c>
      <c r="S331">
        <f>AND(IF(Metadata!E331="",FALSE,TRUE),exact(Metadata!E331,"447426"))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AND(IF(Metadata!C332="",FALSE,TRUE),exact(Metadata!C332,"human-oral"))</f>
        <v>0</v>
      </c>
      <c r="R332">
        <f>AND(IF(Metadata!D332="",FALSE,TRUE),exact(Metadata!D332,"human oral metagenome"))</f>
        <v>0</v>
      </c>
      <c r="S332">
        <f>AND(IF(Metadata!E332="",FALSE,TRUE),exact(Metadata!E332,"447426"))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AND(IF(Metadata!C333="",FALSE,TRUE),exact(Metadata!C333,"human-oral"))</f>
        <v>0</v>
      </c>
      <c r="R333">
        <f>AND(IF(Metadata!D333="",FALSE,TRUE),exact(Metadata!D333,"human oral metagenome"))</f>
        <v>0</v>
      </c>
      <c r="S333">
        <f>AND(IF(Metadata!E333="",FALSE,TRUE),exact(Metadata!E333,"447426"))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AND(IF(Metadata!C334="",FALSE,TRUE),exact(Metadata!C334,"human-oral"))</f>
        <v>0</v>
      </c>
      <c r="R334">
        <f>AND(IF(Metadata!D334="",FALSE,TRUE),exact(Metadata!D334,"human oral metagenome"))</f>
        <v>0</v>
      </c>
      <c r="S334">
        <f>AND(IF(Metadata!E334="",FALSE,TRUE),exact(Metadata!E334,"447426"))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AND(IF(Metadata!C335="",FALSE,TRUE),exact(Metadata!C335,"human-oral"))</f>
        <v>0</v>
      </c>
      <c r="R335">
        <f>AND(IF(Metadata!D335="",FALSE,TRUE),exact(Metadata!D335,"human oral metagenome"))</f>
        <v>0</v>
      </c>
      <c r="S335">
        <f>AND(IF(Metadata!E335="",FALSE,TRUE),exact(Metadata!E335,"447426"))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AND(IF(Metadata!C336="",FALSE,TRUE),exact(Metadata!C336,"human-oral"))</f>
        <v>0</v>
      </c>
      <c r="R336">
        <f>AND(IF(Metadata!D336="",FALSE,TRUE),exact(Metadata!D336,"human oral metagenome"))</f>
        <v>0</v>
      </c>
      <c r="S336">
        <f>AND(IF(Metadata!E336="",FALSE,TRUE),exact(Metadata!E336,"447426"))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AND(IF(Metadata!C337="",FALSE,TRUE),exact(Metadata!C337,"human-oral"))</f>
        <v>0</v>
      </c>
      <c r="R337">
        <f>AND(IF(Metadata!D337="",FALSE,TRUE),exact(Metadata!D337,"human oral metagenome"))</f>
        <v>0</v>
      </c>
      <c r="S337">
        <f>AND(IF(Metadata!E337="",FALSE,TRUE),exact(Metadata!E337,"447426"))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AND(IF(Metadata!C338="",FALSE,TRUE),exact(Metadata!C338,"human-oral"))</f>
        <v>0</v>
      </c>
      <c r="R338">
        <f>AND(IF(Metadata!D338="",FALSE,TRUE),exact(Metadata!D338,"human oral metagenome"))</f>
        <v>0</v>
      </c>
      <c r="S338">
        <f>AND(IF(Metadata!E338="",FALSE,TRUE),exact(Metadata!E338,"447426"))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AND(IF(Metadata!C339="",FALSE,TRUE),exact(Metadata!C339,"human-oral"))</f>
        <v>0</v>
      </c>
      <c r="R339">
        <f>AND(IF(Metadata!D339="",FALSE,TRUE),exact(Metadata!D339,"human oral metagenome"))</f>
        <v>0</v>
      </c>
      <c r="S339">
        <f>AND(IF(Metadata!E339="",FALSE,TRUE),exact(Metadata!E339,"447426"))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AND(IF(Metadata!C340="",FALSE,TRUE),exact(Metadata!C340,"human-oral"))</f>
        <v>0</v>
      </c>
      <c r="R340">
        <f>AND(IF(Metadata!D340="",FALSE,TRUE),exact(Metadata!D340,"human oral metagenome"))</f>
        <v>0</v>
      </c>
      <c r="S340">
        <f>AND(IF(Metadata!E340="",FALSE,TRUE),exact(Metadata!E340,"447426"))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AND(IF(Metadata!C341="",FALSE,TRUE),exact(Metadata!C341,"human-oral"))</f>
        <v>0</v>
      </c>
      <c r="R341">
        <f>AND(IF(Metadata!D341="",FALSE,TRUE),exact(Metadata!D341,"human oral metagenome"))</f>
        <v>0</v>
      </c>
      <c r="S341">
        <f>AND(IF(Metadata!E341="",FALSE,TRUE),exact(Metadata!E341,"447426"))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AND(IF(Metadata!C342="",FALSE,TRUE),exact(Metadata!C342,"human-oral"))</f>
        <v>0</v>
      </c>
      <c r="R342">
        <f>AND(IF(Metadata!D342="",FALSE,TRUE),exact(Metadata!D342,"human oral metagenome"))</f>
        <v>0</v>
      </c>
      <c r="S342">
        <f>AND(IF(Metadata!E342="",FALSE,TRUE),exact(Metadata!E342,"447426"))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AND(IF(Metadata!C343="",FALSE,TRUE),exact(Metadata!C343,"human-oral"))</f>
        <v>0</v>
      </c>
      <c r="R343">
        <f>AND(IF(Metadata!D343="",FALSE,TRUE),exact(Metadata!D343,"human oral metagenome"))</f>
        <v>0</v>
      </c>
      <c r="S343">
        <f>AND(IF(Metadata!E343="",FALSE,TRUE),exact(Metadata!E343,"447426"))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AND(IF(Metadata!C344="",FALSE,TRUE),exact(Metadata!C344,"human-oral"))</f>
        <v>0</v>
      </c>
      <c r="R344">
        <f>AND(IF(Metadata!D344="",FALSE,TRUE),exact(Metadata!D344,"human oral metagenome"))</f>
        <v>0</v>
      </c>
      <c r="S344">
        <f>AND(IF(Metadata!E344="",FALSE,TRUE),exact(Metadata!E344,"447426"))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AND(IF(Metadata!C345="",FALSE,TRUE),exact(Metadata!C345,"human-oral"))</f>
        <v>0</v>
      </c>
      <c r="R345">
        <f>AND(IF(Metadata!D345="",FALSE,TRUE),exact(Metadata!D345,"human oral metagenome"))</f>
        <v>0</v>
      </c>
      <c r="S345">
        <f>AND(IF(Metadata!E345="",FALSE,TRUE),exact(Metadata!E345,"447426"))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AND(IF(Metadata!C346="",FALSE,TRUE),exact(Metadata!C346,"human-oral"))</f>
        <v>0</v>
      </c>
      <c r="R346">
        <f>AND(IF(Metadata!D346="",FALSE,TRUE),exact(Metadata!D346,"human oral metagenome"))</f>
        <v>0</v>
      </c>
      <c r="S346">
        <f>AND(IF(Metadata!E346="",FALSE,TRUE),exact(Metadata!E346,"447426"))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AND(IF(Metadata!C347="",FALSE,TRUE),exact(Metadata!C347,"human-oral"))</f>
        <v>0</v>
      </c>
      <c r="R347">
        <f>AND(IF(Metadata!D347="",FALSE,TRUE),exact(Metadata!D347,"human oral metagenome"))</f>
        <v>0</v>
      </c>
      <c r="S347">
        <f>AND(IF(Metadata!E347="",FALSE,TRUE),exact(Metadata!E347,"447426"))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AND(IF(Metadata!C348="",FALSE,TRUE),exact(Metadata!C348,"human-oral"))</f>
        <v>0</v>
      </c>
      <c r="R348">
        <f>AND(IF(Metadata!D348="",FALSE,TRUE),exact(Metadata!D348,"human oral metagenome"))</f>
        <v>0</v>
      </c>
      <c r="S348">
        <f>AND(IF(Metadata!E348="",FALSE,TRUE),exact(Metadata!E348,"447426"))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AND(IF(Metadata!C349="",FALSE,TRUE),exact(Metadata!C349,"human-oral"))</f>
        <v>0</v>
      </c>
      <c r="R349">
        <f>AND(IF(Metadata!D349="",FALSE,TRUE),exact(Metadata!D349,"human oral metagenome"))</f>
        <v>0</v>
      </c>
      <c r="S349">
        <f>AND(IF(Metadata!E349="",FALSE,TRUE),exact(Metadata!E349,"447426"))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AND(IF(Metadata!C350="",FALSE,TRUE),exact(Metadata!C350,"human-oral"))</f>
        <v>0</v>
      </c>
      <c r="R350">
        <f>AND(IF(Metadata!D350="",FALSE,TRUE),exact(Metadata!D350,"human oral metagenome"))</f>
        <v>0</v>
      </c>
      <c r="S350">
        <f>AND(IF(Metadata!E350="",FALSE,TRUE),exact(Metadata!E350,"447426"))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AND(IF(Metadata!C351="",FALSE,TRUE),exact(Metadata!C351,"human-oral"))</f>
        <v>0</v>
      </c>
      <c r="R351">
        <f>AND(IF(Metadata!D351="",FALSE,TRUE),exact(Metadata!D351,"human oral metagenome"))</f>
        <v>0</v>
      </c>
      <c r="S351">
        <f>AND(IF(Metadata!E351="",FALSE,TRUE),exact(Metadata!E351,"447426"))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AND(IF(Metadata!C352="",FALSE,TRUE),exact(Metadata!C352,"human-oral"))</f>
        <v>0</v>
      </c>
      <c r="R352">
        <f>AND(IF(Metadata!D352="",FALSE,TRUE),exact(Metadata!D352,"human oral metagenome"))</f>
        <v>0</v>
      </c>
      <c r="S352">
        <f>AND(IF(Metadata!E352="",FALSE,TRUE),exact(Metadata!E352,"447426"))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AND(IF(Metadata!C353="",FALSE,TRUE),exact(Metadata!C353,"human-oral"))</f>
        <v>0</v>
      </c>
      <c r="R353">
        <f>AND(IF(Metadata!D353="",FALSE,TRUE),exact(Metadata!D353,"human oral metagenome"))</f>
        <v>0</v>
      </c>
      <c r="S353">
        <f>AND(IF(Metadata!E353="",FALSE,TRUE),exact(Metadata!E353,"447426"))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AND(IF(Metadata!C354="",FALSE,TRUE),exact(Metadata!C354,"human-oral"))</f>
        <v>0</v>
      </c>
      <c r="R354">
        <f>AND(IF(Metadata!D354="",FALSE,TRUE),exact(Metadata!D354,"human oral metagenome"))</f>
        <v>0</v>
      </c>
      <c r="S354">
        <f>AND(IF(Metadata!E354="",FALSE,TRUE),exact(Metadata!E354,"447426"))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AND(IF(Metadata!C355="",FALSE,TRUE),exact(Metadata!C355,"human-oral"))</f>
        <v>0</v>
      </c>
      <c r="R355">
        <f>AND(IF(Metadata!D355="",FALSE,TRUE),exact(Metadata!D355,"human oral metagenome"))</f>
        <v>0</v>
      </c>
      <c r="S355">
        <f>AND(IF(Metadata!E355="",FALSE,TRUE),exact(Metadata!E355,"447426"))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AND(IF(Metadata!C356="",FALSE,TRUE),exact(Metadata!C356,"human-oral"))</f>
        <v>0</v>
      </c>
      <c r="R356">
        <f>AND(IF(Metadata!D356="",FALSE,TRUE),exact(Metadata!D356,"human oral metagenome"))</f>
        <v>0</v>
      </c>
      <c r="S356">
        <f>AND(IF(Metadata!E356="",FALSE,TRUE),exact(Metadata!E356,"447426"))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AND(IF(Metadata!C357="",FALSE,TRUE),exact(Metadata!C357,"human-oral"))</f>
        <v>0</v>
      </c>
      <c r="R357">
        <f>AND(IF(Metadata!D357="",FALSE,TRUE),exact(Metadata!D357,"human oral metagenome"))</f>
        <v>0</v>
      </c>
      <c r="S357">
        <f>AND(IF(Metadata!E357="",FALSE,TRUE),exact(Metadata!E357,"447426"))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AND(IF(Metadata!C358="",FALSE,TRUE),exact(Metadata!C358,"human-oral"))</f>
        <v>0</v>
      </c>
      <c r="R358">
        <f>AND(IF(Metadata!D358="",FALSE,TRUE),exact(Metadata!D358,"human oral metagenome"))</f>
        <v>0</v>
      </c>
      <c r="S358">
        <f>AND(IF(Metadata!E358="",FALSE,TRUE),exact(Metadata!E358,"447426"))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AND(IF(Metadata!C359="",FALSE,TRUE),exact(Metadata!C359,"human-oral"))</f>
        <v>0</v>
      </c>
      <c r="R359">
        <f>AND(IF(Metadata!D359="",FALSE,TRUE),exact(Metadata!D359,"human oral metagenome"))</f>
        <v>0</v>
      </c>
      <c r="S359">
        <f>AND(IF(Metadata!E359="",FALSE,TRUE),exact(Metadata!E359,"447426"))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AND(IF(Metadata!C360="",FALSE,TRUE),exact(Metadata!C360,"human-oral"))</f>
        <v>0</v>
      </c>
      <c r="R360">
        <f>AND(IF(Metadata!D360="",FALSE,TRUE),exact(Metadata!D360,"human oral metagenome"))</f>
        <v>0</v>
      </c>
      <c r="S360">
        <f>AND(IF(Metadata!E360="",FALSE,TRUE),exact(Metadata!E360,"447426"))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AND(IF(Metadata!C361="",FALSE,TRUE),exact(Metadata!C361,"human-oral"))</f>
        <v>0</v>
      </c>
      <c r="R361">
        <f>AND(IF(Metadata!D361="",FALSE,TRUE),exact(Metadata!D361,"human oral metagenome"))</f>
        <v>0</v>
      </c>
      <c r="S361">
        <f>AND(IF(Metadata!E361="",FALSE,TRUE),exact(Metadata!E361,"447426"))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AND(IF(Metadata!C362="",FALSE,TRUE),exact(Metadata!C362,"human-oral"))</f>
        <v>0</v>
      </c>
      <c r="R362">
        <f>AND(IF(Metadata!D362="",FALSE,TRUE),exact(Metadata!D362,"human oral metagenome"))</f>
        <v>0</v>
      </c>
      <c r="S362">
        <f>AND(IF(Metadata!E362="",FALSE,TRUE),exact(Metadata!E362,"447426"))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AND(IF(Metadata!C363="",FALSE,TRUE),exact(Metadata!C363,"human-oral"))</f>
        <v>0</v>
      </c>
      <c r="R363">
        <f>AND(IF(Metadata!D363="",FALSE,TRUE),exact(Metadata!D363,"human oral metagenome"))</f>
        <v>0</v>
      </c>
      <c r="S363">
        <f>AND(IF(Metadata!E363="",FALSE,TRUE),exact(Metadata!E363,"447426"))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AND(IF(Metadata!C364="",FALSE,TRUE),exact(Metadata!C364,"human-oral"))</f>
        <v>0</v>
      </c>
      <c r="R364">
        <f>AND(IF(Metadata!D364="",FALSE,TRUE),exact(Metadata!D364,"human oral metagenome"))</f>
        <v>0</v>
      </c>
      <c r="S364">
        <f>AND(IF(Metadata!E364="",FALSE,TRUE),exact(Metadata!E364,"447426"))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AND(IF(Metadata!C365="",FALSE,TRUE),exact(Metadata!C365,"human-oral"))</f>
        <v>0</v>
      </c>
      <c r="R365">
        <f>AND(IF(Metadata!D365="",FALSE,TRUE),exact(Metadata!D365,"human oral metagenome"))</f>
        <v>0</v>
      </c>
      <c r="S365">
        <f>AND(IF(Metadata!E365="",FALSE,TRUE),exact(Metadata!E365,"447426"))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AND(IF(Metadata!C366="",FALSE,TRUE),exact(Metadata!C366,"human-oral"))</f>
        <v>0</v>
      </c>
      <c r="R366">
        <f>AND(IF(Metadata!D366="",FALSE,TRUE),exact(Metadata!D366,"human oral metagenome"))</f>
        <v>0</v>
      </c>
      <c r="S366">
        <f>AND(IF(Metadata!E366="",FALSE,TRUE),exact(Metadata!E366,"447426"))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AND(IF(Metadata!C367="",FALSE,TRUE),exact(Metadata!C367,"human-oral"))</f>
        <v>0</v>
      </c>
      <c r="R367">
        <f>AND(IF(Metadata!D367="",FALSE,TRUE),exact(Metadata!D367,"human oral metagenome"))</f>
        <v>0</v>
      </c>
      <c r="S367">
        <f>AND(IF(Metadata!E367="",FALSE,TRUE),exact(Metadata!E367,"447426"))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AND(IF(Metadata!C368="",FALSE,TRUE),exact(Metadata!C368,"human-oral"))</f>
        <v>0</v>
      </c>
      <c r="R368">
        <f>AND(IF(Metadata!D368="",FALSE,TRUE),exact(Metadata!D368,"human oral metagenome"))</f>
        <v>0</v>
      </c>
      <c r="S368">
        <f>AND(IF(Metadata!E368="",FALSE,TRUE),exact(Metadata!E368,"447426"))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AND(IF(Metadata!C369="",FALSE,TRUE),exact(Metadata!C369,"human-oral"))</f>
        <v>0</v>
      </c>
      <c r="R369">
        <f>AND(IF(Metadata!D369="",FALSE,TRUE),exact(Metadata!D369,"human oral metagenome"))</f>
        <v>0</v>
      </c>
      <c r="S369">
        <f>AND(IF(Metadata!E369="",FALSE,TRUE),exact(Metadata!E369,"447426"))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AND(IF(Metadata!C370="",FALSE,TRUE),exact(Metadata!C370,"human-oral"))</f>
        <v>0</v>
      </c>
      <c r="R370">
        <f>AND(IF(Metadata!D370="",FALSE,TRUE),exact(Metadata!D370,"human oral metagenome"))</f>
        <v>0</v>
      </c>
      <c r="S370">
        <f>AND(IF(Metadata!E370="",FALSE,TRUE),exact(Metadata!E370,"447426"))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AND(IF(Metadata!C371="",FALSE,TRUE),exact(Metadata!C371,"human-oral"))</f>
        <v>0</v>
      </c>
      <c r="R371">
        <f>AND(IF(Metadata!D371="",FALSE,TRUE),exact(Metadata!D371,"human oral metagenome"))</f>
        <v>0</v>
      </c>
      <c r="S371">
        <f>AND(IF(Metadata!E371="",FALSE,TRUE),exact(Metadata!E371,"447426"))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AND(IF(Metadata!C372="",FALSE,TRUE),exact(Metadata!C372,"human-oral"))</f>
        <v>0</v>
      </c>
      <c r="R372">
        <f>AND(IF(Metadata!D372="",FALSE,TRUE),exact(Metadata!D372,"human oral metagenome"))</f>
        <v>0</v>
      </c>
      <c r="S372">
        <f>AND(IF(Metadata!E372="",FALSE,TRUE),exact(Metadata!E372,"447426"))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AND(IF(Metadata!C373="",FALSE,TRUE),exact(Metadata!C373,"human-oral"))</f>
        <v>0</v>
      </c>
      <c r="R373">
        <f>AND(IF(Metadata!D373="",FALSE,TRUE),exact(Metadata!D373,"human oral metagenome"))</f>
        <v>0</v>
      </c>
      <c r="S373">
        <f>AND(IF(Metadata!E373="",FALSE,TRUE),exact(Metadata!E373,"447426"))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AND(IF(Metadata!C374="",FALSE,TRUE),exact(Metadata!C374,"human-oral"))</f>
        <v>0</v>
      </c>
      <c r="R374">
        <f>AND(IF(Metadata!D374="",FALSE,TRUE),exact(Metadata!D374,"human oral metagenome"))</f>
        <v>0</v>
      </c>
      <c r="S374">
        <f>AND(IF(Metadata!E374="",FALSE,TRUE),exact(Metadata!E374,"447426"))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AND(IF(Metadata!C375="",FALSE,TRUE),exact(Metadata!C375,"human-oral"))</f>
        <v>0</v>
      </c>
      <c r="R375">
        <f>AND(IF(Metadata!D375="",FALSE,TRUE),exact(Metadata!D375,"human oral metagenome"))</f>
        <v>0</v>
      </c>
      <c r="S375">
        <f>AND(IF(Metadata!E375="",FALSE,TRUE),exact(Metadata!E375,"447426"))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AND(IF(Metadata!C376="",FALSE,TRUE),exact(Metadata!C376,"human-oral"))</f>
        <v>0</v>
      </c>
      <c r="R376">
        <f>AND(IF(Metadata!D376="",FALSE,TRUE),exact(Metadata!D376,"human oral metagenome"))</f>
        <v>0</v>
      </c>
      <c r="S376">
        <f>AND(IF(Metadata!E376="",FALSE,TRUE),exact(Metadata!E376,"447426"))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AND(IF(Metadata!C377="",FALSE,TRUE),exact(Metadata!C377,"human-oral"))</f>
        <v>0</v>
      </c>
      <c r="R377">
        <f>AND(IF(Metadata!D377="",FALSE,TRUE),exact(Metadata!D377,"human oral metagenome"))</f>
        <v>0</v>
      </c>
      <c r="S377">
        <f>AND(IF(Metadata!E377="",FALSE,TRUE),exact(Metadata!E377,"447426"))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AND(IF(Metadata!C378="",FALSE,TRUE),exact(Metadata!C378,"human-oral"))</f>
        <v>0</v>
      </c>
      <c r="R378">
        <f>AND(IF(Metadata!D378="",FALSE,TRUE),exact(Metadata!D378,"human oral metagenome"))</f>
        <v>0</v>
      </c>
      <c r="S378">
        <f>AND(IF(Metadata!E378="",FALSE,TRUE),exact(Metadata!E378,"447426"))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AND(IF(Metadata!C379="",FALSE,TRUE),exact(Metadata!C379,"human-oral"))</f>
        <v>0</v>
      </c>
      <c r="R379">
        <f>AND(IF(Metadata!D379="",FALSE,TRUE),exact(Metadata!D379,"human oral metagenome"))</f>
        <v>0</v>
      </c>
      <c r="S379">
        <f>AND(IF(Metadata!E379="",FALSE,TRUE),exact(Metadata!E379,"447426"))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AND(IF(Metadata!C380="",FALSE,TRUE),exact(Metadata!C380,"human-oral"))</f>
        <v>0</v>
      </c>
      <c r="R380">
        <f>AND(IF(Metadata!D380="",FALSE,TRUE),exact(Metadata!D380,"human oral metagenome"))</f>
        <v>0</v>
      </c>
      <c r="S380">
        <f>AND(IF(Metadata!E380="",FALSE,TRUE),exact(Metadata!E380,"447426"))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AND(IF(Metadata!C381="",FALSE,TRUE),exact(Metadata!C381,"human-oral"))</f>
        <v>0</v>
      </c>
      <c r="R381">
        <f>AND(IF(Metadata!D381="",FALSE,TRUE),exact(Metadata!D381,"human oral metagenome"))</f>
        <v>0</v>
      </c>
      <c r="S381">
        <f>AND(IF(Metadata!E381="",FALSE,TRUE),exact(Metadata!E381,"447426"))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AND(IF(Metadata!C382="",FALSE,TRUE),exact(Metadata!C382,"human-oral"))</f>
        <v>0</v>
      </c>
      <c r="R382">
        <f>AND(IF(Metadata!D382="",FALSE,TRUE),exact(Metadata!D382,"human oral metagenome"))</f>
        <v>0</v>
      </c>
      <c r="S382">
        <f>AND(IF(Metadata!E382="",FALSE,TRUE),exact(Metadata!E382,"447426"))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AND(IF(Metadata!C383="",FALSE,TRUE),exact(Metadata!C383,"human-oral"))</f>
        <v>0</v>
      </c>
      <c r="R383">
        <f>AND(IF(Metadata!D383="",FALSE,TRUE),exact(Metadata!D383,"human oral metagenome"))</f>
        <v>0</v>
      </c>
      <c r="S383">
        <f>AND(IF(Metadata!E383="",FALSE,TRUE),exact(Metadata!E383,"447426"))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AND(IF(Metadata!C384="",FALSE,TRUE),exact(Metadata!C384,"human-oral"))</f>
        <v>0</v>
      </c>
      <c r="R384">
        <f>AND(IF(Metadata!D384="",FALSE,TRUE),exact(Metadata!D384,"human oral metagenome"))</f>
        <v>0</v>
      </c>
      <c r="S384">
        <f>AND(IF(Metadata!E384="",FALSE,TRUE),exact(Metadata!E384,"447426"))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AND(IF(Metadata!C385="",FALSE,TRUE),exact(Metadata!C385,"human-oral"))</f>
        <v>0</v>
      </c>
      <c r="R385">
        <f>AND(IF(Metadata!D385="",FALSE,TRUE),exact(Metadata!D385,"human oral metagenome"))</f>
        <v>0</v>
      </c>
      <c r="S385">
        <f>AND(IF(Metadata!E385="",FALSE,TRUE),exact(Metadata!E385,"447426"))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AND(IF(Metadata!C386="",FALSE,TRUE),exact(Metadata!C386,"human-oral"))</f>
        <v>0</v>
      </c>
      <c r="R386">
        <f>AND(IF(Metadata!D386="",FALSE,TRUE),exact(Metadata!D386,"human oral metagenome"))</f>
        <v>0</v>
      </c>
      <c r="S386">
        <f>AND(IF(Metadata!E386="",FALSE,TRUE),exact(Metadata!E386,"447426"))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AND(IF(Metadata!C387="",FALSE,TRUE),exact(Metadata!C387,"human-oral"))</f>
        <v>0</v>
      </c>
      <c r="R387">
        <f>AND(IF(Metadata!D387="",FALSE,TRUE),exact(Metadata!D387,"human oral metagenome"))</f>
        <v>0</v>
      </c>
      <c r="S387">
        <f>AND(IF(Metadata!E387="",FALSE,TRUE),exact(Metadata!E387,"447426"))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AND(IF(Metadata!C388="",FALSE,TRUE),exact(Metadata!C388,"human-oral"))</f>
        <v>0</v>
      </c>
      <c r="R388">
        <f>AND(IF(Metadata!D388="",FALSE,TRUE),exact(Metadata!D388,"human oral metagenome"))</f>
        <v>0</v>
      </c>
      <c r="S388">
        <f>AND(IF(Metadata!E388="",FALSE,TRUE),exact(Metadata!E388,"447426"))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AND(IF(Metadata!C389="",FALSE,TRUE),exact(Metadata!C389,"human-oral"))</f>
        <v>0</v>
      </c>
      <c r="R389">
        <f>AND(IF(Metadata!D389="",FALSE,TRUE),exact(Metadata!D389,"human oral metagenome"))</f>
        <v>0</v>
      </c>
      <c r="S389">
        <f>AND(IF(Metadata!E389="",FALSE,TRUE),exact(Metadata!E389,"447426"))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AND(IF(Metadata!C390="",FALSE,TRUE),exact(Metadata!C390,"human-oral"))</f>
        <v>0</v>
      </c>
      <c r="R390">
        <f>AND(IF(Metadata!D390="",FALSE,TRUE),exact(Metadata!D390,"human oral metagenome"))</f>
        <v>0</v>
      </c>
      <c r="S390">
        <f>AND(IF(Metadata!E390="",FALSE,TRUE),exact(Metadata!E390,"447426"))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AND(IF(Metadata!C391="",FALSE,TRUE),exact(Metadata!C391,"human-oral"))</f>
        <v>0</v>
      </c>
      <c r="R391">
        <f>AND(IF(Metadata!D391="",FALSE,TRUE),exact(Metadata!D391,"human oral metagenome"))</f>
        <v>0</v>
      </c>
      <c r="S391">
        <f>AND(IF(Metadata!E391="",FALSE,TRUE),exact(Metadata!E391,"447426"))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AND(IF(Metadata!C392="",FALSE,TRUE),exact(Metadata!C392,"human-oral"))</f>
        <v>0</v>
      </c>
      <c r="R392">
        <f>AND(IF(Metadata!D392="",FALSE,TRUE),exact(Metadata!D392,"human oral metagenome"))</f>
        <v>0</v>
      </c>
      <c r="S392">
        <f>AND(IF(Metadata!E392="",FALSE,TRUE),exact(Metadata!E392,"447426"))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AND(IF(Metadata!C393="",FALSE,TRUE),exact(Metadata!C393,"human-oral"))</f>
        <v>0</v>
      </c>
      <c r="R393">
        <f>AND(IF(Metadata!D393="",FALSE,TRUE),exact(Metadata!D393,"human oral metagenome"))</f>
        <v>0</v>
      </c>
      <c r="S393">
        <f>AND(IF(Metadata!E393="",FALSE,TRUE),exact(Metadata!E393,"447426"))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AND(IF(Metadata!C394="",FALSE,TRUE),exact(Metadata!C394,"human-oral"))</f>
        <v>0</v>
      </c>
      <c r="R394">
        <f>AND(IF(Metadata!D394="",FALSE,TRUE),exact(Metadata!D394,"human oral metagenome"))</f>
        <v>0</v>
      </c>
      <c r="S394">
        <f>AND(IF(Metadata!E394="",FALSE,TRUE),exact(Metadata!E394,"447426"))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AND(IF(Metadata!C395="",FALSE,TRUE),exact(Metadata!C395,"human-oral"))</f>
        <v>0</v>
      </c>
      <c r="R395">
        <f>AND(IF(Metadata!D395="",FALSE,TRUE),exact(Metadata!D395,"human oral metagenome"))</f>
        <v>0</v>
      </c>
      <c r="S395">
        <f>AND(IF(Metadata!E395="",FALSE,TRUE),exact(Metadata!E395,"447426"))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AND(IF(Metadata!C396="",FALSE,TRUE),exact(Metadata!C396,"human-oral"))</f>
        <v>0</v>
      </c>
      <c r="R396">
        <f>AND(IF(Metadata!D396="",FALSE,TRUE),exact(Metadata!D396,"human oral metagenome"))</f>
        <v>0</v>
      </c>
      <c r="S396">
        <f>AND(IF(Metadata!E396="",FALSE,TRUE),exact(Metadata!E396,"447426"))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AND(IF(Metadata!C397="",FALSE,TRUE),exact(Metadata!C397,"human-oral"))</f>
        <v>0</v>
      </c>
      <c r="R397">
        <f>AND(IF(Metadata!D397="",FALSE,TRUE),exact(Metadata!D397,"human oral metagenome"))</f>
        <v>0</v>
      </c>
      <c r="S397">
        <f>AND(IF(Metadata!E397="",FALSE,TRUE),exact(Metadata!E397,"447426"))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AND(IF(Metadata!C398="",FALSE,TRUE),exact(Metadata!C398,"human-oral"))</f>
        <v>0</v>
      </c>
      <c r="R398">
        <f>AND(IF(Metadata!D398="",FALSE,TRUE),exact(Metadata!D398,"human oral metagenome"))</f>
        <v>0</v>
      </c>
      <c r="S398">
        <f>AND(IF(Metadata!E398="",FALSE,TRUE),exact(Metadata!E398,"447426"))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AND(IF(Metadata!C399="",FALSE,TRUE),exact(Metadata!C399,"human-oral"))</f>
        <v>0</v>
      </c>
      <c r="R399">
        <f>AND(IF(Metadata!D399="",FALSE,TRUE),exact(Metadata!D399,"human oral metagenome"))</f>
        <v>0</v>
      </c>
      <c r="S399">
        <f>AND(IF(Metadata!E399="",FALSE,TRUE),exact(Metadata!E399,"447426"))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AND(IF(Metadata!C400="",FALSE,TRUE),exact(Metadata!C400,"human-oral"))</f>
        <v>0</v>
      </c>
      <c r="R400">
        <f>AND(IF(Metadata!D400="",FALSE,TRUE),exact(Metadata!D400,"human oral metagenome"))</f>
        <v>0</v>
      </c>
      <c r="S400">
        <f>AND(IF(Metadata!E400="",FALSE,TRUE),exact(Metadata!E400,"447426"))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AND(IF(Metadata!C401="",FALSE,TRUE),exact(Metadata!C401,"human-oral"))</f>
        <v>0</v>
      </c>
      <c r="R401">
        <f>AND(IF(Metadata!D401="",FALSE,TRUE),exact(Metadata!D401,"human oral metagenome"))</f>
        <v>0</v>
      </c>
      <c r="S401">
        <f>AND(IF(Metadata!E401="",FALSE,TRUE),exact(Metadata!E401,"447426"))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AND(IF(Metadata!C402="",FALSE,TRUE),exact(Metadata!C402,"human-oral"))</f>
        <v>0</v>
      </c>
      <c r="R402">
        <f>AND(IF(Metadata!D402="",FALSE,TRUE),exact(Metadata!D402,"human oral metagenome"))</f>
        <v>0</v>
      </c>
      <c r="S402">
        <f>AND(IF(Metadata!E402="",FALSE,TRUE),exact(Metadata!E402,"447426"))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AND(IF(Metadata!C403="",FALSE,TRUE),exact(Metadata!C403,"human-oral"))</f>
        <v>0</v>
      </c>
      <c r="R403">
        <f>AND(IF(Metadata!D403="",FALSE,TRUE),exact(Metadata!D403,"human oral metagenome"))</f>
        <v>0</v>
      </c>
      <c r="S403">
        <f>AND(IF(Metadata!E403="",FALSE,TRUE),exact(Metadata!E403,"447426"))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AND(IF(Metadata!C404="",FALSE,TRUE),exact(Metadata!C404,"human-oral"))</f>
        <v>0</v>
      </c>
      <c r="R404">
        <f>AND(IF(Metadata!D404="",FALSE,TRUE),exact(Metadata!D404,"human oral metagenome"))</f>
        <v>0</v>
      </c>
      <c r="S404">
        <f>AND(IF(Metadata!E404="",FALSE,TRUE),exact(Metadata!E404,"447426"))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AND(IF(Metadata!C405="",FALSE,TRUE),exact(Metadata!C405,"human-oral"))</f>
        <v>0</v>
      </c>
      <c r="R405">
        <f>AND(IF(Metadata!D405="",FALSE,TRUE),exact(Metadata!D405,"human oral metagenome"))</f>
        <v>0</v>
      </c>
      <c r="S405">
        <f>AND(IF(Metadata!E405="",FALSE,TRUE),exact(Metadata!E405,"447426"))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AND(IF(Metadata!C406="",FALSE,TRUE),exact(Metadata!C406,"human-oral"))</f>
        <v>0</v>
      </c>
      <c r="R406">
        <f>AND(IF(Metadata!D406="",FALSE,TRUE),exact(Metadata!D406,"human oral metagenome"))</f>
        <v>0</v>
      </c>
      <c r="S406">
        <f>AND(IF(Metadata!E406="",FALSE,TRUE),exact(Metadata!E406,"447426"))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AND(IF(Metadata!C407="",FALSE,TRUE),exact(Metadata!C407,"human-oral"))</f>
        <v>0</v>
      </c>
      <c r="R407">
        <f>AND(IF(Metadata!D407="",FALSE,TRUE),exact(Metadata!D407,"human oral metagenome"))</f>
        <v>0</v>
      </c>
      <c r="S407">
        <f>AND(IF(Metadata!E407="",FALSE,TRUE),exact(Metadata!E407,"447426"))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AND(IF(Metadata!C408="",FALSE,TRUE),exact(Metadata!C408,"human-oral"))</f>
        <v>0</v>
      </c>
      <c r="R408">
        <f>AND(IF(Metadata!D408="",FALSE,TRUE),exact(Metadata!D408,"human oral metagenome"))</f>
        <v>0</v>
      </c>
      <c r="S408">
        <f>AND(IF(Metadata!E408="",FALSE,TRUE),exact(Metadata!E408,"447426"))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AND(IF(Metadata!C409="",FALSE,TRUE),exact(Metadata!C409,"human-oral"))</f>
        <v>0</v>
      </c>
      <c r="R409">
        <f>AND(IF(Metadata!D409="",FALSE,TRUE),exact(Metadata!D409,"human oral metagenome"))</f>
        <v>0</v>
      </c>
      <c r="S409">
        <f>AND(IF(Metadata!E409="",FALSE,TRUE),exact(Metadata!E409,"447426"))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AND(IF(Metadata!C410="",FALSE,TRUE),exact(Metadata!C410,"human-oral"))</f>
        <v>0</v>
      </c>
      <c r="R410">
        <f>AND(IF(Metadata!D410="",FALSE,TRUE),exact(Metadata!D410,"human oral metagenome"))</f>
        <v>0</v>
      </c>
      <c r="S410">
        <f>AND(IF(Metadata!E410="",FALSE,TRUE),exact(Metadata!E410,"447426"))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AND(IF(Metadata!C411="",FALSE,TRUE),exact(Metadata!C411,"human-oral"))</f>
        <v>0</v>
      </c>
      <c r="R411">
        <f>AND(IF(Metadata!D411="",FALSE,TRUE),exact(Metadata!D411,"human oral metagenome"))</f>
        <v>0</v>
      </c>
      <c r="S411">
        <f>AND(IF(Metadata!E411="",FALSE,TRUE),exact(Metadata!E411,"447426"))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AND(IF(Metadata!C412="",FALSE,TRUE),exact(Metadata!C412,"human-oral"))</f>
        <v>0</v>
      </c>
      <c r="R412">
        <f>AND(IF(Metadata!D412="",FALSE,TRUE),exact(Metadata!D412,"human oral metagenome"))</f>
        <v>0</v>
      </c>
      <c r="S412">
        <f>AND(IF(Metadata!E412="",FALSE,TRUE),exact(Metadata!E412,"447426"))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AND(IF(Metadata!C413="",FALSE,TRUE),exact(Metadata!C413,"human-oral"))</f>
        <v>0</v>
      </c>
      <c r="R413">
        <f>AND(IF(Metadata!D413="",FALSE,TRUE),exact(Metadata!D413,"human oral metagenome"))</f>
        <v>0</v>
      </c>
      <c r="S413">
        <f>AND(IF(Metadata!E413="",FALSE,TRUE),exact(Metadata!E413,"447426"))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AND(IF(Metadata!C414="",FALSE,TRUE),exact(Metadata!C414,"human-oral"))</f>
        <v>0</v>
      </c>
      <c r="R414">
        <f>AND(IF(Metadata!D414="",FALSE,TRUE),exact(Metadata!D414,"human oral metagenome"))</f>
        <v>0</v>
      </c>
      <c r="S414">
        <f>AND(IF(Metadata!E414="",FALSE,TRUE),exact(Metadata!E414,"447426"))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AND(IF(Metadata!C415="",FALSE,TRUE),exact(Metadata!C415,"human-oral"))</f>
        <v>0</v>
      </c>
      <c r="R415">
        <f>AND(IF(Metadata!D415="",FALSE,TRUE),exact(Metadata!D415,"human oral metagenome"))</f>
        <v>0</v>
      </c>
      <c r="S415">
        <f>AND(IF(Metadata!E415="",FALSE,TRUE),exact(Metadata!E415,"447426"))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AND(IF(Metadata!C416="",FALSE,TRUE),exact(Metadata!C416,"human-oral"))</f>
        <v>0</v>
      </c>
      <c r="R416">
        <f>AND(IF(Metadata!D416="",FALSE,TRUE),exact(Metadata!D416,"human oral metagenome"))</f>
        <v>0</v>
      </c>
      <c r="S416">
        <f>AND(IF(Metadata!E416="",FALSE,TRUE),exact(Metadata!E416,"447426"))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AND(IF(Metadata!C417="",FALSE,TRUE),exact(Metadata!C417,"human-oral"))</f>
        <v>0</v>
      </c>
      <c r="R417">
        <f>AND(IF(Metadata!D417="",FALSE,TRUE),exact(Metadata!D417,"human oral metagenome"))</f>
        <v>0</v>
      </c>
      <c r="S417">
        <f>AND(IF(Metadata!E417="",FALSE,TRUE),exact(Metadata!E417,"447426"))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AND(IF(Metadata!C418="",FALSE,TRUE),exact(Metadata!C418,"human-oral"))</f>
        <v>0</v>
      </c>
      <c r="R418">
        <f>AND(IF(Metadata!D418="",FALSE,TRUE),exact(Metadata!D418,"human oral metagenome"))</f>
        <v>0</v>
      </c>
      <c r="S418">
        <f>AND(IF(Metadata!E418="",FALSE,TRUE),exact(Metadata!E418,"447426"))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AND(IF(Metadata!C419="",FALSE,TRUE),exact(Metadata!C419,"human-oral"))</f>
        <v>0</v>
      </c>
      <c r="R419">
        <f>AND(IF(Metadata!D419="",FALSE,TRUE),exact(Metadata!D419,"human oral metagenome"))</f>
        <v>0</v>
      </c>
      <c r="S419">
        <f>AND(IF(Metadata!E419="",FALSE,TRUE),exact(Metadata!E419,"447426"))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AND(IF(Metadata!C420="",FALSE,TRUE),exact(Metadata!C420,"human-oral"))</f>
        <v>0</v>
      </c>
      <c r="R420">
        <f>AND(IF(Metadata!D420="",FALSE,TRUE),exact(Metadata!D420,"human oral metagenome"))</f>
        <v>0</v>
      </c>
      <c r="S420">
        <f>AND(IF(Metadata!E420="",FALSE,TRUE),exact(Metadata!E420,"447426"))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AND(IF(Metadata!C421="",FALSE,TRUE),exact(Metadata!C421,"human-oral"))</f>
        <v>0</v>
      </c>
      <c r="R421">
        <f>AND(IF(Metadata!D421="",FALSE,TRUE),exact(Metadata!D421,"human oral metagenome"))</f>
        <v>0</v>
      </c>
      <c r="S421">
        <f>AND(IF(Metadata!E421="",FALSE,TRUE),exact(Metadata!E421,"447426"))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AND(IF(Metadata!C422="",FALSE,TRUE),exact(Metadata!C422,"human-oral"))</f>
        <v>0</v>
      </c>
      <c r="R422">
        <f>AND(IF(Metadata!D422="",FALSE,TRUE),exact(Metadata!D422,"human oral metagenome"))</f>
        <v>0</v>
      </c>
      <c r="S422">
        <f>AND(IF(Metadata!E422="",FALSE,TRUE),exact(Metadata!E422,"447426"))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AND(IF(Metadata!C423="",FALSE,TRUE),exact(Metadata!C423,"human-oral"))</f>
        <v>0</v>
      </c>
      <c r="R423">
        <f>AND(IF(Metadata!D423="",FALSE,TRUE),exact(Metadata!D423,"human oral metagenome"))</f>
        <v>0</v>
      </c>
      <c r="S423">
        <f>AND(IF(Metadata!E423="",FALSE,TRUE),exact(Metadata!E423,"447426"))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AND(IF(Metadata!C424="",FALSE,TRUE),exact(Metadata!C424,"human-oral"))</f>
        <v>0</v>
      </c>
      <c r="R424">
        <f>AND(IF(Metadata!D424="",FALSE,TRUE),exact(Metadata!D424,"human oral metagenome"))</f>
        <v>0</v>
      </c>
      <c r="S424">
        <f>AND(IF(Metadata!E424="",FALSE,TRUE),exact(Metadata!E424,"447426"))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AND(IF(Metadata!C425="",FALSE,TRUE),exact(Metadata!C425,"human-oral"))</f>
        <v>0</v>
      </c>
      <c r="R425">
        <f>AND(IF(Metadata!D425="",FALSE,TRUE),exact(Metadata!D425,"human oral metagenome"))</f>
        <v>0</v>
      </c>
      <c r="S425">
        <f>AND(IF(Metadata!E425="",FALSE,TRUE),exact(Metadata!E425,"447426"))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AND(IF(Metadata!C426="",FALSE,TRUE),exact(Metadata!C426,"human-oral"))</f>
        <v>0</v>
      </c>
      <c r="R426">
        <f>AND(IF(Metadata!D426="",FALSE,TRUE),exact(Metadata!D426,"human oral metagenome"))</f>
        <v>0</v>
      </c>
      <c r="S426">
        <f>AND(IF(Metadata!E426="",FALSE,TRUE),exact(Metadata!E426,"447426"))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AND(IF(Metadata!C427="",FALSE,TRUE),exact(Metadata!C427,"human-oral"))</f>
        <v>0</v>
      </c>
      <c r="R427">
        <f>AND(IF(Metadata!D427="",FALSE,TRUE),exact(Metadata!D427,"human oral metagenome"))</f>
        <v>0</v>
      </c>
      <c r="S427">
        <f>AND(IF(Metadata!E427="",FALSE,TRUE),exact(Metadata!E427,"447426"))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AND(IF(Metadata!C428="",FALSE,TRUE),exact(Metadata!C428,"human-oral"))</f>
        <v>0</v>
      </c>
      <c r="R428">
        <f>AND(IF(Metadata!D428="",FALSE,TRUE),exact(Metadata!D428,"human oral metagenome"))</f>
        <v>0</v>
      </c>
      <c r="S428">
        <f>AND(IF(Metadata!E428="",FALSE,TRUE),exact(Metadata!E428,"447426"))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AND(IF(Metadata!C429="",FALSE,TRUE),exact(Metadata!C429,"human-oral"))</f>
        <v>0</v>
      </c>
      <c r="R429">
        <f>AND(IF(Metadata!D429="",FALSE,TRUE),exact(Metadata!D429,"human oral metagenome"))</f>
        <v>0</v>
      </c>
      <c r="S429">
        <f>AND(IF(Metadata!E429="",FALSE,TRUE),exact(Metadata!E429,"447426"))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AND(IF(Metadata!C430="",FALSE,TRUE),exact(Metadata!C430,"human-oral"))</f>
        <v>0</v>
      </c>
      <c r="R430">
        <f>AND(IF(Metadata!D430="",FALSE,TRUE),exact(Metadata!D430,"human oral metagenome"))</f>
        <v>0</v>
      </c>
      <c r="S430">
        <f>AND(IF(Metadata!E430="",FALSE,TRUE),exact(Metadata!E430,"447426"))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AND(IF(Metadata!C431="",FALSE,TRUE),exact(Metadata!C431,"human-oral"))</f>
        <v>0</v>
      </c>
      <c r="R431">
        <f>AND(IF(Metadata!D431="",FALSE,TRUE),exact(Metadata!D431,"human oral metagenome"))</f>
        <v>0</v>
      </c>
      <c r="S431">
        <f>AND(IF(Metadata!E431="",FALSE,TRUE),exact(Metadata!E431,"447426"))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AND(IF(Metadata!C432="",FALSE,TRUE),exact(Metadata!C432,"human-oral"))</f>
        <v>0</v>
      </c>
      <c r="R432">
        <f>AND(IF(Metadata!D432="",FALSE,TRUE),exact(Metadata!D432,"human oral metagenome"))</f>
        <v>0</v>
      </c>
      <c r="S432">
        <f>AND(IF(Metadata!E432="",FALSE,TRUE),exact(Metadata!E432,"447426"))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AND(IF(Metadata!C433="",FALSE,TRUE),exact(Metadata!C433,"human-oral"))</f>
        <v>0</v>
      </c>
      <c r="R433">
        <f>AND(IF(Metadata!D433="",FALSE,TRUE),exact(Metadata!D433,"human oral metagenome"))</f>
        <v>0</v>
      </c>
      <c r="S433">
        <f>AND(IF(Metadata!E433="",FALSE,TRUE),exact(Metadata!E433,"447426"))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AND(IF(Metadata!C434="",FALSE,TRUE),exact(Metadata!C434,"human-oral"))</f>
        <v>0</v>
      </c>
      <c r="R434">
        <f>AND(IF(Metadata!D434="",FALSE,TRUE),exact(Metadata!D434,"human oral metagenome"))</f>
        <v>0</v>
      </c>
      <c r="S434">
        <f>AND(IF(Metadata!E434="",FALSE,TRUE),exact(Metadata!E434,"447426"))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AND(IF(Metadata!C435="",FALSE,TRUE),exact(Metadata!C435,"human-oral"))</f>
        <v>0</v>
      </c>
      <c r="R435">
        <f>AND(IF(Metadata!D435="",FALSE,TRUE),exact(Metadata!D435,"human oral metagenome"))</f>
        <v>0</v>
      </c>
      <c r="S435">
        <f>AND(IF(Metadata!E435="",FALSE,TRUE),exact(Metadata!E435,"447426"))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AND(IF(Metadata!C436="",FALSE,TRUE),exact(Metadata!C436,"human-oral"))</f>
        <v>0</v>
      </c>
      <c r="R436">
        <f>AND(IF(Metadata!D436="",FALSE,TRUE),exact(Metadata!D436,"human oral metagenome"))</f>
        <v>0</v>
      </c>
      <c r="S436">
        <f>AND(IF(Metadata!E436="",FALSE,TRUE),exact(Metadata!E436,"447426"))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AND(IF(Metadata!C437="",FALSE,TRUE),exact(Metadata!C437,"human-oral"))</f>
        <v>0</v>
      </c>
      <c r="R437">
        <f>AND(IF(Metadata!D437="",FALSE,TRUE),exact(Metadata!D437,"human oral metagenome"))</f>
        <v>0</v>
      </c>
      <c r="S437">
        <f>AND(IF(Metadata!E437="",FALSE,TRUE),exact(Metadata!E437,"447426"))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AND(IF(Metadata!C438="",FALSE,TRUE),exact(Metadata!C438,"human-oral"))</f>
        <v>0</v>
      </c>
      <c r="R438">
        <f>AND(IF(Metadata!D438="",FALSE,TRUE),exact(Metadata!D438,"human oral metagenome"))</f>
        <v>0</v>
      </c>
      <c r="S438">
        <f>AND(IF(Metadata!E438="",FALSE,TRUE),exact(Metadata!E438,"447426"))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AND(IF(Metadata!C439="",FALSE,TRUE),exact(Metadata!C439,"human-oral"))</f>
        <v>0</v>
      </c>
      <c r="R439">
        <f>AND(IF(Metadata!D439="",FALSE,TRUE),exact(Metadata!D439,"human oral metagenome"))</f>
        <v>0</v>
      </c>
      <c r="S439">
        <f>AND(IF(Metadata!E439="",FALSE,TRUE),exact(Metadata!E439,"447426"))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AND(IF(Metadata!C440="",FALSE,TRUE),exact(Metadata!C440,"human-oral"))</f>
        <v>0</v>
      </c>
      <c r="R440">
        <f>AND(IF(Metadata!D440="",FALSE,TRUE),exact(Metadata!D440,"human oral metagenome"))</f>
        <v>0</v>
      </c>
      <c r="S440">
        <f>AND(IF(Metadata!E440="",FALSE,TRUE),exact(Metadata!E440,"447426"))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AND(IF(Metadata!C441="",FALSE,TRUE),exact(Metadata!C441,"human-oral"))</f>
        <v>0</v>
      </c>
      <c r="R441">
        <f>AND(IF(Metadata!D441="",FALSE,TRUE),exact(Metadata!D441,"human oral metagenome"))</f>
        <v>0</v>
      </c>
      <c r="S441">
        <f>AND(IF(Metadata!E441="",FALSE,TRUE),exact(Metadata!E441,"447426"))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AND(IF(Metadata!C442="",FALSE,TRUE),exact(Metadata!C442,"human-oral"))</f>
        <v>0</v>
      </c>
      <c r="R442">
        <f>AND(IF(Metadata!D442="",FALSE,TRUE),exact(Metadata!D442,"human oral metagenome"))</f>
        <v>0</v>
      </c>
      <c r="S442">
        <f>AND(IF(Metadata!E442="",FALSE,TRUE),exact(Metadata!E442,"447426"))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AND(IF(Metadata!C443="",FALSE,TRUE),exact(Metadata!C443,"human-oral"))</f>
        <v>0</v>
      </c>
      <c r="R443">
        <f>AND(IF(Metadata!D443="",FALSE,TRUE),exact(Metadata!D443,"human oral metagenome"))</f>
        <v>0</v>
      </c>
      <c r="S443">
        <f>AND(IF(Metadata!E443="",FALSE,TRUE),exact(Metadata!E443,"447426"))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AND(IF(Metadata!C444="",FALSE,TRUE),exact(Metadata!C444,"human-oral"))</f>
        <v>0</v>
      </c>
      <c r="R444">
        <f>AND(IF(Metadata!D444="",FALSE,TRUE),exact(Metadata!D444,"human oral metagenome"))</f>
        <v>0</v>
      </c>
      <c r="S444">
        <f>AND(IF(Metadata!E444="",FALSE,TRUE),exact(Metadata!E444,"447426"))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AND(IF(Metadata!C445="",FALSE,TRUE),exact(Metadata!C445,"human-oral"))</f>
        <v>0</v>
      </c>
      <c r="R445">
        <f>AND(IF(Metadata!D445="",FALSE,TRUE),exact(Metadata!D445,"human oral metagenome"))</f>
        <v>0</v>
      </c>
      <c r="S445">
        <f>AND(IF(Metadata!E445="",FALSE,TRUE),exact(Metadata!E445,"447426"))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AND(IF(Metadata!C446="",FALSE,TRUE),exact(Metadata!C446,"human-oral"))</f>
        <v>0</v>
      </c>
      <c r="R446">
        <f>AND(IF(Metadata!D446="",FALSE,TRUE),exact(Metadata!D446,"human oral metagenome"))</f>
        <v>0</v>
      </c>
      <c r="S446">
        <f>AND(IF(Metadata!E446="",FALSE,TRUE),exact(Metadata!E446,"447426"))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AND(IF(Metadata!C447="",FALSE,TRUE),exact(Metadata!C447,"human-oral"))</f>
        <v>0</v>
      </c>
      <c r="R447">
        <f>AND(IF(Metadata!D447="",FALSE,TRUE),exact(Metadata!D447,"human oral metagenome"))</f>
        <v>0</v>
      </c>
      <c r="S447">
        <f>AND(IF(Metadata!E447="",FALSE,TRUE),exact(Metadata!E447,"447426"))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AND(IF(Metadata!C448="",FALSE,TRUE),exact(Metadata!C448,"human-oral"))</f>
        <v>0</v>
      </c>
      <c r="R448">
        <f>AND(IF(Metadata!D448="",FALSE,TRUE),exact(Metadata!D448,"human oral metagenome"))</f>
        <v>0</v>
      </c>
      <c r="S448">
        <f>AND(IF(Metadata!E448="",FALSE,TRUE),exact(Metadata!E448,"447426"))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AND(IF(Metadata!C449="",FALSE,TRUE),exact(Metadata!C449,"human-oral"))</f>
        <v>0</v>
      </c>
      <c r="R449">
        <f>AND(IF(Metadata!D449="",FALSE,TRUE),exact(Metadata!D449,"human oral metagenome"))</f>
        <v>0</v>
      </c>
      <c r="S449">
        <f>AND(IF(Metadata!E449="",FALSE,TRUE),exact(Metadata!E449,"447426"))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AND(IF(Metadata!C450="",FALSE,TRUE),exact(Metadata!C450,"human-oral"))</f>
        <v>0</v>
      </c>
      <c r="R450">
        <f>AND(IF(Metadata!D450="",FALSE,TRUE),exact(Metadata!D450,"human oral metagenome"))</f>
        <v>0</v>
      </c>
      <c r="S450">
        <f>AND(IF(Metadata!E450="",FALSE,TRUE),exact(Metadata!E450,"447426"))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AND(IF(Metadata!C451="",FALSE,TRUE),exact(Metadata!C451,"human-oral"))</f>
        <v>0</v>
      </c>
      <c r="R451">
        <f>AND(IF(Metadata!D451="",FALSE,TRUE),exact(Metadata!D451,"human oral metagenome"))</f>
        <v>0</v>
      </c>
      <c r="S451">
        <f>AND(IF(Metadata!E451="",FALSE,TRUE),exact(Metadata!E451,"447426"))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AND(IF(Metadata!C452="",FALSE,TRUE),exact(Metadata!C452,"human-oral"))</f>
        <v>0</v>
      </c>
      <c r="R452">
        <f>AND(IF(Metadata!D452="",FALSE,TRUE),exact(Metadata!D452,"human oral metagenome"))</f>
        <v>0</v>
      </c>
      <c r="S452">
        <f>AND(IF(Metadata!E452="",FALSE,TRUE),exact(Metadata!E452,"447426"))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AND(IF(Metadata!C453="",FALSE,TRUE),exact(Metadata!C453,"human-oral"))</f>
        <v>0</v>
      </c>
      <c r="R453">
        <f>AND(IF(Metadata!D453="",FALSE,TRUE),exact(Metadata!D453,"human oral metagenome"))</f>
        <v>0</v>
      </c>
      <c r="S453">
        <f>AND(IF(Metadata!E453="",FALSE,TRUE),exact(Metadata!E453,"447426"))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AND(IF(Metadata!C454="",FALSE,TRUE),exact(Metadata!C454,"human-oral"))</f>
        <v>0</v>
      </c>
      <c r="R454">
        <f>AND(IF(Metadata!D454="",FALSE,TRUE),exact(Metadata!D454,"human oral metagenome"))</f>
        <v>0</v>
      </c>
      <c r="S454">
        <f>AND(IF(Metadata!E454="",FALSE,TRUE),exact(Metadata!E454,"447426"))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AND(IF(Metadata!C455="",FALSE,TRUE),exact(Metadata!C455,"human-oral"))</f>
        <v>0</v>
      </c>
      <c r="R455">
        <f>AND(IF(Metadata!D455="",FALSE,TRUE),exact(Metadata!D455,"human oral metagenome"))</f>
        <v>0</v>
      </c>
      <c r="S455">
        <f>AND(IF(Metadata!E455="",FALSE,TRUE),exact(Metadata!E455,"447426"))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AND(IF(Metadata!C456="",FALSE,TRUE),exact(Metadata!C456,"human-oral"))</f>
        <v>0</v>
      </c>
      <c r="R456">
        <f>AND(IF(Metadata!D456="",FALSE,TRUE),exact(Metadata!D456,"human oral metagenome"))</f>
        <v>0</v>
      </c>
      <c r="S456">
        <f>AND(IF(Metadata!E456="",FALSE,TRUE),exact(Metadata!E456,"447426"))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AND(IF(Metadata!C457="",FALSE,TRUE),exact(Metadata!C457,"human-oral"))</f>
        <v>0</v>
      </c>
      <c r="R457">
        <f>AND(IF(Metadata!D457="",FALSE,TRUE),exact(Metadata!D457,"human oral metagenome"))</f>
        <v>0</v>
      </c>
      <c r="S457">
        <f>AND(IF(Metadata!E457="",FALSE,TRUE),exact(Metadata!E457,"447426"))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AND(IF(Metadata!C458="",FALSE,TRUE),exact(Metadata!C458,"human-oral"))</f>
        <v>0</v>
      </c>
      <c r="R458">
        <f>AND(IF(Metadata!D458="",FALSE,TRUE),exact(Metadata!D458,"human oral metagenome"))</f>
        <v>0</v>
      </c>
      <c r="S458">
        <f>AND(IF(Metadata!E458="",FALSE,TRUE),exact(Metadata!E458,"447426"))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AND(IF(Metadata!C459="",FALSE,TRUE),exact(Metadata!C459,"human-oral"))</f>
        <v>0</v>
      </c>
      <c r="R459">
        <f>AND(IF(Metadata!D459="",FALSE,TRUE),exact(Metadata!D459,"human oral metagenome"))</f>
        <v>0</v>
      </c>
      <c r="S459">
        <f>AND(IF(Metadata!E459="",FALSE,TRUE),exact(Metadata!E459,"447426"))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AND(IF(Metadata!C460="",FALSE,TRUE),exact(Metadata!C460,"human-oral"))</f>
        <v>0</v>
      </c>
      <c r="R460">
        <f>AND(IF(Metadata!D460="",FALSE,TRUE),exact(Metadata!D460,"human oral metagenome"))</f>
        <v>0</v>
      </c>
      <c r="S460">
        <f>AND(IF(Metadata!E460="",FALSE,TRUE),exact(Metadata!E460,"447426"))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AND(IF(Metadata!C461="",FALSE,TRUE),exact(Metadata!C461,"human-oral"))</f>
        <v>0</v>
      </c>
      <c r="R461">
        <f>AND(IF(Metadata!D461="",FALSE,TRUE),exact(Metadata!D461,"human oral metagenome"))</f>
        <v>0</v>
      </c>
      <c r="S461">
        <f>AND(IF(Metadata!E461="",FALSE,TRUE),exact(Metadata!E461,"447426"))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AND(IF(Metadata!C462="",FALSE,TRUE),exact(Metadata!C462,"human-oral"))</f>
        <v>0</v>
      </c>
      <c r="R462">
        <f>AND(IF(Metadata!D462="",FALSE,TRUE),exact(Metadata!D462,"human oral metagenome"))</f>
        <v>0</v>
      </c>
      <c r="S462">
        <f>AND(IF(Metadata!E462="",FALSE,TRUE),exact(Metadata!E462,"447426"))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AND(IF(Metadata!C463="",FALSE,TRUE),exact(Metadata!C463,"human-oral"))</f>
        <v>0</v>
      </c>
      <c r="R463">
        <f>AND(IF(Metadata!D463="",FALSE,TRUE),exact(Metadata!D463,"human oral metagenome"))</f>
        <v>0</v>
      </c>
      <c r="S463">
        <f>AND(IF(Metadata!E463="",FALSE,TRUE),exact(Metadata!E463,"447426"))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AND(IF(Metadata!C464="",FALSE,TRUE),exact(Metadata!C464,"human-oral"))</f>
        <v>0</v>
      </c>
      <c r="R464">
        <f>AND(IF(Metadata!D464="",FALSE,TRUE),exact(Metadata!D464,"human oral metagenome"))</f>
        <v>0</v>
      </c>
      <c r="S464">
        <f>AND(IF(Metadata!E464="",FALSE,TRUE),exact(Metadata!E464,"447426"))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AND(IF(Metadata!C465="",FALSE,TRUE),exact(Metadata!C465,"human-oral"))</f>
        <v>0</v>
      </c>
      <c r="R465">
        <f>AND(IF(Metadata!D465="",FALSE,TRUE),exact(Metadata!D465,"human oral metagenome"))</f>
        <v>0</v>
      </c>
      <c r="S465">
        <f>AND(IF(Metadata!E465="",FALSE,TRUE),exact(Metadata!E465,"447426"))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AND(IF(Metadata!C466="",FALSE,TRUE),exact(Metadata!C466,"human-oral"))</f>
        <v>0</v>
      </c>
      <c r="R466">
        <f>AND(IF(Metadata!D466="",FALSE,TRUE),exact(Metadata!D466,"human oral metagenome"))</f>
        <v>0</v>
      </c>
      <c r="S466">
        <f>AND(IF(Metadata!E466="",FALSE,TRUE),exact(Metadata!E466,"447426"))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AND(IF(Metadata!C467="",FALSE,TRUE),exact(Metadata!C467,"human-oral"))</f>
        <v>0</v>
      </c>
      <c r="R467">
        <f>AND(IF(Metadata!D467="",FALSE,TRUE),exact(Metadata!D467,"human oral metagenome"))</f>
        <v>0</v>
      </c>
      <c r="S467">
        <f>AND(IF(Metadata!E467="",FALSE,TRUE),exact(Metadata!E467,"447426"))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AND(IF(Metadata!C468="",FALSE,TRUE),exact(Metadata!C468,"human-oral"))</f>
        <v>0</v>
      </c>
      <c r="R468">
        <f>AND(IF(Metadata!D468="",FALSE,TRUE),exact(Metadata!D468,"human oral metagenome"))</f>
        <v>0</v>
      </c>
      <c r="S468">
        <f>AND(IF(Metadata!E468="",FALSE,TRUE),exact(Metadata!E468,"447426"))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AND(IF(Metadata!C469="",FALSE,TRUE),exact(Metadata!C469,"human-oral"))</f>
        <v>0</v>
      </c>
      <c r="R469">
        <f>AND(IF(Metadata!D469="",FALSE,TRUE),exact(Metadata!D469,"human oral metagenome"))</f>
        <v>0</v>
      </c>
      <c r="S469">
        <f>AND(IF(Metadata!E469="",FALSE,TRUE),exact(Metadata!E469,"447426"))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AND(IF(Metadata!C470="",FALSE,TRUE),exact(Metadata!C470,"human-oral"))</f>
        <v>0</v>
      </c>
      <c r="R470">
        <f>AND(IF(Metadata!D470="",FALSE,TRUE),exact(Metadata!D470,"human oral metagenome"))</f>
        <v>0</v>
      </c>
      <c r="S470">
        <f>AND(IF(Metadata!E470="",FALSE,TRUE),exact(Metadata!E470,"447426"))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AND(IF(Metadata!C471="",FALSE,TRUE),exact(Metadata!C471,"human-oral"))</f>
        <v>0</v>
      </c>
      <c r="R471">
        <f>AND(IF(Metadata!D471="",FALSE,TRUE),exact(Metadata!D471,"human oral metagenome"))</f>
        <v>0</v>
      </c>
      <c r="S471">
        <f>AND(IF(Metadata!E471="",FALSE,TRUE),exact(Metadata!E471,"447426"))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AND(IF(Metadata!C472="",FALSE,TRUE),exact(Metadata!C472,"human-oral"))</f>
        <v>0</v>
      </c>
      <c r="R472">
        <f>AND(IF(Metadata!D472="",FALSE,TRUE),exact(Metadata!D472,"human oral metagenome"))</f>
        <v>0</v>
      </c>
      <c r="S472">
        <f>AND(IF(Metadata!E472="",FALSE,TRUE),exact(Metadata!E472,"447426"))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AND(IF(Metadata!C473="",FALSE,TRUE),exact(Metadata!C473,"human-oral"))</f>
        <v>0</v>
      </c>
      <c r="R473">
        <f>AND(IF(Metadata!D473="",FALSE,TRUE),exact(Metadata!D473,"human oral metagenome"))</f>
        <v>0</v>
      </c>
      <c r="S473">
        <f>AND(IF(Metadata!E473="",FALSE,TRUE),exact(Metadata!E473,"447426"))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AND(IF(Metadata!C474="",FALSE,TRUE),exact(Metadata!C474,"human-oral"))</f>
        <v>0</v>
      </c>
      <c r="R474">
        <f>AND(IF(Metadata!D474="",FALSE,TRUE),exact(Metadata!D474,"human oral metagenome"))</f>
        <v>0</v>
      </c>
      <c r="S474">
        <f>AND(IF(Metadata!E474="",FALSE,TRUE),exact(Metadata!E474,"447426"))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AND(IF(Metadata!C475="",FALSE,TRUE),exact(Metadata!C475,"human-oral"))</f>
        <v>0</v>
      </c>
      <c r="R475">
        <f>AND(IF(Metadata!D475="",FALSE,TRUE),exact(Metadata!D475,"human oral metagenome"))</f>
        <v>0</v>
      </c>
      <c r="S475">
        <f>AND(IF(Metadata!E475="",FALSE,TRUE),exact(Metadata!E475,"447426"))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AND(IF(Metadata!C476="",FALSE,TRUE),exact(Metadata!C476,"human-oral"))</f>
        <v>0</v>
      </c>
      <c r="R476">
        <f>AND(IF(Metadata!D476="",FALSE,TRUE),exact(Metadata!D476,"human oral metagenome"))</f>
        <v>0</v>
      </c>
      <c r="S476">
        <f>AND(IF(Metadata!E476="",FALSE,TRUE),exact(Metadata!E476,"447426"))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AND(IF(Metadata!C477="",FALSE,TRUE),exact(Metadata!C477,"human-oral"))</f>
        <v>0</v>
      </c>
      <c r="R477">
        <f>AND(IF(Metadata!D477="",FALSE,TRUE),exact(Metadata!D477,"human oral metagenome"))</f>
        <v>0</v>
      </c>
      <c r="S477">
        <f>AND(IF(Metadata!E477="",FALSE,TRUE),exact(Metadata!E477,"447426"))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AND(IF(Metadata!C478="",FALSE,TRUE),exact(Metadata!C478,"human-oral"))</f>
        <v>0</v>
      </c>
      <c r="R478">
        <f>AND(IF(Metadata!D478="",FALSE,TRUE),exact(Metadata!D478,"human oral metagenome"))</f>
        <v>0</v>
      </c>
      <c r="S478">
        <f>AND(IF(Metadata!E478="",FALSE,TRUE),exact(Metadata!E478,"447426"))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AND(IF(Metadata!C479="",FALSE,TRUE),exact(Metadata!C479,"human-oral"))</f>
        <v>0</v>
      </c>
      <c r="R479">
        <f>AND(IF(Metadata!D479="",FALSE,TRUE),exact(Metadata!D479,"human oral metagenome"))</f>
        <v>0</v>
      </c>
      <c r="S479">
        <f>AND(IF(Metadata!E479="",FALSE,TRUE),exact(Metadata!E479,"447426"))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AND(IF(Metadata!C480="",FALSE,TRUE),exact(Metadata!C480,"human-oral"))</f>
        <v>0</v>
      </c>
      <c r="R480">
        <f>AND(IF(Metadata!D480="",FALSE,TRUE),exact(Metadata!D480,"human oral metagenome"))</f>
        <v>0</v>
      </c>
      <c r="S480">
        <f>AND(IF(Metadata!E480="",FALSE,TRUE),exact(Metadata!E480,"447426"))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AND(IF(Metadata!C481="",FALSE,TRUE),exact(Metadata!C481,"human-oral"))</f>
        <v>0</v>
      </c>
      <c r="R481">
        <f>AND(IF(Metadata!D481="",FALSE,TRUE),exact(Metadata!D481,"human oral metagenome"))</f>
        <v>0</v>
      </c>
      <c r="S481">
        <f>AND(IF(Metadata!E481="",FALSE,TRUE),exact(Metadata!E481,"447426"))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AND(IF(Metadata!C482="",FALSE,TRUE),exact(Metadata!C482,"human-oral"))</f>
        <v>0</v>
      </c>
      <c r="R482">
        <f>AND(IF(Metadata!D482="",FALSE,TRUE),exact(Metadata!D482,"human oral metagenome"))</f>
        <v>0</v>
      </c>
      <c r="S482">
        <f>AND(IF(Metadata!E482="",FALSE,TRUE),exact(Metadata!E482,"447426"))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AND(IF(Metadata!C483="",FALSE,TRUE),exact(Metadata!C483,"human-oral"))</f>
        <v>0</v>
      </c>
      <c r="R483">
        <f>AND(IF(Metadata!D483="",FALSE,TRUE),exact(Metadata!D483,"human oral metagenome"))</f>
        <v>0</v>
      </c>
      <c r="S483">
        <f>AND(IF(Metadata!E483="",FALSE,TRUE),exact(Metadata!E483,"447426"))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AND(IF(Metadata!C484="",FALSE,TRUE),exact(Metadata!C484,"human-oral"))</f>
        <v>0</v>
      </c>
      <c r="R484">
        <f>AND(IF(Metadata!D484="",FALSE,TRUE),exact(Metadata!D484,"human oral metagenome"))</f>
        <v>0</v>
      </c>
      <c r="S484">
        <f>AND(IF(Metadata!E484="",FALSE,TRUE),exact(Metadata!E484,"447426"))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AND(IF(Metadata!C485="",FALSE,TRUE),exact(Metadata!C485,"human-oral"))</f>
        <v>0</v>
      </c>
      <c r="R485">
        <f>AND(IF(Metadata!D485="",FALSE,TRUE),exact(Metadata!D485,"human oral metagenome"))</f>
        <v>0</v>
      </c>
      <c r="S485">
        <f>AND(IF(Metadata!E485="",FALSE,TRUE),exact(Metadata!E485,"447426"))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AND(IF(Metadata!C486="",FALSE,TRUE),exact(Metadata!C486,"human-oral"))</f>
        <v>0</v>
      </c>
      <c r="R486">
        <f>AND(IF(Metadata!D486="",FALSE,TRUE),exact(Metadata!D486,"human oral metagenome"))</f>
        <v>0</v>
      </c>
      <c r="S486">
        <f>AND(IF(Metadata!E486="",FALSE,TRUE),exact(Metadata!E486,"447426"))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AND(IF(Metadata!C487="",FALSE,TRUE),exact(Metadata!C487,"human-oral"))</f>
        <v>0</v>
      </c>
      <c r="R487">
        <f>AND(IF(Metadata!D487="",FALSE,TRUE),exact(Metadata!D487,"human oral metagenome"))</f>
        <v>0</v>
      </c>
      <c r="S487">
        <f>AND(IF(Metadata!E487="",FALSE,TRUE),exact(Metadata!E487,"447426"))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AND(IF(Metadata!C488="",FALSE,TRUE),exact(Metadata!C488,"human-oral"))</f>
        <v>0</v>
      </c>
      <c r="R488">
        <f>AND(IF(Metadata!D488="",FALSE,TRUE),exact(Metadata!D488,"human oral metagenome"))</f>
        <v>0</v>
      </c>
      <c r="S488">
        <f>AND(IF(Metadata!E488="",FALSE,TRUE),exact(Metadata!E488,"447426"))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AND(IF(Metadata!C489="",FALSE,TRUE),exact(Metadata!C489,"human-oral"))</f>
        <v>0</v>
      </c>
      <c r="R489">
        <f>AND(IF(Metadata!D489="",FALSE,TRUE),exact(Metadata!D489,"human oral metagenome"))</f>
        <v>0</v>
      </c>
      <c r="S489">
        <f>AND(IF(Metadata!E489="",FALSE,TRUE),exact(Metadata!E489,"447426"))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AND(IF(Metadata!C490="",FALSE,TRUE),exact(Metadata!C490,"human-oral"))</f>
        <v>0</v>
      </c>
      <c r="R490">
        <f>AND(IF(Metadata!D490="",FALSE,TRUE),exact(Metadata!D490,"human oral metagenome"))</f>
        <v>0</v>
      </c>
      <c r="S490">
        <f>AND(IF(Metadata!E490="",FALSE,TRUE),exact(Metadata!E490,"447426"))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AND(IF(Metadata!C491="",FALSE,TRUE),exact(Metadata!C491,"human-oral"))</f>
        <v>0</v>
      </c>
      <c r="R491">
        <f>AND(IF(Metadata!D491="",FALSE,TRUE),exact(Metadata!D491,"human oral metagenome"))</f>
        <v>0</v>
      </c>
      <c r="S491">
        <f>AND(IF(Metadata!E491="",FALSE,TRUE),exact(Metadata!E491,"447426"))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AND(IF(Metadata!C492="",FALSE,TRUE),exact(Metadata!C492,"human-oral"))</f>
        <v>0</v>
      </c>
      <c r="R492">
        <f>AND(IF(Metadata!D492="",FALSE,TRUE),exact(Metadata!D492,"human oral metagenome"))</f>
        <v>0</v>
      </c>
      <c r="S492">
        <f>AND(IF(Metadata!E492="",FALSE,TRUE),exact(Metadata!E492,"447426"))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AND(IF(Metadata!C493="",FALSE,TRUE),exact(Metadata!C493,"human-oral"))</f>
        <v>0</v>
      </c>
      <c r="R493">
        <f>AND(IF(Metadata!D493="",FALSE,TRUE),exact(Metadata!D493,"human oral metagenome"))</f>
        <v>0</v>
      </c>
      <c r="S493">
        <f>AND(IF(Metadata!E493="",FALSE,TRUE),exact(Metadata!E493,"447426"))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AND(IF(Metadata!C494="",FALSE,TRUE),exact(Metadata!C494,"human-oral"))</f>
        <v>0</v>
      </c>
      <c r="R494">
        <f>AND(IF(Metadata!D494="",FALSE,TRUE),exact(Metadata!D494,"human oral metagenome"))</f>
        <v>0</v>
      </c>
      <c r="S494">
        <f>AND(IF(Metadata!E494="",FALSE,TRUE),exact(Metadata!E494,"447426"))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AND(IF(Metadata!C495="",FALSE,TRUE),exact(Metadata!C495,"human-oral"))</f>
        <v>0</v>
      </c>
      <c r="R495">
        <f>AND(IF(Metadata!D495="",FALSE,TRUE),exact(Metadata!D495,"human oral metagenome"))</f>
        <v>0</v>
      </c>
      <c r="S495">
        <f>AND(IF(Metadata!E495="",FALSE,TRUE),exact(Metadata!E495,"447426"))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AND(IF(Metadata!C496="",FALSE,TRUE),exact(Metadata!C496,"human-oral"))</f>
        <v>0</v>
      </c>
      <c r="R496">
        <f>AND(IF(Metadata!D496="",FALSE,TRUE),exact(Metadata!D496,"human oral metagenome"))</f>
        <v>0</v>
      </c>
      <c r="S496">
        <f>AND(IF(Metadata!E496="",FALSE,TRUE),exact(Metadata!E496,"447426"))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AND(IF(Metadata!C497="",FALSE,TRUE),exact(Metadata!C497,"human-oral"))</f>
        <v>0</v>
      </c>
      <c r="R497">
        <f>AND(IF(Metadata!D497="",FALSE,TRUE),exact(Metadata!D497,"human oral metagenome"))</f>
        <v>0</v>
      </c>
      <c r="S497">
        <f>AND(IF(Metadata!E497="",FALSE,TRUE),exact(Metadata!E497,"447426"))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AND(IF(Metadata!C498="",FALSE,TRUE),exact(Metadata!C498,"human-oral"))</f>
        <v>0</v>
      </c>
      <c r="R498">
        <f>AND(IF(Metadata!D498="",FALSE,TRUE),exact(Metadata!D498,"human oral metagenome"))</f>
        <v>0</v>
      </c>
      <c r="S498">
        <f>AND(IF(Metadata!E498="",FALSE,TRUE),exact(Metadata!E498,"447426"))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AND(IF(Metadata!C499="",FALSE,TRUE),exact(Metadata!C499,"human-oral"))</f>
        <v>0</v>
      </c>
      <c r="R499">
        <f>AND(IF(Metadata!D499="",FALSE,TRUE),exact(Metadata!D499,"human oral metagenome"))</f>
        <v>0</v>
      </c>
      <c r="S499">
        <f>AND(IF(Metadata!E499="",FALSE,TRUE),exact(Metadata!E499,"447426"))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AND(IF(Metadata!C500="",FALSE,TRUE),exact(Metadata!C500,"human-oral"))</f>
        <v>0</v>
      </c>
      <c r="R500">
        <f>AND(IF(Metadata!D500="",FALSE,TRUE),exact(Metadata!D500,"human oral metagenome"))</f>
        <v>0</v>
      </c>
      <c r="S500">
        <f>AND(IF(Metadata!E500="",FALSE,TRUE),exact(Metadata!E500,"447426"))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AND(IF(Metadata!C501="",FALSE,TRUE),exact(Metadata!C501,"human-oral"))</f>
        <v>0</v>
      </c>
      <c r="R501">
        <f>AND(IF(Metadata!D501="",FALSE,TRUE),exact(Metadata!D501,"human oral metagenome"))</f>
        <v>0</v>
      </c>
      <c r="S501">
        <f>AND(IF(Metadata!E501="",FALSE,TRUE),exact(Metadata!E501,"447426"))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AND(IF(Metadata!C502="",FALSE,TRUE),exact(Metadata!C502,"human-oral"))</f>
        <v>0</v>
      </c>
      <c r="R502">
        <f>AND(IF(Metadata!D502="",FALSE,TRUE),exact(Metadata!D502,"human oral metagenome"))</f>
        <v>0</v>
      </c>
      <c r="S502">
        <f>AND(IF(Metadata!E502="",FALSE,TRUE),exact(Metadata!E502,"447426"))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AND(IF(Metadata!C503="",FALSE,TRUE),exact(Metadata!C503,"human-oral"))</f>
        <v>0</v>
      </c>
      <c r="R503">
        <f>AND(IF(Metadata!D503="",FALSE,TRUE),exact(Metadata!D503,"human oral metagenome"))</f>
        <v>0</v>
      </c>
      <c r="S503">
        <f>AND(IF(Metadata!E503="",FALSE,TRUE),exact(Metadata!E503,"447426"))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AND(IF(Metadata!C504="",FALSE,TRUE),exact(Metadata!C504,"human-oral"))</f>
        <v>0</v>
      </c>
      <c r="R504">
        <f>AND(IF(Metadata!D504="",FALSE,TRUE),exact(Metadata!D504,"human oral metagenome"))</f>
        <v>0</v>
      </c>
      <c r="S504">
        <f>AND(IF(Metadata!E504="",FALSE,TRUE),exact(Metadata!E504,"447426"))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AND(IF(Metadata!C505="",FALSE,TRUE),exact(Metadata!C505,"human-oral"))</f>
        <v>0</v>
      </c>
      <c r="R505">
        <f>AND(IF(Metadata!D505="",FALSE,TRUE),exact(Metadata!D505,"human oral metagenome"))</f>
        <v>0</v>
      </c>
      <c r="S505">
        <f>AND(IF(Metadata!E505="",FALSE,TRUE),exact(Metadata!E505,"447426"))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AND(IF(Metadata!C506="",FALSE,TRUE),exact(Metadata!C506,"human-oral"))</f>
        <v>0</v>
      </c>
      <c r="R506">
        <f>AND(IF(Metadata!D506="",FALSE,TRUE),exact(Metadata!D506,"human oral metagenome"))</f>
        <v>0</v>
      </c>
      <c r="S506">
        <f>AND(IF(Metadata!E506="",FALSE,TRUE),exact(Metadata!E506,"447426"))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AND(IF(Metadata!C507="",FALSE,TRUE),exact(Metadata!C507,"human-oral"))</f>
        <v>0</v>
      </c>
      <c r="R507">
        <f>AND(IF(Metadata!D507="",FALSE,TRUE),exact(Metadata!D507,"human oral metagenome"))</f>
        <v>0</v>
      </c>
      <c r="S507">
        <f>AND(IF(Metadata!E507="",FALSE,TRUE),exact(Metadata!E507,"447426"))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AND(IF(Metadata!C508="",FALSE,TRUE),exact(Metadata!C508,"human-oral"))</f>
        <v>0</v>
      </c>
      <c r="R508">
        <f>AND(IF(Metadata!D508="",FALSE,TRUE),exact(Metadata!D508,"human oral metagenome"))</f>
        <v>0</v>
      </c>
      <c r="S508">
        <f>AND(IF(Metadata!E508="",FALSE,TRUE),exact(Metadata!E508,"447426"))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AND(IF(Metadata!C509="",FALSE,TRUE),exact(Metadata!C509,"human-oral"))</f>
        <v>0</v>
      </c>
      <c r="R509">
        <f>AND(IF(Metadata!D509="",FALSE,TRUE),exact(Metadata!D509,"human oral metagenome"))</f>
        <v>0</v>
      </c>
      <c r="S509">
        <f>AND(IF(Metadata!E509="",FALSE,TRUE),exact(Metadata!E509,"447426"))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AND(IF(Metadata!C510="",FALSE,TRUE),exact(Metadata!C510,"human-oral"))</f>
        <v>0</v>
      </c>
      <c r="R510">
        <f>AND(IF(Metadata!D510="",FALSE,TRUE),exact(Metadata!D510,"human oral metagenome"))</f>
        <v>0</v>
      </c>
      <c r="S510">
        <f>AND(IF(Metadata!E510="",FALSE,TRUE),exact(Metadata!E510,"447426"))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AND(IF(Metadata!C511="",FALSE,TRUE),exact(Metadata!C511,"human-oral"))</f>
        <v>0</v>
      </c>
      <c r="R511">
        <f>AND(IF(Metadata!D511="",FALSE,TRUE),exact(Metadata!D511,"human oral metagenome"))</f>
        <v>0</v>
      </c>
      <c r="S511">
        <f>AND(IF(Metadata!E511="",FALSE,TRUE),exact(Metadata!E511,"447426"))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AND(IF(Metadata!C512="",FALSE,TRUE),exact(Metadata!C512,"human-oral"))</f>
        <v>0</v>
      </c>
      <c r="R512">
        <f>AND(IF(Metadata!D512="",FALSE,TRUE),exact(Metadata!D512,"human oral metagenome"))</f>
        <v>0</v>
      </c>
      <c r="S512">
        <f>AND(IF(Metadata!E512="",FALSE,TRUE),exact(Metadata!E512,"447426"))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AND(IF(Metadata!C513="",FALSE,TRUE),exact(Metadata!C513,"human-oral"))</f>
        <v>0</v>
      </c>
      <c r="R513">
        <f>AND(IF(Metadata!D513="",FALSE,TRUE),exact(Metadata!D513,"human oral metagenome"))</f>
        <v>0</v>
      </c>
      <c r="S513">
        <f>AND(IF(Metadata!E513="",FALSE,TRUE),exact(Metadata!E513,"447426"))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AND(IF(Metadata!C514="",FALSE,TRUE),exact(Metadata!C514,"human-oral"))</f>
        <v>0</v>
      </c>
      <c r="R514">
        <f>AND(IF(Metadata!D514="",FALSE,TRUE),exact(Metadata!D514,"human oral metagenome"))</f>
        <v>0</v>
      </c>
      <c r="S514">
        <f>AND(IF(Metadata!E514="",FALSE,TRUE),exact(Metadata!E514,"447426"))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AND(IF(Metadata!C515="",FALSE,TRUE),exact(Metadata!C515,"human-oral"))</f>
        <v>0</v>
      </c>
      <c r="R515">
        <f>AND(IF(Metadata!D515="",FALSE,TRUE),exact(Metadata!D515,"human oral metagenome"))</f>
        <v>0</v>
      </c>
      <c r="S515">
        <f>AND(IF(Metadata!E515="",FALSE,TRUE),exact(Metadata!E515,"447426"))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AND(IF(Metadata!C516="",FALSE,TRUE),exact(Metadata!C516,"human-oral"))</f>
        <v>0</v>
      </c>
      <c r="R516">
        <f>AND(IF(Metadata!D516="",FALSE,TRUE),exact(Metadata!D516,"human oral metagenome"))</f>
        <v>0</v>
      </c>
      <c r="S516">
        <f>AND(IF(Metadata!E516="",FALSE,TRUE),exact(Metadata!E516,"447426"))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AND(IF(Metadata!C517="",FALSE,TRUE),exact(Metadata!C517,"human-oral"))</f>
        <v>0</v>
      </c>
      <c r="R517">
        <f>AND(IF(Metadata!D517="",FALSE,TRUE),exact(Metadata!D517,"human oral metagenome"))</f>
        <v>0</v>
      </c>
      <c r="S517">
        <f>AND(IF(Metadata!E517="",FALSE,TRUE),exact(Metadata!E517,"447426"))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AND(IF(Metadata!C518="",FALSE,TRUE),exact(Metadata!C518,"human-oral"))</f>
        <v>0</v>
      </c>
      <c r="R518">
        <f>AND(IF(Metadata!D518="",FALSE,TRUE),exact(Metadata!D518,"human oral metagenome"))</f>
        <v>0</v>
      </c>
      <c r="S518">
        <f>AND(IF(Metadata!E518="",FALSE,TRUE),exact(Metadata!E518,"447426"))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AND(IF(Metadata!C519="",FALSE,TRUE),exact(Metadata!C519,"human-oral"))</f>
        <v>0</v>
      </c>
      <c r="R519">
        <f>AND(IF(Metadata!D519="",FALSE,TRUE),exact(Metadata!D519,"human oral metagenome"))</f>
        <v>0</v>
      </c>
      <c r="S519">
        <f>AND(IF(Metadata!E519="",FALSE,TRUE),exact(Metadata!E519,"447426"))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AND(IF(Metadata!C520="",FALSE,TRUE),exact(Metadata!C520,"human-oral"))</f>
        <v>0</v>
      </c>
      <c r="R520">
        <f>AND(IF(Metadata!D520="",FALSE,TRUE),exact(Metadata!D520,"human oral metagenome"))</f>
        <v>0</v>
      </c>
      <c r="S520">
        <f>AND(IF(Metadata!E520="",FALSE,TRUE),exact(Metadata!E520,"447426"))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AND(IF(Metadata!C521="",FALSE,TRUE),exact(Metadata!C521,"human-oral"))</f>
        <v>0</v>
      </c>
      <c r="R521">
        <f>AND(IF(Metadata!D521="",FALSE,TRUE),exact(Metadata!D521,"human oral metagenome"))</f>
        <v>0</v>
      </c>
      <c r="S521">
        <f>AND(IF(Metadata!E521="",FALSE,TRUE),exact(Metadata!E521,"447426"))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AND(IF(Metadata!C522="",FALSE,TRUE),exact(Metadata!C522,"human-oral"))</f>
        <v>0</v>
      </c>
      <c r="R522">
        <f>AND(IF(Metadata!D522="",FALSE,TRUE),exact(Metadata!D522,"human oral metagenome"))</f>
        <v>0</v>
      </c>
      <c r="S522">
        <f>AND(IF(Metadata!E522="",FALSE,TRUE),exact(Metadata!E522,"447426"))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AND(IF(Metadata!C523="",FALSE,TRUE),exact(Metadata!C523,"human-oral"))</f>
        <v>0</v>
      </c>
      <c r="R523">
        <f>AND(IF(Metadata!D523="",FALSE,TRUE),exact(Metadata!D523,"human oral metagenome"))</f>
        <v>0</v>
      </c>
      <c r="S523">
        <f>AND(IF(Metadata!E523="",FALSE,TRUE),exact(Metadata!E523,"447426"))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AND(IF(Metadata!C524="",FALSE,TRUE),exact(Metadata!C524,"human-oral"))</f>
        <v>0</v>
      </c>
      <c r="R524">
        <f>AND(IF(Metadata!D524="",FALSE,TRUE),exact(Metadata!D524,"human oral metagenome"))</f>
        <v>0</v>
      </c>
      <c r="S524">
        <f>AND(IF(Metadata!E524="",FALSE,TRUE),exact(Metadata!E524,"447426"))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AND(IF(Metadata!C525="",FALSE,TRUE),exact(Metadata!C525,"human-oral"))</f>
        <v>0</v>
      </c>
      <c r="R525">
        <f>AND(IF(Metadata!D525="",FALSE,TRUE),exact(Metadata!D525,"human oral metagenome"))</f>
        <v>0</v>
      </c>
      <c r="S525">
        <f>AND(IF(Metadata!E525="",FALSE,TRUE),exact(Metadata!E525,"447426"))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AND(IF(Metadata!C526="",FALSE,TRUE),exact(Metadata!C526,"human-oral"))</f>
        <v>0</v>
      </c>
      <c r="R526">
        <f>AND(IF(Metadata!D526="",FALSE,TRUE),exact(Metadata!D526,"human oral metagenome"))</f>
        <v>0</v>
      </c>
      <c r="S526">
        <f>AND(IF(Metadata!E526="",FALSE,TRUE),exact(Metadata!E526,"447426"))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AND(IF(Metadata!C527="",FALSE,TRUE),exact(Metadata!C527,"human-oral"))</f>
        <v>0</v>
      </c>
      <c r="R527">
        <f>AND(IF(Metadata!D527="",FALSE,TRUE),exact(Metadata!D527,"human oral metagenome"))</f>
        <v>0</v>
      </c>
      <c r="S527">
        <f>AND(IF(Metadata!E527="",FALSE,TRUE),exact(Metadata!E527,"447426"))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AND(IF(Metadata!C528="",FALSE,TRUE),exact(Metadata!C528,"human-oral"))</f>
        <v>0</v>
      </c>
      <c r="R528">
        <f>AND(IF(Metadata!D528="",FALSE,TRUE),exact(Metadata!D528,"human oral metagenome"))</f>
        <v>0</v>
      </c>
      <c r="S528">
        <f>AND(IF(Metadata!E528="",FALSE,TRUE),exact(Metadata!E528,"447426"))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AND(IF(Metadata!C529="",FALSE,TRUE),exact(Metadata!C529,"human-oral"))</f>
        <v>0</v>
      </c>
      <c r="R529">
        <f>AND(IF(Metadata!D529="",FALSE,TRUE),exact(Metadata!D529,"human oral metagenome"))</f>
        <v>0</v>
      </c>
      <c r="S529">
        <f>AND(IF(Metadata!E529="",FALSE,TRUE),exact(Metadata!E529,"447426"))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AND(IF(Metadata!C530="",FALSE,TRUE),exact(Metadata!C530,"human-oral"))</f>
        <v>0</v>
      </c>
      <c r="R530">
        <f>AND(IF(Metadata!D530="",FALSE,TRUE),exact(Metadata!D530,"human oral metagenome"))</f>
        <v>0</v>
      </c>
      <c r="S530">
        <f>AND(IF(Metadata!E530="",FALSE,TRUE),exact(Metadata!E530,"447426"))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AND(IF(Metadata!C531="",FALSE,TRUE),exact(Metadata!C531,"human-oral"))</f>
        <v>0</v>
      </c>
      <c r="R531">
        <f>AND(IF(Metadata!D531="",FALSE,TRUE),exact(Metadata!D531,"human oral metagenome"))</f>
        <v>0</v>
      </c>
      <c r="S531">
        <f>AND(IF(Metadata!E531="",FALSE,TRUE),exact(Metadata!E531,"447426"))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AND(IF(Metadata!C532="",FALSE,TRUE),exact(Metadata!C532,"human-oral"))</f>
        <v>0</v>
      </c>
      <c r="R532">
        <f>AND(IF(Metadata!D532="",FALSE,TRUE),exact(Metadata!D532,"human oral metagenome"))</f>
        <v>0</v>
      </c>
      <c r="S532">
        <f>AND(IF(Metadata!E532="",FALSE,TRUE),exact(Metadata!E532,"447426"))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AND(IF(Metadata!C533="",FALSE,TRUE),exact(Metadata!C533,"human-oral"))</f>
        <v>0</v>
      </c>
      <c r="R533">
        <f>AND(IF(Metadata!D533="",FALSE,TRUE),exact(Metadata!D533,"human oral metagenome"))</f>
        <v>0</v>
      </c>
      <c r="S533">
        <f>AND(IF(Metadata!E533="",FALSE,TRUE),exact(Metadata!E533,"447426"))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AND(IF(Metadata!C534="",FALSE,TRUE),exact(Metadata!C534,"human-oral"))</f>
        <v>0</v>
      </c>
      <c r="R534">
        <f>AND(IF(Metadata!D534="",FALSE,TRUE),exact(Metadata!D534,"human oral metagenome"))</f>
        <v>0</v>
      </c>
      <c r="S534">
        <f>AND(IF(Metadata!E534="",FALSE,TRUE),exact(Metadata!E534,"447426"))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AND(IF(Metadata!C535="",FALSE,TRUE),exact(Metadata!C535,"human-oral"))</f>
        <v>0</v>
      </c>
      <c r="R535">
        <f>AND(IF(Metadata!D535="",FALSE,TRUE),exact(Metadata!D535,"human oral metagenome"))</f>
        <v>0</v>
      </c>
      <c r="S535">
        <f>AND(IF(Metadata!E535="",FALSE,TRUE),exact(Metadata!E535,"447426"))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AND(IF(Metadata!C536="",FALSE,TRUE),exact(Metadata!C536,"human-oral"))</f>
        <v>0</v>
      </c>
      <c r="R536">
        <f>AND(IF(Metadata!D536="",FALSE,TRUE),exact(Metadata!D536,"human oral metagenome"))</f>
        <v>0</v>
      </c>
      <c r="S536">
        <f>AND(IF(Metadata!E536="",FALSE,TRUE),exact(Metadata!E536,"447426"))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AND(IF(Metadata!C537="",FALSE,TRUE),exact(Metadata!C537,"human-oral"))</f>
        <v>0</v>
      </c>
      <c r="R537">
        <f>AND(IF(Metadata!D537="",FALSE,TRUE),exact(Metadata!D537,"human oral metagenome"))</f>
        <v>0</v>
      </c>
      <c r="S537">
        <f>AND(IF(Metadata!E537="",FALSE,TRUE),exact(Metadata!E537,"447426"))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AND(IF(Metadata!C538="",FALSE,TRUE),exact(Metadata!C538,"human-oral"))</f>
        <v>0</v>
      </c>
      <c r="R538">
        <f>AND(IF(Metadata!D538="",FALSE,TRUE),exact(Metadata!D538,"human oral metagenome"))</f>
        <v>0</v>
      </c>
      <c r="S538">
        <f>AND(IF(Metadata!E538="",FALSE,TRUE),exact(Metadata!E538,"447426"))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AND(IF(Metadata!C539="",FALSE,TRUE),exact(Metadata!C539,"human-oral"))</f>
        <v>0</v>
      </c>
      <c r="R539">
        <f>AND(IF(Metadata!D539="",FALSE,TRUE),exact(Metadata!D539,"human oral metagenome"))</f>
        <v>0</v>
      </c>
      <c r="S539">
        <f>AND(IF(Metadata!E539="",FALSE,TRUE),exact(Metadata!E539,"447426"))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AND(IF(Metadata!C540="",FALSE,TRUE),exact(Metadata!C540,"human-oral"))</f>
        <v>0</v>
      </c>
      <c r="R540">
        <f>AND(IF(Metadata!D540="",FALSE,TRUE),exact(Metadata!D540,"human oral metagenome"))</f>
        <v>0</v>
      </c>
      <c r="S540">
        <f>AND(IF(Metadata!E540="",FALSE,TRUE),exact(Metadata!E540,"447426"))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AND(IF(Metadata!C541="",FALSE,TRUE),exact(Metadata!C541,"human-oral"))</f>
        <v>0</v>
      </c>
      <c r="R541">
        <f>AND(IF(Metadata!D541="",FALSE,TRUE),exact(Metadata!D541,"human oral metagenome"))</f>
        <v>0</v>
      </c>
      <c r="S541">
        <f>AND(IF(Metadata!E541="",FALSE,TRUE),exact(Metadata!E541,"447426"))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AND(IF(Metadata!C542="",FALSE,TRUE),exact(Metadata!C542,"human-oral"))</f>
        <v>0</v>
      </c>
      <c r="R542">
        <f>AND(IF(Metadata!D542="",FALSE,TRUE),exact(Metadata!D542,"human oral metagenome"))</f>
        <v>0</v>
      </c>
      <c r="S542">
        <f>AND(IF(Metadata!E542="",FALSE,TRUE),exact(Metadata!E542,"447426"))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AND(IF(Metadata!C543="",FALSE,TRUE),exact(Metadata!C543,"human-oral"))</f>
        <v>0</v>
      </c>
      <c r="R543">
        <f>AND(IF(Metadata!D543="",FALSE,TRUE),exact(Metadata!D543,"human oral metagenome"))</f>
        <v>0</v>
      </c>
      <c r="S543">
        <f>AND(IF(Metadata!E543="",FALSE,TRUE),exact(Metadata!E543,"447426"))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AND(IF(Metadata!C544="",FALSE,TRUE),exact(Metadata!C544,"human-oral"))</f>
        <v>0</v>
      </c>
      <c r="R544">
        <f>AND(IF(Metadata!D544="",FALSE,TRUE),exact(Metadata!D544,"human oral metagenome"))</f>
        <v>0</v>
      </c>
      <c r="S544">
        <f>AND(IF(Metadata!E544="",FALSE,TRUE),exact(Metadata!E544,"447426"))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AND(IF(Metadata!C545="",FALSE,TRUE),exact(Metadata!C545,"human-oral"))</f>
        <v>0</v>
      </c>
      <c r="R545">
        <f>AND(IF(Metadata!D545="",FALSE,TRUE),exact(Metadata!D545,"human oral metagenome"))</f>
        <v>0</v>
      </c>
      <c r="S545">
        <f>AND(IF(Metadata!E545="",FALSE,TRUE),exact(Metadata!E545,"447426"))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AND(IF(Metadata!C546="",FALSE,TRUE),exact(Metadata!C546,"human-oral"))</f>
        <v>0</v>
      </c>
      <c r="R546">
        <f>AND(IF(Metadata!D546="",FALSE,TRUE),exact(Metadata!D546,"human oral metagenome"))</f>
        <v>0</v>
      </c>
      <c r="S546">
        <f>AND(IF(Metadata!E546="",FALSE,TRUE),exact(Metadata!E546,"447426"))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AND(IF(Metadata!C547="",FALSE,TRUE),exact(Metadata!C547,"human-oral"))</f>
        <v>0</v>
      </c>
      <c r="R547">
        <f>AND(IF(Metadata!D547="",FALSE,TRUE),exact(Metadata!D547,"human oral metagenome"))</f>
        <v>0</v>
      </c>
      <c r="S547">
        <f>AND(IF(Metadata!E547="",FALSE,TRUE),exact(Metadata!E547,"447426"))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AND(IF(Metadata!C548="",FALSE,TRUE),exact(Metadata!C548,"human-oral"))</f>
        <v>0</v>
      </c>
      <c r="R548">
        <f>AND(IF(Metadata!D548="",FALSE,TRUE),exact(Metadata!D548,"human oral metagenome"))</f>
        <v>0</v>
      </c>
      <c r="S548">
        <f>AND(IF(Metadata!E548="",FALSE,TRUE),exact(Metadata!E548,"447426"))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AND(IF(Metadata!C549="",FALSE,TRUE),exact(Metadata!C549,"human-oral"))</f>
        <v>0</v>
      </c>
      <c r="R549">
        <f>AND(IF(Metadata!D549="",FALSE,TRUE),exact(Metadata!D549,"human oral metagenome"))</f>
        <v>0</v>
      </c>
      <c r="S549">
        <f>AND(IF(Metadata!E549="",FALSE,TRUE),exact(Metadata!E549,"447426"))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AND(IF(Metadata!C550="",FALSE,TRUE),exact(Metadata!C550,"human-oral"))</f>
        <v>0</v>
      </c>
      <c r="R550">
        <f>AND(IF(Metadata!D550="",FALSE,TRUE),exact(Metadata!D550,"human oral metagenome"))</f>
        <v>0</v>
      </c>
      <c r="S550">
        <f>AND(IF(Metadata!E550="",FALSE,TRUE),exact(Metadata!E550,"447426"))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AND(IF(Metadata!C551="",FALSE,TRUE),exact(Metadata!C551,"human-oral"))</f>
        <v>0</v>
      </c>
      <c r="R551">
        <f>AND(IF(Metadata!D551="",FALSE,TRUE),exact(Metadata!D551,"human oral metagenome"))</f>
        <v>0</v>
      </c>
      <c r="S551">
        <f>AND(IF(Metadata!E551="",FALSE,TRUE),exact(Metadata!E551,"447426"))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AND(IF(Metadata!C552="",FALSE,TRUE),exact(Metadata!C552,"human-oral"))</f>
        <v>0</v>
      </c>
      <c r="R552">
        <f>AND(IF(Metadata!D552="",FALSE,TRUE),exact(Metadata!D552,"human oral metagenome"))</f>
        <v>0</v>
      </c>
      <c r="S552">
        <f>AND(IF(Metadata!E552="",FALSE,TRUE),exact(Metadata!E552,"447426"))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AND(IF(Metadata!C553="",FALSE,TRUE),exact(Metadata!C553,"human-oral"))</f>
        <v>0</v>
      </c>
      <c r="R553">
        <f>AND(IF(Metadata!D553="",FALSE,TRUE),exact(Metadata!D553,"human oral metagenome"))</f>
        <v>0</v>
      </c>
      <c r="S553">
        <f>AND(IF(Metadata!E553="",FALSE,TRUE),exact(Metadata!E553,"447426"))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AND(IF(Metadata!C554="",FALSE,TRUE),exact(Metadata!C554,"human-oral"))</f>
        <v>0</v>
      </c>
      <c r="R554">
        <f>AND(IF(Metadata!D554="",FALSE,TRUE),exact(Metadata!D554,"human oral metagenome"))</f>
        <v>0</v>
      </c>
      <c r="S554">
        <f>AND(IF(Metadata!E554="",FALSE,TRUE),exact(Metadata!E554,"447426"))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AND(IF(Metadata!C555="",FALSE,TRUE),exact(Metadata!C555,"human-oral"))</f>
        <v>0</v>
      </c>
      <c r="R555">
        <f>AND(IF(Metadata!D555="",FALSE,TRUE),exact(Metadata!D555,"human oral metagenome"))</f>
        <v>0</v>
      </c>
      <c r="S555">
        <f>AND(IF(Metadata!E555="",FALSE,TRUE),exact(Metadata!E555,"447426"))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AND(IF(Metadata!C556="",FALSE,TRUE),exact(Metadata!C556,"human-oral"))</f>
        <v>0</v>
      </c>
      <c r="R556">
        <f>AND(IF(Metadata!D556="",FALSE,TRUE),exact(Metadata!D556,"human oral metagenome"))</f>
        <v>0</v>
      </c>
      <c r="S556">
        <f>AND(IF(Metadata!E556="",FALSE,TRUE),exact(Metadata!E556,"447426"))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AND(IF(Metadata!C557="",FALSE,TRUE),exact(Metadata!C557,"human-oral"))</f>
        <v>0</v>
      </c>
      <c r="R557">
        <f>AND(IF(Metadata!D557="",FALSE,TRUE),exact(Metadata!D557,"human oral metagenome"))</f>
        <v>0</v>
      </c>
      <c r="S557">
        <f>AND(IF(Metadata!E557="",FALSE,TRUE),exact(Metadata!E557,"447426"))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AND(IF(Metadata!C558="",FALSE,TRUE),exact(Metadata!C558,"human-oral"))</f>
        <v>0</v>
      </c>
      <c r="R558">
        <f>AND(IF(Metadata!D558="",FALSE,TRUE),exact(Metadata!D558,"human oral metagenome"))</f>
        <v>0</v>
      </c>
      <c r="S558">
        <f>AND(IF(Metadata!E558="",FALSE,TRUE),exact(Metadata!E558,"447426"))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AND(IF(Metadata!C559="",FALSE,TRUE),exact(Metadata!C559,"human-oral"))</f>
        <v>0</v>
      </c>
      <c r="R559">
        <f>AND(IF(Metadata!D559="",FALSE,TRUE),exact(Metadata!D559,"human oral metagenome"))</f>
        <v>0</v>
      </c>
      <c r="S559">
        <f>AND(IF(Metadata!E559="",FALSE,TRUE),exact(Metadata!E559,"447426"))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AND(IF(Metadata!C560="",FALSE,TRUE),exact(Metadata!C560,"human-oral"))</f>
        <v>0</v>
      </c>
      <c r="R560">
        <f>AND(IF(Metadata!D560="",FALSE,TRUE),exact(Metadata!D560,"human oral metagenome"))</f>
        <v>0</v>
      </c>
      <c r="S560">
        <f>AND(IF(Metadata!E560="",FALSE,TRUE),exact(Metadata!E560,"447426"))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AND(IF(Metadata!C561="",FALSE,TRUE),exact(Metadata!C561,"human-oral"))</f>
        <v>0</v>
      </c>
      <c r="R561">
        <f>AND(IF(Metadata!D561="",FALSE,TRUE),exact(Metadata!D561,"human oral metagenome"))</f>
        <v>0</v>
      </c>
      <c r="S561">
        <f>AND(IF(Metadata!E561="",FALSE,TRUE),exact(Metadata!E561,"447426"))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AND(IF(Metadata!C562="",FALSE,TRUE),exact(Metadata!C562,"human-oral"))</f>
        <v>0</v>
      </c>
      <c r="R562">
        <f>AND(IF(Metadata!D562="",FALSE,TRUE),exact(Metadata!D562,"human oral metagenome"))</f>
        <v>0</v>
      </c>
      <c r="S562">
        <f>AND(IF(Metadata!E562="",FALSE,TRUE),exact(Metadata!E562,"447426"))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AND(IF(Metadata!C563="",FALSE,TRUE),exact(Metadata!C563,"human-oral"))</f>
        <v>0</v>
      </c>
      <c r="R563">
        <f>AND(IF(Metadata!D563="",FALSE,TRUE),exact(Metadata!D563,"human oral metagenome"))</f>
        <v>0</v>
      </c>
      <c r="S563">
        <f>AND(IF(Metadata!E563="",FALSE,TRUE),exact(Metadata!E563,"447426"))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AND(IF(Metadata!C564="",FALSE,TRUE),exact(Metadata!C564,"human-oral"))</f>
        <v>0</v>
      </c>
      <c r="R564">
        <f>AND(IF(Metadata!D564="",FALSE,TRUE),exact(Metadata!D564,"human oral metagenome"))</f>
        <v>0</v>
      </c>
      <c r="S564">
        <f>AND(IF(Metadata!E564="",FALSE,TRUE),exact(Metadata!E564,"447426"))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AND(IF(Metadata!C565="",FALSE,TRUE),exact(Metadata!C565,"human-oral"))</f>
        <v>0</v>
      </c>
      <c r="R565">
        <f>AND(IF(Metadata!D565="",FALSE,TRUE),exact(Metadata!D565,"human oral metagenome"))</f>
        <v>0</v>
      </c>
      <c r="S565">
        <f>AND(IF(Metadata!E565="",FALSE,TRUE),exact(Metadata!E565,"447426"))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AND(IF(Metadata!C566="",FALSE,TRUE),exact(Metadata!C566,"human-oral"))</f>
        <v>0</v>
      </c>
      <c r="R566">
        <f>AND(IF(Metadata!D566="",FALSE,TRUE),exact(Metadata!D566,"human oral metagenome"))</f>
        <v>0</v>
      </c>
      <c r="S566">
        <f>AND(IF(Metadata!E566="",FALSE,TRUE),exact(Metadata!E566,"447426"))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AND(IF(Metadata!C567="",FALSE,TRUE),exact(Metadata!C567,"human-oral"))</f>
        <v>0</v>
      </c>
      <c r="R567">
        <f>AND(IF(Metadata!D567="",FALSE,TRUE),exact(Metadata!D567,"human oral metagenome"))</f>
        <v>0</v>
      </c>
      <c r="S567">
        <f>AND(IF(Metadata!E567="",FALSE,TRUE),exact(Metadata!E567,"447426"))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AND(IF(Metadata!C568="",FALSE,TRUE),exact(Metadata!C568,"human-oral"))</f>
        <v>0</v>
      </c>
      <c r="R568">
        <f>AND(IF(Metadata!D568="",FALSE,TRUE),exact(Metadata!D568,"human oral metagenome"))</f>
        <v>0</v>
      </c>
      <c r="S568">
        <f>AND(IF(Metadata!E568="",FALSE,TRUE),exact(Metadata!E568,"447426"))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AND(IF(Metadata!C569="",FALSE,TRUE),exact(Metadata!C569,"human-oral"))</f>
        <v>0</v>
      </c>
      <c r="R569">
        <f>AND(IF(Metadata!D569="",FALSE,TRUE),exact(Metadata!D569,"human oral metagenome"))</f>
        <v>0</v>
      </c>
      <c r="S569">
        <f>AND(IF(Metadata!E569="",FALSE,TRUE),exact(Metadata!E569,"447426"))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AND(IF(Metadata!C570="",FALSE,TRUE),exact(Metadata!C570,"human-oral"))</f>
        <v>0</v>
      </c>
      <c r="R570">
        <f>AND(IF(Metadata!D570="",FALSE,TRUE),exact(Metadata!D570,"human oral metagenome"))</f>
        <v>0</v>
      </c>
      <c r="S570">
        <f>AND(IF(Metadata!E570="",FALSE,TRUE),exact(Metadata!E570,"447426"))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AND(IF(Metadata!C571="",FALSE,TRUE),exact(Metadata!C571,"human-oral"))</f>
        <v>0</v>
      </c>
      <c r="R571">
        <f>AND(IF(Metadata!D571="",FALSE,TRUE),exact(Metadata!D571,"human oral metagenome"))</f>
        <v>0</v>
      </c>
      <c r="S571">
        <f>AND(IF(Metadata!E571="",FALSE,TRUE),exact(Metadata!E571,"447426"))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AND(IF(Metadata!C572="",FALSE,TRUE),exact(Metadata!C572,"human-oral"))</f>
        <v>0</v>
      </c>
      <c r="R572">
        <f>AND(IF(Metadata!D572="",FALSE,TRUE),exact(Metadata!D572,"human oral metagenome"))</f>
        <v>0</v>
      </c>
      <c r="S572">
        <f>AND(IF(Metadata!E572="",FALSE,TRUE),exact(Metadata!E572,"447426"))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AND(IF(Metadata!C573="",FALSE,TRUE),exact(Metadata!C573,"human-oral"))</f>
        <v>0</v>
      </c>
      <c r="R573">
        <f>AND(IF(Metadata!D573="",FALSE,TRUE),exact(Metadata!D573,"human oral metagenome"))</f>
        <v>0</v>
      </c>
      <c r="S573">
        <f>AND(IF(Metadata!E573="",FALSE,TRUE),exact(Metadata!E573,"447426"))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AND(IF(Metadata!C574="",FALSE,TRUE),exact(Metadata!C574,"human-oral"))</f>
        <v>0</v>
      </c>
      <c r="R574">
        <f>AND(IF(Metadata!D574="",FALSE,TRUE),exact(Metadata!D574,"human oral metagenome"))</f>
        <v>0</v>
      </c>
      <c r="S574">
        <f>AND(IF(Metadata!E574="",FALSE,TRUE),exact(Metadata!E574,"447426"))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AND(IF(Metadata!C575="",FALSE,TRUE),exact(Metadata!C575,"human-oral"))</f>
        <v>0</v>
      </c>
      <c r="R575">
        <f>AND(IF(Metadata!D575="",FALSE,TRUE),exact(Metadata!D575,"human oral metagenome"))</f>
        <v>0</v>
      </c>
      <c r="S575">
        <f>AND(IF(Metadata!E575="",FALSE,TRUE),exact(Metadata!E575,"447426"))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AND(IF(Metadata!C576="",FALSE,TRUE),exact(Metadata!C576,"human-oral"))</f>
        <v>0</v>
      </c>
      <c r="R576">
        <f>AND(IF(Metadata!D576="",FALSE,TRUE),exact(Metadata!D576,"human oral metagenome"))</f>
        <v>0</v>
      </c>
      <c r="S576">
        <f>AND(IF(Metadata!E576="",FALSE,TRUE),exact(Metadata!E576,"447426"))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AND(IF(Metadata!C577="",FALSE,TRUE),exact(Metadata!C577,"human-oral"))</f>
        <v>0</v>
      </c>
      <c r="R577">
        <f>AND(IF(Metadata!D577="",FALSE,TRUE),exact(Metadata!D577,"human oral metagenome"))</f>
        <v>0</v>
      </c>
      <c r="S577">
        <f>AND(IF(Metadata!E577="",FALSE,TRUE),exact(Metadata!E577,"447426"))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AND(IF(Metadata!C578="",FALSE,TRUE),exact(Metadata!C578,"human-oral"))</f>
        <v>0</v>
      </c>
      <c r="R578">
        <f>AND(IF(Metadata!D578="",FALSE,TRUE),exact(Metadata!D578,"human oral metagenome"))</f>
        <v>0</v>
      </c>
      <c r="S578">
        <f>AND(IF(Metadata!E578="",FALSE,TRUE),exact(Metadata!E578,"447426"))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AND(IF(Metadata!C579="",FALSE,TRUE),exact(Metadata!C579,"human-oral"))</f>
        <v>0</v>
      </c>
      <c r="R579">
        <f>AND(IF(Metadata!D579="",FALSE,TRUE),exact(Metadata!D579,"human oral metagenome"))</f>
        <v>0</v>
      </c>
      <c r="S579">
        <f>AND(IF(Metadata!E579="",FALSE,TRUE),exact(Metadata!E579,"447426"))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AND(IF(Metadata!C580="",FALSE,TRUE),exact(Metadata!C580,"human-oral"))</f>
        <v>0</v>
      </c>
      <c r="R580">
        <f>AND(IF(Metadata!D580="",FALSE,TRUE),exact(Metadata!D580,"human oral metagenome"))</f>
        <v>0</v>
      </c>
      <c r="S580">
        <f>AND(IF(Metadata!E580="",FALSE,TRUE),exact(Metadata!E580,"447426"))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AND(IF(Metadata!C581="",FALSE,TRUE),exact(Metadata!C581,"human-oral"))</f>
        <v>0</v>
      </c>
      <c r="R581">
        <f>AND(IF(Metadata!D581="",FALSE,TRUE),exact(Metadata!D581,"human oral metagenome"))</f>
        <v>0</v>
      </c>
      <c r="S581">
        <f>AND(IF(Metadata!E581="",FALSE,TRUE),exact(Metadata!E581,"447426"))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AND(IF(Metadata!C582="",FALSE,TRUE),exact(Metadata!C582,"human-oral"))</f>
        <v>0</v>
      </c>
      <c r="R582">
        <f>AND(IF(Metadata!D582="",FALSE,TRUE),exact(Metadata!D582,"human oral metagenome"))</f>
        <v>0</v>
      </c>
      <c r="S582">
        <f>AND(IF(Metadata!E582="",FALSE,TRUE),exact(Metadata!E582,"447426"))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AND(IF(Metadata!C583="",FALSE,TRUE),exact(Metadata!C583,"human-oral"))</f>
        <v>0</v>
      </c>
      <c r="R583">
        <f>AND(IF(Metadata!D583="",FALSE,TRUE),exact(Metadata!D583,"human oral metagenome"))</f>
        <v>0</v>
      </c>
      <c r="S583">
        <f>AND(IF(Metadata!E583="",FALSE,TRUE),exact(Metadata!E583,"447426"))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AND(IF(Metadata!C584="",FALSE,TRUE),exact(Metadata!C584,"human-oral"))</f>
        <v>0</v>
      </c>
      <c r="R584">
        <f>AND(IF(Metadata!D584="",FALSE,TRUE),exact(Metadata!D584,"human oral metagenome"))</f>
        <v>0</v>
      </c>
      <c r="S584">
        <f>AND(IF(Metadata!E584="",FALSE,TRUE),exact(Metadata!E584,"447426"))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AND(IF(Metadata!C585="",FALSE,TRUE),exact(Metadata!C585,"human-oral"))</f>
        <v>0</v>
      </c>
      <c r="R585">
        <f>AND(IF(Metadata!D585="",FALSE,TRUE),exact(Metadata!D585,"human oral metagenome"))</f>
        <v>0</v>
      </c>
      <c r="S585">
        <f>AND(IF(Metadata!E585="",FALSE,TRUE),exact(Metadata!E585,"447426"))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AND(IF(Metadata!C586="",FALSE,TRUE),exact(Metadata!C586,"human-oral"))</f>
        <v>0</v>
      </c>
      <c r="R586">
        <f>AND(IF(Metadata!D586="",FALSE,TRUE),exact(Metadata!D586,"human oral metagenome"))</f>
        <v>0</v>
      </c>
      <c r="S586">
        <f>AND(IF(Metadata!E586="",FALSE,TRUE),exact(Metadata!E586,"447426"))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AND(IF(Metadata!C587="",FALSE,TRUE),exact(Metadata!C587,"human-oral"))</f>
        <v>0</v>
      </c>
      <c r="R587">
        <f>AND(IF(Metadata!D587="",FALSE,TRUE),exact(Metadata!D587,"human oral metagenome"))</f>
        <v>0</v>
      </c>
      <c r="S587">
        <f>AND(IF(Metadata!E587="",FALSE,TRUE),exact(Metadata!E587,"447426"))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AND(IF(Metadata!C588="",FALSE,TRUE),exact(Metadata!C588,"human-oral"))</f>
        <v>0</v>
      </c>
      <c r="R588">
        <f>AND(IF(Metadata!D588="",FALSE,TRUE),exact(Metadata!D588,"human oral metagenome"))</f>
        <v>0</v>
      </c>
      <c r="S588">
        <f>AND(IF(Metadata!E588="",FALSE,TRUE),exact(Metadata!E588,"447426"))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AND(IF(Metadata!C589="",FALSE,TRUE),exact(Metadata!C589,"human-oral"))</f>
        <v>0</v>
      </c>
      <c r="R589">
        <f>AND(IF(Metadata!D589="",FALSE,TRUE),exact(Metadata!D589,"human oral metagenome"))</f>
        <v>0</v>
      </c>
      <c r="S589">
        <f>AND(IF(Metadata!E589="",FALSE,TRUE),exact(Metadata!E589,"447426"))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AND(IF(Metadata!C590="",FALSE,TRUE),exact(Metadata!C590,"human-oral"))</f>
        <v>0</v>
      </c>
      <c r="R590">
        <f>AND(IF(Metadata!D590="",FALSE,TRUE),exact(Metadata!D590,"human oral metagenome"))</f>
        <v>0</v>
      </c>
      <c r="S590">
        <f>AND(IF(Metadata!E590="",FALSE,TRUE),exact(Metadata!E590,"447426"))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AND(IF(Metadata!C591="",FALSE,TRUE),exact(Metadata!C591,"human-oral"))</f>
        <v>0</v>
      </c>
      <c r="R591">
        <f>AND(IF(Metadata!D591="",FALSE,TRUE),exact(Metadata!D591,"human oral metagenome"))</f>
        <v>0</v>
      </c>
      <c r="S591">
        <f>AND(IF(Metadata!E591="",FALSE,TRUE),exact(Metadata!E591,"447426"))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AND(IF(Metadata!C592="",FALSE,TRUE),exact(Metadata!C592,"human-oral"))</f>
        <v>0</v>
      </c>
      <c r="R592">
        <f>AND(IF(Metadata!D592="",FALSE,TRUE),exact(Metadata!D592,"human oral metagenome"))</f>
        <v>0</v>
      </c>
      <c r="S592">
        <f>AND(IF(Metadata!E592="",FALSE,TRUE),exact(Metadata!E592,"447426"))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AND(IF(Metadata!C593="",FALSE,TRUE),exact(Metadata!C593,"human-oral"))</f>
        <v>0</v>
      </c>
      <c r="R593">
        <f>AND(IF(Metadata!D593="",FALSE,TRUE),exact(Metadata!D593,"human oral metagenome"))</f>
        <v>0</v>
      </c>
      <c r="S593">
        <f>AND(IF(Metadata!E593="",FALSE,TRUE),exact(Metadata!E593,"447426"))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AND(IF(Metadata!C594="",FALSE,TRUE),exact(Metadata!C594,"human-oral"))</f>
        <v>0</v>
      </c>
      <c r="R594">
        <f>AND(IF(Metadata!D594="",FALSE,TRUE),exact(Metadata!D594,"human oral metagenome"))</f>
        <v>0</v>
      </c>
      <c r="S594">
        <f>AND(IF(Metadata!E594="",FALSE,TRUE),exact(Metadata!E594,"447426"))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AND(IF(Metadata!C595="",FALSE,TRUE),exact(Metadata!C595,"human-oral"))</f>
        <v>0</v>
      </c>
      <c r="R595">
        <f>AND(IF(Metadata!D595="",FALSE,TRUE),exact(Metadata!D595,"human oral metagenome"))</f>
        <v>0</v>
      </c>
      <c r="S595">
        <f>AND(IF(Metadata!E595="",FALSE,TRUE),exact(Metadata!E595,"447426"))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AND(IF(Metadata!C596="",FALSE,TRUE),exact(Metadata!C596,"human-oral"))</f>
        <v>0</v>
      </c>
      <c r="R596">
        <f>AND(IF(Metadata!D596="",FALSE,TRUE),exact(Metadata!D596,"human oral metagenome"))</f>
        <v>0</v>
      </c>
      <c r="S596">
        <f>AND(IF(Metadata!E596="",FALSE,TRUE),exact(Metadata!E596,"447426"))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AND(IF(Metadata!C597="",FALSE,TRUE),exact(Metadata!C597,"human-oral"))</f>
        <v>0</v>
      </c>
      <c r="R597">
        <f>AND(IF(Metadata!D597="",FALSE,TRUE),exact(Metadata!D597,"human oral metagenome"))</f>
        <v>0</v>
      </c>
      <c r="S597">
        <f>AND(IF(Metadata!E597="",FALSE,TRUE),exact(Metadata!E597,"447426"))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AND(IF(Metadata!C598="",FALSE,TRUE),exact(Metadata!C598,"human-oral"))</f>
        <v>0</v>
      </c>
      <c r="R598">
        <f>AND(IF(Metadata!D598="",FALSE,TRUE),exact(Metadata!D598,"human oral metagenome"))</f>
        <v>0</v>
      </c>
      <c r="S598">
        <f>AND(IF(Metadata!E598="",FALSE,TRUE),exact(Metadata!E598,"447426"))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AND(IF(Metadata!C599="",FALSE,TRUE),exact(Metadata!C599,"human-oral"))</f>
        <v>0</v>
      </c>
      <c r="R599">
        <f>AND(IF(Metadata!D599="",FALSE,TRUE),exact(Metadata!D599,"human oral metagenome"))</f>
        <v>0</v>
      </c>
      <c r="S599">
        <f>AND(IF(Metadata!E599="",FALSE,TRUE),exact(Metadata!E599,"447426"))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AND(IF(Metadata!C600="",FALSE,TRUE),exact(Metadata!C600,"human-oral"))</f>
        <v>0</v>
      </c>
      <c r="R600">
        <f>AND(IF(Metadata!D600="",FALSE,TRUE),exact(Metadata!D600,"human oral metagenome"))</f>
        <v>0</v>
      </c>
      <c r="S600">
        <f>AND(IF(Metadata!E600="",FALSE,TRUE),exact(Metadata!E600,"447426"))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AND(IF(Metadata!C601="",FALSE,TRUE),exact(Metadata!C601,"human-oral"))</f>
        <v>0</v>
      </c>
      <c r="R601">
        <f>AND(IF(Metadata!D601="",FALSE,TRUE),exact(Metadata!D601,"human oral metagenome"))</f>
        <v>0</v>
      </c>
      <c r="S601">
        <f>AND(IF(Metadata!E601="",FALSE,TRUE),exact(Metadata!E601,"447426"))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AND(IF(Metadata!C602="",FALSE,TRUE),exact(Metadata!C602,"human-oral"))</f>
        <v>0</v>
      </c>
      <c r="R602">
        <f>AND(IF(Metadata!D602="",FALSE,TRUE),exact(Metadata!D602,"human oral metagenome"))</f>
        <v>0</v>
      </c>
      <c r="S602">
        <f>AND(IF(Metadata!E602="",FALSE,TRUE),exact(Metadata!E602,"447426"))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AND(IF(Metadata!C603="",FALSE,TRUE),exact(Metadata!C603,"human-oral"))</f>
        <v>0</v>
      </c>
      <c r="R603">
        <f>AND(IF(Metadata!D603="",FALSE,TRUE),exact(Metadata!D603,"human oral metagenome"))</f>
        <v>0</v>
      </c>
      <c r="S603">
        <f>AND(IF(Metadata!E603="",FALSE,TRUE),exact(Metadata!E603,"447426"))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AND(IF(Metadata!C604="",FALSE,TRUE),exact(Metadata!C604,"human-oral"))</f>
        <v>0</v>
      </c>
      <c r="R604">
        <f>AND(IF(Metadata!D604="",FALSE,TRUE),exact(Metadata!D604,"human oral metagenome"))</f>
        <v>0</v>
      </c>
      <c r="S604">
        <f>AND(IF(Metadata!E604="",FALSE,TRUE),exact(Metadata!E604,"447426"))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AND(IF(Metadata!C605="",FALSE,TRUE),exact(Metadata!C605,"human-oral"))</f>
        <v>0</v>
      </c>
      <c r="R605">
        <f>AND(IF(Metadata!D605="",FALSE,TRUE),exact(Metadata!D605,"human oral metagenome"))</f>
        <v>0</v>
      </c>
      <c r="S605">
        <f>AND(IF(Metadata!E605="",FALSE,TRUE),exact(Metadata!E605,"447426"))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AND(IF(Metadata!C606="",FALSE,TRUE),exact(Metadata!C606,"human-oral"))</f>
        <v>0</v>
      </c>
      <c r="R606">
        <f>AND(IF(Metadata!D606="",FALSE,TRUE),exact(Metadata!D606,"human oral metagenome"))</f>
        <v>0</v>
      </c>
      <c r="S606">
        <f>AND(IF(Metadata!E606="",FALSE,TRUE),exact(Metadata!E606,"447426"))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AND(IF(Metadata!C607="",FALSE,TRUE),exact(Metadata!C607,"human-oral"))</f>
        <v>0</v>
      </c>
      <c r="R607">
        <f>AND(IF(Metadata!D607="",FALSE,TRUE),exact(Metadata!D607,"human oral metagenome"))</f>
        <v>0</v>
      </c>
      <c r="S607">
        <f>AND(IF(Metadata!E607="",FALSE,TRUE),exact(Metadata!E607,"447426"))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AND(IF(Metadata!C608="",FALSE,TRUE),exact(Metadata!C608,"human-oral"))</f>
        <v>0</v>
      </c>
      <c r="R608">
        <f>AND(IF(Metadata!D608="",FALSE,TRUE),exact(Metadata!D608,"human oral metagenome"))</f>
        <v>0</v>
      </c>
      <c r="S608">
        <f>AND(IF(Metadata!E608="",FALSE,TRUE),exact(Metadata!E608,"447426"))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AND(IF(Metadata!C609="",FALSE,TRUE),exact(Metadata!C609,"human-oral"))</f>
        <v>0</v>
      </c>
      <c r="R609">
        <f>AND(IF(Metadata!D609="",FALSE,TRUE),exact(Metadata!D609,"human oral metagenome"))</f>
        <v>0</v>
      </c>
      <c r="S609">
        <f>AND(IF(Metadata!E609="",FALSE,TRUE),exact(Metadata!E609,"447426"))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AND(IF(Metadata!C610="",FALSE,TRUE),exact(Metadata!C610,"human-oral"))</f>
        <v>0</v>
      </c>
      <c r="R610">
        <f>AND(IF(Metadata!D610="",FALSE,TRUE),exact(Metadata!D610,"human oral metagenome"))</f>
        <v>0</v>
      </c>
      <c r="S610">
        <f>AND(IF(Metadata!E610="",FALSE,TRUE),exact(Metadata!E610,"447426"))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AND(IF(Metadata!C611="",FALSE,TRUE),exact(Metadata!C611,"human-oral"))</f>
        <v>0</v>
      </c>
      <c r="R611">
        <f>AND(IF(Metadata!D611="",FALSE,TRUE),exact(Metadata!D611,"human oral metagenome"))</f>
        <v>0</v>
      </c>
      <c r="S611">
        <f>AND(IF(Metadata!E611="",FALSE,TRUE),exact(Metadata!E611,"447426"))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AND(IF(Metadata!C612="",FALSE,TRUE),exact(Metadata!C612,"human-oral"))</f>
        <v>0</v>
      </c>
      <c r="R612">
        <f>AND(IF(Metadata!D612="",FALSE,TRUE),exact(Metadata!D612,"human oral metagenome"))</f>
        <v>0</v>
      </c>
      <c r="S612">
        <f>AND(IF(Metadata!E612="",FALSE,TRUE),exact(Metadata!E612,"447426"))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AND(IF(Metadata!C613="",FALSE,TRUE),exact(Metadata!C613,"human-oral"))</f>
        <v>0</v>
      </c>
      <c r="R613">
        <f>AND(IF(Metadata!D613="",FALSE,TRUE),exact(Metadata!D613,"human oral metagenome"))</f>
        <v>0</v>
      </c>
      <c r="S613">
        <f>AND(IF(Metadata!E613="",FALSE,TRUE),exact(Metadata!E613,"447426"))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AND(IF(Metadata!C614="",FALSE,TRUE),exact(Metadata!C614,"human-oral"))</f>
        <v>0</v>
      </c>
      <c r="R614">
        <f>AND(IF(Metadata!D614="",FALSE,TRUE),exact(Metadata!D614,"human oral metagenome"))</f>
        <v>0</v>
      </c>
      <c r="S614">
        <f>AND(IF(Metadata!E614="",FALSE,TRUE),exact(Metadata!E614,"447426"))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AND(IF(Metadata!C615="",FALSE,TRUE),exact(Metadata!C615,"human-oral"))</f>
        <v>0</v>
      </c>
      <c r="R615">
        <f>AND(IF(Metadata!D615="",FALSE,TRUE),exact(Metadata!D615,"human oral metagenome"))</f>
        <v>0</v>
      </c>
      <c r="S615">
        <f>AND(IF(Metadata!E615="",FALSE,TRUE),exact(Metadata!E615,"447426"))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AND(IF(Metadata!C616="",FALSE,TRUE),exact(Metadata!C616,"human-oral"))</f>
        <v>0</v>
      </c>
      <c r="R616">
        <f>AND(IF(Metadata!D616="",FALSE,TRUE),exact(Metadata!D616,"human oral metagenome"))</f>
        <v>0</v>
      </c>
      <c r="S616">
        <f>AND(IF(Metadata!E616="",FALSE,TRUE),exact(Metadata!E616,"447426"))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AND(IF(Metadata!C617="",FALSE,TRUE),exact(Metadata!C617,"human-oral"))</f>
        <v>0</v>
      </c>
      <c r="R617">
        <f>AND(IF(Metadata!D617="",FALSE,TRUE),exact(Metadata!D617,"human oral metagenome"))</f>
        <v>0</v>
      </c>
      <c r="S617">
        <f>AND(IF(Metadata!E617="",FALSE,TRUE),exact(Metadata!E617,"447426"))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AND(IF(Metadata!C618="",FALSE,TRUE),exact(Metadata!C618,"human-oral"))</f>
        <v>0</v>
      </c>
      <c r="R618">
        <f>AND(IF(Metadata!D618="",FALSE,TRUE),exact(Metadata!D618,"human oral metagenome"))</f>
        <v>0</v>
      </c>
      <c r="S618">
        <f>AND(IF(Metadata!E618="",FALSE,TRUE),exact(Metadata!E618,"447426"))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AND(IF(Metadata!C619="",FALSE,TRUE),exact(Metadata!C619,"human-oral"))</f>
        <v>0</v>
      </c>
      <c r="R619">
        <f>AND(IF(Metadata!D619="",FALSE,TRUE),exact(Metadata!D619,"human oral metagenome"))</f>
        <v>0</v>
      </c>
      <c r="S619">
        <f>AND(IF(Metadata!E619="",FALSE,TRUE),exact(Metadata!E619,"447426"))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AND(IF(Metadata!C620="",FALSE,TRUE),exact(Metadata!C620,"human-oral"))</f>
        <v>0</v>
      </c>
      <c r="R620">
        <f>AND(IF(Metadata!D620="",FALSE,TRUE),exact(Metadata!D620,"human oral metagenome"))</f>
        <v>0</v>
      </c>
      <c r="S620">
        <f>AND(IF(Metadata!E620="",FALSE,TRUE),exact(Metadata!E620,"447426"))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AND(IF(Metadata!C621="",FALSE,TRUE),exact(Metadata!C621,"human-oral"))</f>
        <v>0</v>
      </c>
      <c r="R621">
        <f>AND(IF(Metadata!D621="",FALSE,TRUE),exact(Metadata!D621,"human oral metagenome"))</f>
        <v>0</v>
      </c>
      <c r="S621">
        <f>AND(IF(Metadata!E621="",FALSE,TRUE),exact(Metadata!E621,"447426"))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AND(IF(Metadata!C622="",FALSE,TRUE),exact(Metadata!C622,"human-oral"))</f>
        <v>0</v>
      </c>
      <c r="R622">
        <f>AND(IF(Metadata!D622="",FALSE,TRUE),exact(Metadata!D622,"human oral metagenome"))</f>
        <v>0</v>
      </c>
      <c r="S622">
        <f>AND(IF(Metadata!E622="",FALSE,TRUE),exact(Metadata!E622,"447426"))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AND(IF(Metadata!C623="",FALSE,TRUE),exact(Metadata!C623,"human-oral"))</f>
        <v>0</v>
      </c>
      <c r="R623">
        <f>AND(IF(Metadata!D623="",FALSE,TRUE),exact(Metadata!D623,"human oral metagenome"))</f>
        <v>0</v>
      </c>
      <c r="S623">
        <f>AND(IF(Metadata!E623="",FALSE,TRUE),exact(Metadata!E623,"447426"))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AND(IF(Metadata!C624="",FALSE,TRUE),exact(Metadata!C624,"human-oral"))</f>
        <v>0</v>
      </c>
      <c r="R624">
        <f>AND(IF(Metadata!D624="",FALSE,TRUE),exact(Metadata!D624,"human oral metagenome"))</f>
        <v>0</v>
      </c>
      <c r="S624">
        <f>AND(IF(Metadata!E624="",FALSE,TRUE),exact(Metadata!E624,"447426"))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AND(IF(Metadata!C625="",FALSE,TRUE),exact(Metadata!C625,"human-oral"))</f>
        <v>0</v>
      </c>
      <c r="R625">
        <f>AND(IF(Metadata!D625="",FALSE,TRUE),exact(Metadata!D625,"human oral metagenome"))</f>
        <v>0</v>
      </c>
      <c r="S625">
        <f>AND(IF(Metadata!E625="",FALSE,TRUE),exact(Metadata!E625,"447426"))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AND(IF(Metadata!C626="",FALSE,TRUE),exact(Metadata!C626,"human-oral"))</f>
        <v>0</v>
      </c>
      <c r="R626">
        <f>AND(IF(Metadata!D626="",FALSE,TRUE),exact(Metadata!D626,"human oral metagenome"))</f>
        <v>0</v>
      </c>
      <c r="S626">
        <f>AND(IF(Metadata!E626="",FALSE,TRUE),exact(Metadata!E626,"447426"))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AND(IF(Metadata!C627="",FALSE,TRUE),exact(Metadata!C627,"human-oral"))</f>
        <v>0</v>
      </c>
      <c r="R627">
        <f>AND(IF(Metadata!D627="",FALSE,TRUE),exact(Metadata!D627,"human oral metagenome"))</f>
        <v>0</v>
      </c>
      <c r="S627">
        <f>AND(IF(Metadata!E627="",FALSE,TRUE),exact(Metadata!E627,"447426"))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AND(IF(Metadata!C628="",FALSE,TRUE),exact(Metadata!C628,"human-oral"))</f>
        <v>0</v>
      </c>
      <c r="R628">
        <f>AND(IF(Metadata!D628="",FALSE,TRUE),exact(Metadata!D628,"human oral metagenome"))</f>
        <v>0</v>
      </c>
      <c r="S628">
        <f>AND(IF(Metadata!E628="",FALSE,TRUE),exact(Metadata!E628,"447426"))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AND(IF(Metadata!C629="",FALSE,TRUE),exact(Metadata!C629,"human-oral"))</f>
        <v>0</v>
      </c>
      <c r="R629">
        <f>AND(IF(Metadata!D629="",FALSE,TRUE),exact(Metadata!D629,"human oral metagenome"))</f>
        <v>0</v>
      </c>
      <c r="S629">
        <f>AND(IF(Metadata!E629="",FALSE,TRUE),exact(Metadata!E629,"447426"))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AND(IF(Metadata!C630="",FALSE,TRUE),exact(Metadata!C630,"human-oral"))</f>
        <v>0</v>
      </c>
      <c r="R630">
        <f>AND(IF(Metadata!D630="",FALSE,TRUE),exact(Metadata!D630,"human oral metagenome"))</f>
        <v>0</v>
      </c>
      <c r="S630">
        <f>AND(IF(Metadata!E630="",FALSE,TRUE),exact(Metadata!E630,"447426"))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AND(IF(Metadata!C631="",FALSE,TRUE),exact(Metadata!C631,"human-oral"))</f>
        <v>0</v>
      </c>
      <c r="R631">
        <f>AND(IF(Metadata!D631="",FALSE,TRUE),exact(Metadata!D631,"human oral metagenome"))</f>
        <v>0</v>
      </c>
      <c r="S631">
        <f>AND(IF(Metadata!E631="",FALSE,TRUE),exact(Metadata!E631,"447426"))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AND(IF(Metadata!C632="",FALSE,TRUE),exact(Metadata!C632,"human-oral"))</f>
        <v>0</v>
      </c>
      <c r="R632">
        <f>AND(IF(Metadata!D632="",FALSE,TRUE),exact(Metadata!D632,"human oral metagenome"))</f>
        <v>0</v>
      </c>
      <c r="S632">
        <f>AND(IF(Metadata!E632="",FALSE,TRUE),exact(Metadata!E632,"447426"))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AND(IF(Metadata!C633="",FALSE,TRUE),exact(Metadata!C633,"human-oral"))</f>
        <v>0</v>
      </c>
      <c r="R633">
        <f>AND(IF(Metadata!D633="",FALSE,TRUE),exact(Metadata!D633,"human oral metagenome"))</f>
        <v>0</v>
      </c>
      <c r="S633">
        <f>AND(IF(Metadata!E633="",FALSE,TRUE),exact(Metadata!E633,"447426"))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AND(IF(Metadata!C634="",FALSE,TRUE),exact(Metadata!C634,"human-oral"))</f>
        <v>0</v>
      </c>
      <c r="R634">
        <f>AND(IF(Metadata!D634="",FALSE,TRUE),exact(Metadata!D634,"human oral metagenome"))</f>
        <v>0</v>
      </c>
      <c r="S634">
        <f>AND(IF(Metadata!E634="",FALSE,TRUE),exact(Metadata!E634,"447426"))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AND(IF(Metadata!C635="",FALSE,TRUE),exact(Metadata!C635,"human-oral"))</f>
        <v>0</v>
      </c>
      <c r="R635">
        <f>AND(IF(Metadata!D635="",FALSE,TRUE),exact(Metadata!D635,"human oral metagenome"))</f>
        <v>0</v>
      </c>
      <c r="S635">
        <f>AND(IF(Metadata!E635="",FALSE,TRUE),exact(Metadata!E635,"447426"))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AND(IF(Metadata!C636="",FALSE,TRUE),exact(Metadata!C636,"human-oral"))</f>
        <v>0</v>
      </c>
      <c r="R636">
        <f>AND(IF(Metadata!D636="",FALSE,TRUE),exact(Metadata!D636,"human oral metagenome"))</f>
        <v>0</v>
      </c>
      <c r="S636">
        <f>AND(IF(Metadata!E636="",FALSE,TRUE),exact(Metadata!E636,"447426"))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AND(IF(Metadata!C637="",FALSE,TRUE),exact(Metadata!C637,"human-oral"))</f>
        <v>0</v>
      </c>
      <c r="R637">
        <f>AND(IF(Metadata!D637="",FALSE,TRUE),exact(Metadata!D637,"human oral metagenome"))</f>
        <v>0</v>
      </c>
      <c r="S637">
        <f>AND(IF(Metadata!E637="",FALSE,TRUE),exact(Metadata!E637,"447426"))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AND(IF(Metadata!C638="",FALSE,TRUE),exact(Metadata!C638,"human-oral"))</f>
        <v>0</v>
      </c>
      <c r="R638">
        <f>AND(IF(Metadata!D638="",FALSE,TRUE),exact(Metadata!D638,"human oral metagenome"))</f>
        <v>0</v>
      </c>
      <c r="S638">
        <f>AND(IF(Metadata!E638="",FALSE,TRUE),exact(Metadata!E638,"447426"))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AND(IF(Metadata!C639="",FALSE,TRUE),exact(Metadata!C639,"human-oral"))</f>
        <v>0</v>
      </c>
      <c r="R639">
        <f>AND(IF(Metadata!D639="",FALSE,TRUE),exact(Metadata!D639,"human oral metagenome"))</f>
        <v>0</v>
      </c>
      <c r="S639">
        <f>AND(IF(Metadata!E639="",FALSE,TRUE),exact(Metadata!E639,"447426"))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AND(IF(Metadata!C640="",FALSE,TRUE),exact(Metadata!C640,"human-oral"))</f>
        <v>0</v>
      </c>
      <c r="R640">
        <f>AND(IF(Metadata!D640="",FALSE,TRUE),exact(Metadata!D640,"human oral metagenome"))</f>
        <v>0</v>
      </c>
      <c r="S640">
        <f>AND(IF(Metadata!E640="",FALSE,TRUE),exact(Metadata!E640,"447426"))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AND(IF(Metadata!C641="",FALSE,TRUE),exact(Metadata!C641,"human-oral"))</f>
        <v>0</v>
      </c>
      <c r="R641">
        <f>AND(IF(Metadata!D641="",FALSE,TRUE),exact(Metadata!D641,"human oral metagenome"))</f>
        <v>0</v>
      </c>
      <c r="S641">
        <f>AND(IF(Metadata!E641="",FALSE,TRUE),exact(Metadata!E641,"447426"))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AND(IF(Metadata!C642="",FALSE,TRUE),exact(Metadata!C642,"human-oral"))</f>
        <v>0</v>
      </c>
      <c r="R642">
        <f>AND(IF(Metadata!D642="",FALSE,TRUE),exact(Metadata!D642,"human oral metagenome"))</f>
        <v>0</v>
      </c>
      <c r="S642">
        <f>AND(IF(Metadata!E642="",FALSE,TRUE),exact(Metadata!E642,"447426"))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AND(IF(Metadata!C643="",FALSE,TRUE),exact(Metadata!C643,"human-oral"))</f>
        <v>0</v>
      </c>
      <c r="R643">
        <f>AND(IF(Metadata!D643="",FALSE,TRUE),exact(Metadata!D643,"human oral metagenome"))</f>
        <v>0</v>
      </c>
      <c r="S643">
        <f>AND(IF(Metadata!E643="",FALSE,TRUE),exact(Metadata!E643,"447426"))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AND(IF(Metadata!C644="",FALSE,TRUE),exact(Metadata!C644,"human-oral"))</f>
        <v>0</v>
      </c>
      <c r="R644">
        <f>AND(IF(Metadata!D644="",FALSE,TRUE),exact(Metadata!D644,"human oral metagenome"))</f>
        <v>0</v>
      </c>
      <c r="S644">
        <f>AND(IF(Metadata!E644="",FALSE,TRUE),exact(Metadata!E644,"447426"))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AND(IF(Metadata!C645="",FALSE,TRUE),exact(Metadata!C645,"human-oral"))</f>
        <v>0</v>
      </c>
      <c r="R645">
        <f>AND(IF(Metadata!D645="",FALSE,TRUE),exact(Metadata!D645,"human oral metagenome"))</f>
        <v>0</v>
      </c>
      <c r="S645">
        <f>AND(IF(Metadata!E645="",FALSE,TRUE),exact(Metadata!E645,"447426"))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AND(IF(Metadata!C646="",FALSE,TRUE),exact(Metadata!C646,"human-oral"))</f>
        <v>0</v>
      </c>
      <c r="R646">
        <f>AND(IF(Metadata!D646="",FALSE,TRUE),exact(Metadata!D646,"human oral metagenome"))</f>
        <v>0</v>
      </c>
      <c r="S646">
        <f>AND(IF(Metadata!E646="",FALSE,TRUE),exact(Metadata!E646,"447426"))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AND(IF(Metadata!C647="",FALSE,TRUE),exact(Metadata!C647,"human-oral"))</f>
        <v>0</v>
      </c>
      <c r="R647">
        <f>AND(IF(Metadata!D647="",FALSE,TRUE),exact(Metadata!D647,"human oral metagenome"))</f>
        <v>0</v>
      </c>
      <c r="S647">
        <f>AND(IF(Metadata!E647="",FALSE,TRUE),exact(Metadata!E647,"447426"))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AND(IF(Metadata!C648="",FALSE,TRUE),exact(Metadata!C648,"human-oral"))</f>
        <v>0</v>
      </c>
      <c r="R648">
        <f>AND(IF(Metadata!D648="",FALSE,TRUE),exact(Metadata!D648,"human oral metagenome"))</f>
        <v>0</v>
      </c>
      <c r="S648">
        <f>AND(IF(Metadata!E648="",FALSE,TRUE),exact(Metadata!E648,"447426"))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AND(IF(Metadata!C649="",FALSE,TRUE),exact(Metadata!C649,"human-oral"))</f>
        <v>0</v>
      </c>
      <c r="R649">
        <f>AND(IF(Metadata!D649="",FALSE,TRUE),exact(Metadata!D649,"human oral metagenome"))</f>
        <v>0</v>
      </c>
      <c r="S649">
        <f>AND(IF(Metadata!E649="",FALSE,TRUE),exact(Metadata!E649,"447426"))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AND(IF(Metadata!C650="",FALSE,TRUE),exact(Metadata!C650,"human-oral"))</f>
        <v>0</v>
      </c>
      <c r="R650">
        <f>AND(IF(Metadata!D650="",FALSE,TRUE),exact(Metadata!D650,"human oral metagenome"))</f>
        <v>0</v>
      </c>
      <c r="S650">
        <f>AND(IF(Metadata!E650="",FALSE,TRUE),exact(Metadata!E650,"447426"))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AND(IF(Metadata!C651="",FALSE,TRUE),exact(Metadata!C651,"human-oral"))</f>
        <v>0</v>
      </c>
      <c r="R651">
        <f>AND(IF(Metadata!D651="",FALSE,TRUE),exact(Metadata!D651,"human oral metagenome"))</f>
        <v>0</v>
      </c>
      <c r="S651">
        <f>AND(IF(Metadata!E651="",FALSE,TRUE),exact(Metadata!E651,"447426"))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AND(IF(Metadata!C652="",FALSE,TRUE),exact(Metadata!C652,"human-oral"))</f>
        <v>0</v>
      </c>
      <c r="R652">
        <f>AND(IF(Metadata!D652="",FALSE,TRUE),exact(Metadata!D652,"human oral metagenome"))</f>
        <v>0</v>
      </c>
      <c r="S652">
        <f>AND(IF(Metadata!E652="",FALSE,TRUE),exact(Metadata!E652,"447426"))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AND(IF(Metadata!C653="",FALSE,TRUE),exact(Metadata!C653,"human-oral"))</f>
        <v>0</v>
      </c>
      <c r="R653">
        <f>AND(IF(Metadata!D653="",FALSE,TRUE),exact(Metadata!D653,"human oral metagenome"))</f>
        <v>0</v>
      </c>
      <c r="S653">
        <f>AND(IF(Metadata!E653="",FALSE,TRUE),exact(Metadata!E653,"447426"))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AND(IF(Metadata!C654="",FALSE,TRUE),exact(Metadata!C654,"human-oral"))</f>
        <v>0</v>
      </c>
      <c r="R654">
        <f>AND(IF(Metadata!D654="",FALSE,TRUE),exact(Metadata!D654,"human oral metagenome"))</f>
        <v>0</v>
      </c>
      <c r="S654">
        <f>AND(IF(Metadata!E654="",FALSE,TRUE),exact(Metadata!E654,"447426"))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AND(IF(Metadata!C655="",FALSE,TRUE),exact(Metadata!C655,"human-oral"))</f>
        <v>0</v>
      </c>
      <c r="R655">
        <f>AND(IF(Metadata!D655="",FALSE,TRUE),exact(Metadata!D655,"human oral metagenome"))</f>
        <v>0</v>
      </c>
      <c r="S655">
        <f>AND(IF(Metadata!E655="",FALSE,TRUE),exact(Metadata!E655,"447426"))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AND(IF(Metadata!C656="",FALSE,TRUE),exact(Metadata!C656,"human-oral"))</f>
        <v>0</v>
      </c>
      <c r="R656">
        <f>AND(IF(Metadata!D656="",FALSE,TRUE),exact(Metadata!D656,"human oral metagenome"))</f>
        <v>0</v>
      </c>
      <c r="S656">
        <f>AND(IF(Metadata!E656="",FALSE,TRUE),exact(Metadata!E656,"447426"))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AND(IF(Metadata!C657="",FALSE,TRUE),exact(Metadata!C657,"human-oral"))</f>
        <v>0</v>
      </c>
      <c r="R657">
        <f>AND(IF(Metadata!D657="",FALSE,TRUE),exact(Metadata!D657,"human oral metagenome"))</f>
        <v>0</v>
      </c>
      <c r="S657">
        <f>AND(IF(Metadata!E657="",FALSE,TRUE),exact(Metadata!E657,"447426"))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AND(IF(Metadata!C658="",FALSE,TRUE),exact(Metadata!C658,"human-oral"))</f>
        <v>0</v>
      </c>
      <c r="R658">
        <f>AND(IF(Metadata!D658="",FALSE,TRUE),exact(Metadata!D658,"human oral metagenome"))</f>
        <v>0</v>
      </c>
      <c r="S658">
        <f>AND(IF(Metadata!E658="",FALSE,TRUE),exact(Metadata!E658,"447426"))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AND(IF(Metadata!C659="",FALSE,TRUE),exact(Metadata!C659,"human-oral"))</f>
        <v>0</v>
      </c>
      <c r="R659">
        <f>AND(IF(Metadata!D659="",FALSE,TRUE),exact(Metadata!D659,"human oral metagenome"))</f>
        <v>0</v>
      </c>
      <c r="S659">
        <f>AND(IF(Metadata!E659="",FALSE,TRUE),exact(Metadata!E659,"447426"))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AND(IF(Metadata!C660="",FALSE,TRUE),exact(Metadata!C660,"human-oral"))</f>
        <v>0</v>
      </c>
      <c r="R660">
        <f>AND(IF(Metadata!D660="",FALSE,TRUE),exact(Metadata!D660,"human oral metagenome"))</f>
        <v>0</v>
      </c>
      <c r="S660">
        <f>AND(IF(Metadata!E660="",FALSE,TRUE),exact(Metadata!E660,"447426"))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AND(IF(Metadata!C661="",FALSE,TRUE),exact(Metadata!C661,"human-oral"))</f>
        <v>0</v>
      </c>
      <c r="R661">
        <f>AND(IF(Metadata!D661="",FALSE,TRUE),exact(Metadata!D661,"human oral metagenome"))</f>
        <v>0</v>
      </c>
      <c r="S661">
        <f>AND(IF(Metadata!E661="",FALSE,TRUE),exact(Metadata!E661,"447426"))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AND(IF(Metadata!C662="",FALSE,TRUE),exact(Metadata!C662,"human-oral"))</f>
        <v>0</v>
      </c>
      <c r="R662">
        <f>AND(IF(Metadata!D662="",FALSE,TRUE),exact(Metadata!D662,"human oral metagenome"))</f>
        <v>0</v>
      </c>
      <c r="S662">
        <f>AND(IF(Metadata!E662="",FALSE,TRUE),exact(Metadata!E662,"447426"))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AND(IF(Metadata!C663="",FALSE,TRUE),exact(Metadata!C663,"human-oral"))</f>
        <v>0</v>
      </c>
      <c r="R663">
        <f>AND(IF(Metadata!D663="",FALSE,TRUE),exact(Metadata!D663,"human oral metagenome"))</f>
        <v>0</v>
      </c>
      <c r="S663">
        <f>AND(IF(Metadata!E663="",FALSE,TRUE),exact(Metadata!E663,"447426"))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AND(IF(Metadata!C664="",FALSE,TRUE),exact(Metadata!C664,"human-oral"))</f>
        <v>0</v>
      </c>
      <c r="R664">
        <f>AND(IF(Metadata!D664="",FALSE,TRUE),exact(Metadata!D664,"human oral metagenome"))</f>
        <v>0</v>
      </c>
      <c r="S664">
        <f>AND(IF(Metadata!E664="",FALSE,TRUE),exact(Metadata!E664,"447426"))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AND(IF(Metadata!C665="",FALSE,TRUE),exact(Metadata!C665,"human-oral"))</f>
        <v>0</v>
      </c>
      <c r="R665">
        <f>AND(IF(Metadata!D665="",FALSE,TRUE),exact(Metadata!D665,"human oral metagenome"))</f>
        <v>0</v>
      </c>
      <c r="S665">
        <f>AND(IF(Metadata!E665="",FALSE,TRUE),exact(Metadata!E665,"447426"))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AND(IF(Metadata!C666="",FALSE,TRUE),exact(Metadata!C666,"human-oral"))</f>
        <v>0</v>
      </c>
      <c r="R666">
        <f>AND(IF(Metadata!D666="",FALSE,TRUE),exact(Metadata!D666,"human oral metagenome"))</f>
        <v>0</v>
      </c>
      <c r="S666">
        <f>AND(IF(Metadata!E666="",FALSE,TRUE),exact(Metadata!E666,"447426"))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AND(IF(Metadata!C667="",FALSE,TRUE),exact(Metadata!C667,"human-oral"))</f>
        <v>0</v>
      </c>
      <c r="R667">
        <f>AND(IF(Metadata!D667="",FALSE,TRUE),exact(Metadata!D667,"human oral metagenome"))</f>
        <v>0</v>
      </c>
      <c r="S667">
        <f>AND(IF(Metadata!E667="",FALSE,TRUE),exact(Metadata!E667,"447426"))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AND(IF(Metadata!C668="",FALSE,TRUE),exact(Metadata!C668,"human-oral"))</f>
        <v>0</v>
      </c>
      <c r="R668">
        <f>AND(IF(Metadata!D668="",FALSE,TRUE),exact(Metadata!D668,"human oral metagenome"))</f>
        <v>0</v>
      </c>
      <c r="S668">
        <f>AND(IF(Metadata!E668="",FALSE,TRUE),exact(Metadata!E668,"447426"))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AND(IF(Metadata!C669="",FALSE,TRUE),exact(Metadata!C669,"human-oral"))</f>
        <v>0</v>
      </c>
      <c r="R669">
        <f>AND(IF(Metadata!D669="",FALSE,TRUE),exact(Metadata!D669,"human oral metagenome"))</f>
        <v>0</v>
      </c>
      <c r="S669">
        <f>AND(IF(Metadata!E669="",FALSE,TRUE),exact(Metadata!E669,"447426"))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AND(IF(Metadata!C670="",FALSE,TRUE),exact(Metadata!C670,"human-oral"))</f>
        <v>0</v>
      </c>
      <c r="R670">
        <f>AND(IF(Metadata!D670="",FALSE,TRUE),exact(Metadata!D670,"human oral metagenome"))</f>
        <v>0</v>
      </c>
      <c r="S670">
        <f>AND(IF(Metadata!E670="",FALSE,TRUE),exact(Metadata!E670,"447426"))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AND(IF(Metadata!C671="",FALSE,TRUE),exact(Metadata!C671,"human-oral"))</f>
        <v>0</v>
      </c>
      <c r="R671">
        <f>AND(IF(Metadata!D671="",FALSE,TRUE),exact(Metadata!D671,"human oral metagenome"))</f>
        <v>0</v>
      </c>
      <c r="S671">
        <f>AND(IF(Metadata!E671="",FALSE,TRUE),exact(Metadata!E671,"447426"))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AND(IF(Metadata!C672="",FALSE,TRUE),exact(Metadata!C672,"human-oral"))</f>
        <v>0</v>
      </c>
      <c r="R672">
        <f>AND(IF(Metadata!D672="",FALSE,TRUE),exact(Metadata!D672,"human oral metagenome"))</f>
        <v>0</v>
      </c>
      <c r="S672">
        <f>AND(IF(Metadata!E672="",FALSE,TRUE),exact(Metadata!E672,"447426"))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AND(IF(Metadata!C673="",FALSE,TRUE),exact(Metadata!C673,"human-oral"))</f>
        <v>0</v>
      </c>
      <c r="R673">
        <f>AND(IF(Metadata!D673="",FALSE,TRUE),exact(Metadata!D673,"human oral metagenome"))</f>
        <v>0</v>
      </c>
      <c r="S673">
        <f>AND(IF(Metadata!E673="",FALSE,TRUE),exact(Metadata!E673,"447426"))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AND(IF(Metadata!C674="",FALSE,TRUE),exact(Metadata!C674,"human-oral"))</f>
        <v>0</v>
      </c>
      <c r="R674">
        <f>AND(IF(Metadata!D674="",FALSE,TRUE),exact(Metadata!D674,"human oral metagenome"))</f>
        <v>0</v>
      </c>
      <c r="S674">
        <f>AND(IF(Metadata!E674="",FALSE,TRUE),exact(Metadata!E674,"447426"))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AND(IF(Metadata!C675="",FALSE,TRUE),exact(Metadata!C675,"human-oral"))</f>
        <v>0</v>
      </c>
      <c r="R675">
        <f>AND(IF(Metadata!D675="",FALSE,TRUE),exact(Metadata!D675,"human oral metagenome"))</f>
        <v>0</v>
      </c>
      <c r="S675">
        <f>AND(IF(Metadata!E675="",FALSE,TRUE),exact(Metadata!E675,"447426"))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AND(IF(Metadata!C676="",FALSE,TRUE),exact(Metadata!C676,"human-oral"))</f>
        <v>0</v>
      </c>
      <c r="R676">
        <f>AND(IF(Metadata!D676="",FALSE,TRUE),exact(Metadata!D676,"human oral metagenome"))</f>
        <v>0</v>
      </c>
      <c r="S676">
        <f>AND(IF(Metadata!E676="",FALSE,TRUE),exact(Metadata!E676,"447426"))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AND(IF(Metadata!C677="",FALSE,TRUE),exact(Metadata!C677,"human-oral"))</f>
        <v>0</v>
      </c>
      <c r="R677">
        <f>AND(IF(Metadata!D677="",FALSE,TRUE),exact(Metadata!D677,"human oral metagenome"))</f>
        <v>0</v>
      </c>
      <c r="S677">
        <f>AND(IF(Metadata!E677="",FALSE,TRUE),exact(Metadata!E677,"447426"))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AND(IF(Metadata!C678="",FALSE,TRUE),exact(Metadata!C678,"human-oral"))</f>
        <v>0</v>
      </c>
      <c r="R678">
        <f>AND(IF(Metadata!D678="",FALSE,TRUE),exact(Metadata!D678,"human oral metagenome"))</f>
        <v>0</v>
      </c>
      <c r="S678">
        <f>AND(IF(Metadata!E678="",FALSE,TRUE),exact(Metadata!E678,"447426"))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AND(IF(Metadata!C679="",FALSE,TRUE),exact(Metadata!C679,"human-oral"))</f>
        <v>0</v>
      </c>
      <c r="R679">
        <f>AND(IF(Metadata!D679="",FALSE,TRUE),exact(Metadata!D679,"human oral metagenome"))</f>
        <v>0</v>
      </c>
      <c r="S679">
        <f>AND(IF(Metadata!E679="",FALSE,TRUE),exact(Metadata!E679,"447426"))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AND(IF(Metadata!C680="",FALSE,TRUE),exact(Metadata!C680,"human-oral"))</f>
        <v>0</v>
      </c>
      <c r="R680">
        <f>AND(IF(Metadata!D680="",FALSE,TRUE),exact(Metadata!D680,"human oral metagenome"))</f>
        <v>0</v>
      </c>
      <c r="S680">
        <f>AND(IF(Metadata!E680="",FALSE,TRUE),exact(Metadata!E680,"447426"))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AND(IF(Metadata!C681="",FALSE,TRUE),exact(Metadata!C681,"human-oral"))</f>
        <v>0</v>
      </c>
      <c r="R681">
        <f>AND(IF(Metadata!D681="",FALSE,TRUE),exact(Metadata!D681,"human oral metagenome"))</f>
        <v>0</v>
      </c>
      <c r="S681">
        <f>AND(IF(Metadata!E681="",FALSE,TRUE),exact(Metadata!E681,"447426"))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AND(IF(Metadata!C682="",FALSE,TRUE),exact(Metadata!C682,"human-oral"))</f>
        <v>0</v>
      </c>
      <c r="R682">
        <f>AND(IF(Metadata!D682="",FALSE,TRUE),exact(Metadata!D682,"human oral metagenome"))</f>
        <v>0</v>
      </c>
      <c r="S682">
        <f>AND(IF(Metadata!E682="",FALSE,TRUE),exact(Metadata!E682,"447426"))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AND(IF(Metadata!C683="",FALSE,TRUE),exact(Metadata!C683,"human-oral"))</f>
        <v>0</v>
      </c>
      <c r="R683">
        <f>AND(IF(Metadata!D683="",FALSE,TRUE),exact(Metadata!D683,"human oral metagenome"))</f>
        <v>0</v>
      </c>
      <c r="S683">
        <f>AND(IF(Metadata!E683="",FALSE,TRUE),exact(Metadata!E683,"447426"))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AND(IF(Metadata!C684="",FALSE,TRUE),exact(Metadata!C684,"human-oral"))</f>
        <v>0</v>
      </c>
      <c r="R684">
        <f>AND(IF(Metadata!D684="",FALSE,TRUE),exact(Metadata!D684,"human oral metagenome"))</f>
        <v>0</v>
      </c>
      <c r="S684">
        <f>AND(IF(Metadata!E684="",FALSE,TRUE),exact(Metadata!E684,"447426"))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AND(IF(Metadata!C685="",FALSE,TRUE),exact(Metadata!C685,"human-oral"))</f>
        <v>0</v>
      </c>
      <c r="R685">
        <f>AND(IF(Metadata!D685="",FALSE,TRUE),exact(Metadata!D685,"human oral metagenome"))</f>
        <v>0</v>
      </c>
      <c r="S685">
        <f>AND(IF(Metadata!E685="",FALSE,TRUE),exact(Metadata!E685,"447426"))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AND(IF(Metadata!C686="",FALSE,TRUE),exact(Metadata!C686,"human-oral"))</f>
        <v>0</v>
      </c>
      <c r="R686">
        <f>AND(IF(Metadata!D686="",FALSE,TRUE),exact(Metadata!D686,"human oral metagenome"))</f>
        <v>0</v>
      </c>
      <c r="S686">
        <f>AND(IF(Metadata!E686="",FALSE,TRUE),exact(Metadata!E686,"447426"))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AND(IF(Metadata!C687="",FALSE,TRUE),exact(Metadata!C687,"human-oral"))</f>
        <v>0</v>
      </c>
      <c r="R687">
        <f>AND(IF(Metadata!D687="",FALSE,TRUE),exact(Metadata!D687,"human oral metagenome"))</f>
        <v>0</v>
      </c>
      <c r="S687">
        <f>AND(IF(Metadata!E687="",FALSE,TRUE),exact(Metadata!E687,"447426"))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AND(IF(Metadata!C688="",FALSE,TRUE),exact(Metadata!C688,"human-oral"))</f>
        <v>0</v>
      </c>
      <c r="R688">
        <f>AND(IF(Metadata!D688="",FALSE,TRUE),exact(Metadata!D688,"human oral metagenome"))</f>
        <v>0</v>
      </c>
      <c r="S688">
        <f>AND(IF(Metadata!E688="",FALSE,TRUE),exact(Metadata!E688,"447426"))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AND(IF(Metadata!C689="",FALSE,TRUE),exact(Metadata!C689,"human-oral"))</f>
        <v>0</v>
      </c>
      <c r="R689">
        <f>AND(IF(Metadata!D689="",FALSE,TRUE),exact(Metadata!D689,"human oral metagenome"))</f>
        <v>0</v>
      </c>
      <c r="S689">
        <f>AND(IF(Metadata!E689="",FALSE,TRUE),exact(Metadata!E689,"447426"))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AND(IF(Metadata!C690="",FALSE,TRUE),exact(Metadata!C690,"human-oral"))</f>
        <v>0</v>
      </c>
      <c r="R690">
        <f>AND(IF(Metadata!D690="",FALSE,TRUE),exact(Metadata!D690,"human oral metagenome"))</f>
        <v>0</v>
      </c>
      <c r="S690">
        <f>AND(IF(Metadata!E690="",FALSE,TRUE),exact(Metadata!E690,"447426"))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AND(IF(Metadata!C691="",FALSE,TRUE),exact(Metadata!C691,"human-oral"))</f>
        <v>0</v>
      </c>
      <c r="R691">
        <f>AND(IF(Metadata!D691="",FALSE,TRUE),exact(Metadata!D691,"human oral metagenome"))</f>
        <v>0</v>
      </c>
      <c r="S691">
        <f>AND(IF(Metadata!E691="",FALSE,TRUE),exact(Metadata!E691,"447426"))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AND(IF(Metadata!C692="",FALSE,TRUE),exact(Metadata!C692,"human-oral"))</f>
        <v>0</v>
      </c>
      <c r="R692">
        <f>AND(IF(Metadata!D692="",FALSE,TRUE),exact(Metadata!D692,"human oral metagenome"))</f>
        <v>0</v>
      </c>
      <c r="S692">
        <f>AND(IF(Metadata!E692="",FALSE,TRUE),exact(Metadata!E692,"447426"))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AND(IF(Metadata!C693="",FALSE,TRUE),exact(Metadata!C693,"human-oral"))</f>
        <v>0</v>
      </c>
      <c r="R693">
        <f>AND(IF(Metadata!D693="",FALSE,TRUE),exact(Metadata!D693,"human oral metagenome"))</f>
        <v>0</v>
      </c>
      <c r="S693">
        <f>AND(IF(Metadata!E693="",FALSE,TRUE),exact(Metadata!E693,"447426"))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AND(IF(Metadata!C694="",FALSE,TRUE),exact(Metadata!C694,"human-oral"))</f>
        <v>0</v>
      </c>
      <c r="R694">
        <f>AND(IF(Metadata!D694="",FALSE,TRUE),exact(Metadata!D694,"human oral metagenome"))</f>
        <v>0</v>
      </c>
      <c r="S694">
        <f>AND(IF(Metadata!E694="",FALSE,TRUE),exact(Metadata!E694,"447426"))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AND(IF(Metadata!C695="",FALSE,TRUE),exact(Metadata!C695,"human-oral"))</f>
        <v>0</v>
      </c>
      <c r="R695">
        <f>AND(IF(Metadata!D695="",FALSE,TRUE),exact(Metadata!D695,"human oral metagenome"))</f>
        <v>0</v>
      </c>
      <c r="S695">
        <f>AND(IF(Metadata!E695="",FALSE,TRUE),exact(Metadata!E695,"447426"))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AND(IF(Metadata!C696="",FALSE,TRUE),exact(Metadata!C696,"human-oral"))</f>
        <v>0</v>
      </c>
      <c r="R696">
        <f>AND(IF(Metadata!D696="",FALSE,TRUE),exact(Metadata!D696,"human oral metagenome"))</f>
        <v>0</v>
      </c>
      <c r="S696">
        <f>AND(IF(Metadata!E696="",FALSE,TRUE),exact(Metadata!E696,"447426"))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AND(IF(Metadata!C697="",FALSE,TRUE),exact(Metadata!C697,"human-oral"))</f>
        <v>0</v>
      </c>
      <c r="R697">
        <f>AND(IF(Metadata!D697="",FALSE,TRUE),exact(Metadata!D697,"human oral metagenome"))</f>
        <v>0</v>
      </c>
      <c r="S697">
        <f>AND(IF(Metadata!E697="",FALSE,TRUE),exact(Metadata!E697,"447426"))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AND(IF(Metadata!C698="",FALSE,TRUE),exact(Metadata!C698,"human-oral"))</f>
        <v>0</v>
      </c>
      <c r="R698">
        <f>AND(IF(Metadata!D698="",FALSE,TRUE),exact(Metadata!D698,"human oral metagenome"))</f>
        <v>0</v>
      </c>
      <c r="S698">
        <f>AND(IF(Metadata!E698="",FALSE,TRUE),exact(Metadata!E698,"447426"))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AND(IF(Metadata!C699="",FALSE,TRUE),exact(Metadata!C699,"human-oral"))</f>
        <v>0</v>
      </c>
      <c r="R699">
        <f>AND(IF(Metadata!D699="",FALSE,TRUE),exact(Metadata!D699,"human oral metagenome"))</f>
        <v>0</v>
      </c>
      <c r="S699">
        <f>AND(IF(Metadata!E699="",FALSE,TRUE),exact(Metadata!E699,"447426"))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AND(IF(Metadata!C700="",FALSE,TRUE),exact(Metadata!C700,"human-oral"))</f>
        <v>0</v>
      </c>
      <c r="R700">
        <f>AND(IF(Metadata!D700="",FALSE,TRUE),exact(Metadata!D700,"human oral metagenome"))</f>
        <v>0</v>
      </c>
      <c r="S700">
        <f>AND(IF(Metadata!E700="",FALSE,TRUE),exact(Metadata!E700,"447426"))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AND(IF(Metadata!C701="",FALSE,TRUE),exact(Metadata!C701,"human-oral"))</f>
        <v>0</v>
      </c>
      <c r="R701">
        <f>AND(IF(Metadata!D701="",FALSE,TRUE),exact(Metadata!D701,"human oral metagenome"))</f>
        <v>0</v>
      </c>
      <c r="S701">
        <f>AND(IF(Metadata!E701="",FALSE,TRUE),exact(Metadata!E701,"447426"))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AND(IF(Metadata!C702="",FALSE,TRUE),exact(Metadata!C702,"human-oral"))</f>
        <v>0</v>
      </c>
      <c r="R702">
        <f>AND(IF(Metadata!D702="",FALSE,TRUE),exact(Metadata!D702,"human oral metagenome"))</f>
        <v>0</v>
      </c>
      <c r="S702">
        <f>AND(IF(Metadata!E702="",FALSE,TRUE),exact(Metadata!E702,"447426"))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AND(IF(Metadata!C703="",FALSE,TRUE),exact(Metadata!C703,"human-oral"))</f>
        <v>0</v>
      </c>
      <c r="R703">
        <f>AND(IF(Metadata!D703="",FALSE,TRUE),exact(Metadata!D703,"human oral metagenome"))</f>
        <v>0</v>
      </c>
      <c r="S703">
        <f>AND(IF(Metadata!E703="",FALSE,TRUE),exact(Metadata!E703,"447426"))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AND(IF(Metadata!C704="",FALSE,TRUE),exact(Metadata!C704,"human-oral"))</f>
        <v>0</v>
      </c>
      <c r="R704">
        <f>AND(IF(Metadata!D704="",FALSE,TRUE),exact(Metadata!D704,"human oral metagenome"))</f>
        <v>0</v>
      </c>
      <c r="S704">
        <f>AND(IF(Metadata!E704="",FALSE,TRUE),exact(Metadata!E704,"447426"))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AND(IF(Metadata!C705="",FALSE,TRUE),exact(Metadata!C705,"human-oral"))</f>
        <v>0</v>
      </c>
      <c r="R705">
        <f>AND(IF(Metadata!D705="",FALSE,TRUE),exact(Metadata!D705,"human oral metagenome"))</f>
        <v>0</v>
      </c>
      <c r="S705">
        <f>AND(IF(Metadata!E705="",FALSE,TRUE),exact(Metadata!E705,"447426"))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AND(IF(Metadata!C706="",FALSE,TRUE),exact(Metadata!C706,"human-oral"))</f>
        <v>0</v>
      </c>
      <c r="R706">
        <f>AND(IF(Metadata!D706="",FALSE,TRUE),exact(Metadata!D706,"human oral metagenome"))</f>
        <v>0</v>
      </c>
      <c r="S706">
        <f>AND(IF(Metadata!E706="",FALSE,TRUE),exact(Metadata!E706,"447426"))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AND(IF(Metadata!C707="",FALSE,TRUE),exact(Metadata!C707,"human-oral"))</f>
        <v>0</v>
      </c>
      <c r="R707">
        <f>AND(IF(Metadata!D707="",FALSE,TRUE),exact(Metadata!D707,"human oral metagenome"))</f>
        <v>0</v>
      </c>
      <c r="S707">
        <f>AND(IF(Metadata!E707="",FALSE,TRUE),exact(Metadata!E707,"447426"))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AND(IF(Metadata!C708="",FALSE,TRUE),exact(Metadata!C708,"human-oral"))</f>
        <v>0</v>
      </c>
      <c r="R708">
        <f>AND(IF(Metadata!D708="",FALSE,TRUE),exact(Metadata!D708,"human oral metagenome"))</f>
        <v>0</v>
      </c>
      <c r="S708">
        <f>AND(IF(Metadata!E708="",FALSE,TRUE),exact(Metadata!E708,"447426"))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AND(IF(Metadata!C709="",FALSE,TRUE),exact(Metadata!C709,"human-oral"))</f>
        <v>0</v>
      </c>
      <c r="R709">
        <f>AND(IF(Metadata!D709="",FALSE,TRUE),exact(Metadata!D709,"human oral metagenome"))</f>
        <v>0</v>
      </c>
      <c r="S709">
        <f>AND(IF(Metadata!E709="",FALSE,TRUE),exact(Metadata!E709,"447426"))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AND(IF(Metadata!C710="",FALSE,TRUE),exact(Metadata!C710,"human-oral"))</f>
        <v>0</v>
      </c>
      <c r="R710">
        <f>AND(IF(Metadata!D710="",FALSE,TRUE),exact(Metadata!D710,"human oral metagenome"))</f>
        <v>0</v>
      </c>
      <c r="S710">
        <f>AND(IF(Metadata!E710="",FALSE,TRUE),exact(Metadata!E710,"447426"))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AND(IF(Metadata!C711="",FALSE,TRUE),exact(Metadata!C711,"human-oral"))</f>
        <v>0</v>
      </c>
      <c r="R711">
        <f>AND(IF(Metadata!D711="",FALSE,TRUE),exact(Metadata!D711,"human oral metagenome"))</f>
        <v>0</v>
      </c>
      <c r="S711">
        <f>AND(IF(Metadata!E711="",FALSE,TRUE),exact(Metadata!E711,"447426"))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AND(IF(Metadata!C712="",FALSE,TRUE),exact(Metadata!C712,"human-oral"))</f>
        <v>0</v>
      </c>
      <c r="R712">
        <f>AND(IF(Metadata!D712="",FALSE,TRUE),exact(Metadata!D712,"human oral metagenome"))</f>
        <v>0</v>
      </c>
      <c r="S712">
        <f>AND(IF(Metadata!E712="",FALSE,TRUE),exact(Metadata!E712,"447426"))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AND(IF(Metadata!C713="",FALSE,TRUE),exact(Metadata!C713,"human-oral"))</f>
        <v>0</v>
      </c>
      <c r="R713">
        <f>AND(IF(Metadata!D713="",FALSE,TRUE),exact(Metadata!D713,"human oral metagenome"))</f>
        <v>0</v>
      </c>
      <c r="S713">
        <f>AND(IF(Metadata!E713="",FALSE,TRUE),exact(Metadata!E713,"447426"))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AND(IF(Metadata!C714="",FALSE,TRUE),exact(Metadata!C714,"human-oral"))</f>
        <v>0</v>
      </c>
      <c r="R714">
        <f>AND(IF(Metadata!D714="",FALSE,TRUE),exact(Metadata!D714,"human oral metagenome"))</f>
        <v>0</v>
      </c>
      <c r="S714">
        <f>AND(IF(Metadata!E714="",FALSE,TRUE),exact(Metadata!E714,"447426"))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AND(IF(Metadata!C715="",FALSE,TRUE),exact(Metadata!C715,"human-oral"))</f>
        <v>0</v>
      </c>
      <c r="R715">
        <f>AND(IF(Metadata!D715="",FALSE,TRUE),exact(Metadata!D715,"human oral metagenome"))</f>
        <v>0</v>
      </c>
      <c r="S715">
        <f>AND(IF(Metadata!E715="",FALSE,TRUE),exact(Metadata!E715,"447426"))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AND(IF(Metadata!C716="",FALSE,TRUE),exact(Metadata!C716,"human-oral"))</f>
        <v>0</v>
      </c>
      <c r="R716">
        <f>AND(IF(Metadata!D716="",FALSE,TRUE),exact(Metadata!D716,"human oral metagenome"))</f>
        <v>0</v>
      </c>
      <c r="S716">
        <f>AND(IF(Metadata!E716="",FALSE,TRUE),exact(Metadata!E716,"447426"))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AND(IF(Metadata!C717="",FALSE,TRUE),exact(Metadata!C717,"human-oral"))</f>
        <v>0</v>
      </c>
      <c r="R717">
        <f>AND(IF(Metadata!D717="",FALSE,TRUE),exact(Metadata!D717,"human oral metagenome"))</f>
        <v>0</v>
      </c>
      <c r="S717">
        <f>AND(IF(Metadata!E717="",FALSE,TRUE),exact(Metadata!E717,"447426"))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AND(IF(Metadata!C718="",FALSE,TRUE),exact(Metadata!C718,"human-oral"))</f>
        <v>0</v>
      </c>
      <c r="R718">
        <f>AND(IF(Metadata!D718="",FALSE,TRUE),exact(Metadata!D718,"human oral metagenome"))</f>
        <v>0</v>
      </c>
      <c r="S718">
        <f>AND(IF(Metadata!E718="",FALSE,TRUE),exact(Metadata!E718,"447426"))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AND(IF(Metadata!C719="",FALSE,TRUE),exact(Metadata!C719,"human-oral"))</f>
        <v>0</v>
      </c>
      <c r="R719">
        <f>AND(IF(Metadata!D719="",FALSE,TRUE),exact(Metadata!D719,"human oral metagenome"))</f>
        <v>0</v>
      </c>
      <c r="S719">
        <f>AND(IF(Metadata!E719="",FALSE,TRUE),exact(Metadata!E719,"447426"))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AND(IF(Metadata!C720="",FALSE,TRUE),exact(Metadata!C720,"human-oral"))</f>
        <v>0</v>
      </c>
      <c r="R720">
        <f>AND(IF(Metadata!D720="",FALSE,TRUE),exact(Metadata!D720,"human oral metagenome"))</f>
        <v>0</v>
      </c>
      <c r="S720">
        <f>AND(IF(Metadata!E720="",FALSE,TRUE),exact(Metadata!E720,"447426"))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AND(IF(Metadata!C721="",FALSE,TRUE),exact(Metadata!C721,"human-oral"))</f>
        <v>0</v>
      </c>
      <c r="R721">
        <f>AND(IF(Metadata!D721="",FALSE,TRUE),exact(Metadata!D721,"human oral metagenome"))</f>
        <v>0</v>
      </c>
      <c r="S721">
        <f>AND(IF(Metadata!E721="",FALSE,TRUE),exact(Metadata!E721,"447426"))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AND(IF(Metadata!C722="",FALSE,TRUE),exact(Metadata!C722,"human-oral"))</f>
        <v>0</v>
      </c>
      <c r="R722">
        <f>AND(IF(Metadata!D722="",FALSE,TRUE),exact(Metadata!D722,"human oral metagenome"))</f>
        <v>0</v>
      </c>
      <c r="S722">
        <f>AND(IF(Metadata!E722="",FALSE,TRUE),exact(Metadata!E722,"447426"))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AND(IF(Metadata!C723="",FALSE,TRUE),exact(Metadata!C723,"human-oral"))</f>
        <v>0</v>
      </c>
      <c r="R723">
        <f>AND(IF(Metadata!D723="",FALSE,TRUE),exact(Metadata!D723,"human oral metagenome"))</f>
        <v>0</v>
      </c>
      <c r="S723">
        <f>AND(IF(Metadata!E723="",FALSE,TRUE),exact(Metadata!E723,"447426"))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AND(IF(Metadata!C724="",FALSE,TRUE),exact(Metadata!C724,"human-oral"))</f>
        <v>0</v>
      </c>
      <c r="R724">
        <f>AND(IF(Metadata!D724="",FALSE,TRUE),exact(Metadata!D724,"human oral metagenome"))</f>
        <v>0</v>
      </c>
      <c r="S724">
        <f>AND(IF(Metadata!E724="",FALSE,TRUE),exact(Metadata!E724,"447426"))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AND(IF(Metadata!C725="",FALSE,TRUE),exact(Metadata!C725,"human-oral"))</f>
        <v>0</v>
      </c>
      <c r="R725">
        <f>AND(IF(Metadata!D725="",FALSE,TRUE),exact(Metadata!D725,"human oral metagenome"))</f>
        <v>0</v>
      </c>
      <c r="S725">
        <f>AND(IF(Metadata!E725="",FALSE,TRUE),exact(Metadata!E725,"447426"))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AND(IF(Metadata!C726="",FALSE,TRUE),exact(Metadata!C726,"human-oral"))</f>
        <v>0</v>
      </c>
      <c r="R726">
        <f>AND(IF(Metadata!D726="",FALSE,TRUE),exact(Metadata!D726,"human oral metagenome"))</f>
        <v>0</v>
      </c>
      <c r="S726">
        <f>AND(IF(Metadata!E726="",FALSE,TRUE),exact(Metadata!E726,"447426"))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AND(IF(Metadata!C727="",FALSE,TRUE),exact(Metadata!C727,"human-oral"))</f>
        <v>0</v>
      </c>
      <c r="R727">
        <f>AND(IF(Metadata!D727="",FALSE,TRUE),exact(Metadata!D727,"human oral metagenome"))</f>
        <v>0</v>
      </c>
      <c r="S727">
        <f>AND(IF(Metadata!E727="",FALSE,TRUE),exact(Metadata!E727,"447426"))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AND(IF(Metadata!C728="",FALSE,TRUE),exact(Metadata!C728,"human-oral"))</f>
        <v>0</v>
      </c>
      <c r="R728">
        <f>AND(IF(Metadata!D728="",FALSE,TRUE),exact(Metadata!D728,"human oral metagenome"))</f>
        <v>0</v>
      </c>
      <c r="S728">
        <f>AND(IF(Metadata!E728="",FALSE,TRUE),exact(Metadata!E728,"447426"))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AND(IF(Metadata!C729="",FALSE,TRUE),exact(Metadata!C729,"human-oral"))</f>
        <v>0</v>
      </c>
      <c r="R729">
        <f>AND(IF(Metadata!D729="",FALSE,TRUE),exact(Metadata!D729,"human oral metagenome"))</f>
        <v>0</v>
      </c>
      <c r="S729">
        <f>AND(IF(Metadata!E729="",FALSE,TRUE),exact(Metadata!E729,"447426"))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AND(IF(Metadata!C730="",FALSE,TRUE),exact(Metadata!C730,"human-oral"))</f>
        <v>0</v>
      </c>
      <c r="R730">
        <f>AND(IF(Metadata!D730="",FALSE,TRUE),exact(Metadata!D730,"human oral metagenome"))</f>
        <v>0</v>
      </c>
      <c r="S730">
        <f>AND(IF(Metadata!E730="",FALSE,TRUE),exact(Metadata!E730,"447426"))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AND(IF(Metadata!C731="",FALSE,TRUE),exact(Metadata!C731,"human-oral"))</f>
        <v>0</v>
      </c>
      <c r="R731">
        <f>AND(IF(Metadata!D731="",FALSE,TRUE),exact(Metadata!D731,"human oral metagenome"))</f>
        <v>0</v>
      </c>
      <c r="S731">
        <f>AND(IF(Metadata!E731="",FALSE,TRUE),exact(Metadata!E731,"447426"))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AND(IF(Metadata!C732="",FALSE,TRUE),exact(Metadata!C732,"human-oral"))</f>
        <v>0</v>
      </c>
      <c r="R732">
        <f>AND(IF(Metadata!D732="",FALSE,TRUE),exact(Metadata!D732,"human oral metagenome"))</f>
        <v>0</v>
      </c>
      <c r="S732">
        <f>AND(IF(Metadata!E732="",FALSE,TRUE),exact(Metadata!E732,"447426"))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AND(IF(Metadata!C733="",FALSE,TRUE),exact(Metadata!C733,"human-oral"))</f>
        <v>0</v>
      </c>
      <c r="R733">
        <f>AND(IF(Metadata!D733="",FALSE,TRUE),exact(Metadata!D733,"human oral metagenome"))</f>
        <v>0</v>
      </c>
      <c r="S733">
        <f>AND(IF(Metadata!E733="",FALSE,TRUE),exact(Metadata!E733,"447426"))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AND(IF(Metadata!C734="",FALSE,TRUE),exact(Metadata!C734,"human-oral"))</f>
        <v>0</v>
      </c>
      <c r="R734">
        <f>AND(IF(Metadata!D734="",FALSE,TRUE),exact(Metadata!D734,"human oral metagenome"))</f>
        <v>0</v>
      </c>
      <c r="S734">
        <f>AND(IF(Metadata!E734="",FALSE,TRUE),exact(Metadata!E734,"447426"))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AND(IF(Metadata!C735="",FALSE,TRUE),exact(Metadata!C735,"human-oral"))</f>
        <v>0</v>
      </c>
      <c r="R735">
        <f>AND(IF(Metadata!D735="",FALSE,TRUE),exact(Metadata!D735,"human oral metagenome"))</f>
        <v>0</v>
      </c>
      <c r="S735">
        <f>AND(IF(Metadata!E735="",FALSE,TRUE),exact(Metadata!E735,"447426"))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AND(IF(Metadata!C736="",FALSE,TRUE),exact(Metadata!C736,"human-oral"))</f>
        <v>0</v>
      </c>
      <c r="R736">
        <f>AND(IF(Metadata!D736="",FALSE,TRUE),exact(Metadata!D736,"human oral metagenome"))</f>
        <v>0</v>
      </c>
      <c r="S736">
        <f>AND(IF(Metadata!E736="",FALSE,TRUE),exact(Metadata!E736,"447426"))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AND(IF(Metadata!C737="",FALSE,TRUE),exact(Metadata!C737,"human-oral"))</f>
        <v>0</v>
      </c>
      <c r="R737">
        <f>AND(IF(Metadata!D737="",FALSE,TRUE),exact(Metadata!D737,"human oral metagenome"))</f>
        <v>0</v>
      </c>
      <c r="S737">
        <f>AND(IF(Metadata!E737="",FALSE,TRUE),exact(Metadata!E737,"447426"))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AND(IF(Metadata!C738="",FALSE,TRUE),exact(Metadata!C738,"human-oral"))</f>
        <v>0</v>
      </c>
      <c r="R738">
        <f>AND(IF(Metadata!D738="",FALSE,TRUE),exact(Metadata!D738,"human oral metagenome"))</f>
        <v>0</v>
      </c>
      <c r="S738">
        <f>AND(IF(Metadata!E738="",FALSE,TRUE),exact(Metadata!E738,"447426"))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AND(IF(Metadata!C739="",FALSE,TRUE),exact(Metadata!C739,"human-oral"))</f>
        <v>0</v>
      </c>
      <c r="R739">
        <f>AND(IF(Metadata!D739="",FALSE,TRUE),exact(Metadata!D739,"human oral metagenome"))</f>
        <v>0</v>
      </c>
      <c r="S739">
        <f>AND(IF(Metadata!E739="",FALSE,TRUE),exact(Metadata!E739,"447426"))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AND(IF(Metadata!C740="",FALSE,TRUE),exact(Metadata!C740,"human-oral"))</f>
        <v>0</v>
      </c>
      <c r="R740">
        <f>AND(IF(Metadata!D740="",FALSE,TRUE),exact(Metadata!D740,"human oral metagenome"))</f>
        <v>0</v>
      </c>
      <c r="S740">
        <f>AND(IF(Metadata!E740="",FALSE,TRUE),exact(Metadata!E740,"447426"))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AND(IF(Metadata!C741="",FALSE,TRUE),exact(Metadata!C741,"human-oral"))</f>
        <v>0</v>
      </c>
      <c r="R741">
        <f>AND(IF(Metadata!D741="",FALSE,TRUE),exact(Metadata!D741,"human oral metagenome"))</f>
        <v>0</v>
      </c>
      <c r="S741">
        <f>AND(IF(Metadata!E741="",FALSE,TRUE),exact(Metadata!E741,"447426"))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AND(IF(Metadata!C742="",FALSE,TRUE),exact(Metadata!C742,"human-oral"))</f>
        <v>0</v>
      </c>
      <c r="R742">
        <f>AND(IF(Metadata!D742="",FALSE,TRUE),exact(Metadata!D742,"human oral metagenome"))</f>
        <v>0</v>
      </c>
      <c r="S742">
        <f>AND(IF(Metadata!E742="",FALSE,TRUE),exact(Metadata!E742,"447426"))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AND(IF(Metadata!C743="",FALSE,TRUE),exact(Metadata!C743,"human-oral"))</f>
        <v>0</v>
      </c>
      <c r="R743">
        <f>AND(IF(Metadata!D743="",FALSE,TRUE),exact(Metadata!D743,"human oral metagenome"))</f>
        <v>0</v>
      </c>
      <c r="S743">
        <f>AND(IF(Metadata!E743="",FALSE,TRUE),exact(Metadata!E743,"447426"))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AND(IF(Metadata!C744="",FALSE,TRUE),exact(Metadata!C744,"human-oral"))</f>
        <v>0</v>
      </c>
      <c r="R744">
        <f>AND(IF(Metadata!D744="",FALSE,TRUE),exact(Metadata!D744,"human oral metagenome"))</f>
        <v>0</v>
      </c>
      <c r="S744">
        <f>AND(IF(Metadata!E744="",FALSE,TRUE),exact(Metadata!E744,"447426"))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AND(IF(Metadata!C745="",FALSE,TRUE),exact(Metadata!C745,"human-oral"))</f>
        <v>0</v>
      </c>
      <c r="R745">
        <f>AND(IF(Metadata!D745="",FALSE,TRUE),exact(Metadata!D745,"human oral metagenome"))</f>
        <v>0</v>
      </c>
      <c r="S745">
        <f>AND(IF(Metadata!E745="",FALSE,TRUE),exact(Metadata!E745,"447426"))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AND(IF(Metadata!C746="",FALSE,TRUE),exact(Metadata!C746,"human-oral"))</f>
        <v>0</v>
      </c>
      <c r="R746">
        <f>AND(IF(Metadata!D746="",FALSE,TRUE),exact(Metadata!D746,"human oral metagenome"))</f>
        <v>0</v>
      </c>
      <c r="S746">
        <f>AND(IF(Metadata!E746="",FALSE,TRUE),exact(Metadata!E746,"447426"))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AND(IF(Metadata!C747="",FALSE,TRUE),exact(Metadata!C747,"human-oral"))</f>
        <v>0</v>
      </c>
      <c r="R747">
        <f>AND(IF(Metadata!D747="",FALSE,TRUE),exact(Metadata!D747,"human oral metagenome"))</f>
        <v>0</v>
      </c>
      <c r="S747">
        <f>AND(IF(Metadata!E747="",FALSE,TRUE),exact(Metadata!E747,"447426"))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AND(IF(Metadata!C748="",FALSE,TRUE),exact(Metadata!C748,"human-oral"))</f>
        <v>0</v>
      </c>
      <c r="R748">
        <f>AND(IF(Metadata!D748="",FALSE,TRUE),exact(Metadata!D748,"human oral metagenome"))</f>
        <v>0</v>
      </c>
      <c r="S748">
        <f>AND(IF(Metadata!E748="",FALSE,TRUE),exact(Metadata!E748,"447426"))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AND(IF(Metadata!C749="",FALSE,TRUE),exact(Metadata!C749,"human-oral"))</f>
        <v>0</v>
      </c>
      <c r="R749">
        <f>AND(IF(Metadata!D749="",FALSE,TRUE),exact(Metadata!D749,"human oral metagenome"))</f>
        <v>0</v>
      </c>
      <c r="S749">
        <f>AND(IF(Metadata!E749="",FALSE,TRUE),exact(Metadata!E749,"447426"))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AND(IF(Metadata!C750="",FALSE,TRUE),exact(Metadata!C750,"human-oral"))</f>
        <v>0</v>
      </c>
      <c r="R750">
        <f>AND(IF(Metadata!D750="",FALSE,TRUE),exact(Metadata!D750,"human oral metagenome"))</f>
        <v>0</v>
      </c>
      <c r="S750">
        <f>AND(IF(Metadata!E750="",FALSE,TRUE),exact(Metadata!E750,"447426"))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AND(IF(Metadata!C751="",FALSE,TRUE),exact(Metadata!C751,"human-oral"))</f>
        <v>0</v>
      </c>
      <c r="R751">
        <f>AND(IF(Metadata!D751="",FALSE,TRUE),exact(Metadata!D751,"human oral metagenome"))</f>
        <v>0</v>
      </c>
      <c r="S751">
        <f>AND(IF(Metadata!E751="",FALSE,TRUE),exact(Metadata!E751,"447426"))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AND(IF(Metadata!C752="",FALSE,TRUE),exact(Metadata!C752,"human-oral"))</f>
        <v>0</v>
      </c>
      <c r="R752">
        <f>AND(IF(Metadata!D752="",FALSE,TRUE),exact(Metadata!D752,"human oral metagenome"))</f>
        <v>0</v>
      </c>
      <c r="S752">
        <f>AND(IF(Metadata!E752="",FALSE,TRUE),exact(Metadata!E752,"447426"))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AND(IF(Metadata!C753="",FALSE,TRUE),exact(Metadata!C753,"human-oral"))</f>
        <v>0</v>
      </c>
      <c r="R753">
        <f>AND(IF(Metadata!D753="",FALSE,TRUE),exact(Metadata!D753,"human oral metagenome"))</f>
        <v>0</v>
      </c>
      <c r="S753">
        <f>AND(IF(Metadata!E753="",FALSE,TRUE),exact(Metadata!E753,"447426"))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AND(IF(Metadata!C754="",FALSE,TRUE),exact(Metadata!C754,"human-oral"))</f>
        <v>0</v>
      </c>
      <c r="R754">
        <f>AND(IF(Metadata!D754="",FALSE,TRUE),exact(Metadata!D754,"human oral metagenome"))</f>
        <v>0</v>
      </c>
      <c r="S754">
        <f>AND(IF(Metadata!E754="",FALSE,TRUE),exact(Metadata!E754,"447426"))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AND(IF(Metadata!C755="",FALSE,TRUE),exact(Metadata!C755,"human-oral"))</f>
        <v>0</v>
      </c>
      <c r="R755">
        <f>AND(IF(Metadata!D755="",FALSE,TRUE),exact(Metadata!D755,"human oral metagenome"))</f>
        <v>0</v>
      </c>
      <c r="S755">
        <f>AND(IF(Metadata!E755="",FALSE,TRUE),exact(Metadata!E755,"447426"))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AND(IF(Metadata!C756="",FALSE,TRUE),exact(Metadata!C756,"human-oral"))</f>
        <v>0</v>
      </c>
      <c r="R756">
        <f>AND(IF(Metadata!D756="",FALSE,TRUE),exact(Metadata!D756,"human oral metagenome"))</f>
        <v>0</v>
      </c>
      <c r="S756">
        <f>AND(IF(Metadata!E756="",FALSE,TRUE),exact(Metadata!E756,"447426"))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AND(IF(Metadata!C757="",FALSE,TRUE),exact(Metadata!C757,"human-oral"))</f>
        <v>0</v>
      </c>
      <c r="R757">
        <f>AND(IF(Metadata!D757="",FALSE,TRUE),exact(Metadata!D757,"human oral metagenome"))</f>
        <v>0</v>
      </c>
      <c r="S757">
        <f>AND(IF(Metadata!E757="",FALSE,TRUE),exact(Metadata!E757,"447426"))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AND(IF(Metadata!C758="",FALSE,TRUE),exact(Metadata!C758,"human-oral"))</f>
        <v>0</v>
      </c>
      <c r="R758">
        <f>AND(IF(Metadata!D758="",FALSE,TRUE),exact(Metadata!D758,"human oral metagenome"))</f>
        <v>0</v>
      </c>
      <c r="S758">
        <f>AND(IF(Metadata!E758="",FALSE,TRUE),exact(Metadata!E758,"447426"))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AND(IF(Metadata!C759="",FALSE,TRUE),exact(Metadata!C759,"human-oral"))</f>
        <v>0</v>
      </c>
      <c r="R759">
        <f>AND(IF(Metadata!D759="",FALSE,TRUE),exact(Metadata!D759,"human oral metagenome"))</f>
        <v>0</v>
      </c>
      <c r="S759">
        <f>AND(IF(Metadata!E759="",FALSE,TRUE),exact(Metadata!E759,"447426"))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AND(IF(Metadata!C760="",FALSE,TRUE),exact(Metadata!C760,"human-oral"))</f>
        <v>0</v>
      </c>
      <c r="R760">
        <f>AND(IF(Metadata!D760="",FALSE,TRUE),exact(Metadata!D760,"human oral metagenome"))</f>
        <v>0</v>
      </c>
      <c r="S760">
        <f>AND(IF(Metadata!E760="",FALSE,TRUE),exact(Metadata!E760,"447426"))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AND(IF(Metadata!C761="",FALSE,TRUE),exact(Metadata!C761,"human-oral"))</f>
        <v>0</v>
      </c>
      <c r="R761">
        <f>AND(IF(Metadata!D761="",FALSE,TRUE),exact(Metadata!D761,"human oral metagenome"))</f>
        <v>0</v>
      </c>
      <c r="S761">
        <f>AND(IF(Metadata!E761="",FALSE,TRUE),exact(Metadata!E761,"447426"))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AND(IF(Metadata!C762="",FALSE,TRUE),exact(Metadata!C762,"human-oral"))</f>
        <v>0</v>
      </c>
      <c r="R762">
        <f>AND(IF(Metadata!D762="",FALSE,TRUE),exact(Metadata!D762,"human oral metagenome"))</f>
        <v>0</v>
      </c>
      <c r="S762">
        <f>AND(IF(Metadata!E762="",FALSE,TRUE),exact(Metadata!E762,"447426"))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AND(IF(Metadata!C763="",FALSE,TRUE),exact(Metadata!C763,"human-oral"))</f>
        <v>0</v>
      </c>
      <c r="R763">
        <f>AND(IF(Metadata!D763="",FALSE,TRUE),exact(Metadata!D763,"human oral metagenome"))</f>
        <v>0</v>
      </c>
      <c r="S763">
        <f>AND(IF(Metadata!E763="",FALSE,TRUE),exact(Metadata!E763,"447426"))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AND(IF(Metadata!C764="",FALSE,TRUE),exact(Metadata!C764,"human-oral"))</f>
        <v>0</v>
      </c>
      <c r="R764">
        <f>AND(IF(Metadata!D764="",FALSE,TRUE),exact(Metadata!D764,"human oral metagenome"))</f>
        <v>0</v>
      </c>
      <c r="S764">
        <f>AND(IF(Metadata!E764="",FALSE,TRUE),exact(Metadata!E764,"447426"))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AND(IF(Metadata!C765="",FALSE,TRUE),exact(Metadata!C765,"human-oral"))</f>
        <v>0</v>
      </c>
      <c r="R765">
        <f>AND(IF(Metadata!D765="",FALSE,TRUE),exact(Metadata!D765,"human oral metagenome"))</f>
        <v>0</v>
      </c>
      <c r="S765">
        <f>AND(IF(Metadata!E765="",FALSE,TRUE),exact(Metadata!E765,"447426"))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AND(IF(Metadata!C766="",FALSE,TRUE),exact(Metadata!C766,"human-oral"))</f>
        <v>0</v>
      </c>
      <c r="R766">
        <f>AND(IF(Metadata!D766="",FALSE,TRUE),exact(Metadata!D766,"human oral metagenome"))</f>
        <v>0</v>
      </c>
      <c r="S766">
        <f>AND(IF(Metadata!E766="",FALSE,TRUE),exact(Metadata!E766,"447426"))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AND(IF(Metadata!C767="",FALSE,TRUE),exact(Metadata!C767,"human-oral"))</f>
        <v>0</v>
      </c>
      <c r="R767">
        <f>AND(IF(Metadata!D767="",FALSE,TRUE),exact(Metadata!D767,"human oral metagenome"))</f>
        <v>0</v>
      </c>
      <c r="S767">
        <f>AND(IF(Metadata!E767="",FALSE,TRUE),exact(Metadata!E767,"447426"))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AND(IF(Metadata!C768="",FALSE,TRUE),exact(Metadata!C768,"human-oral"))</f>
        <v>0</v>
      </c>
      <c r="R768">
        <f>AND(IF(Metadata!D768="",FALSE,TRUE),exact(Metadata!D768,"human oral metagenome"))</f>
        <v>0</v>
      </c>
      <c r="S768">
        <f>AND(IF(Metadata!E768="",FALSE,TRUE),exact(Metadata!E768,"447426"))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AND(IF(Metadata!C769="",FALSE,TRUE),exact(Metadata!C769,"human-oral"))</f>
        <v>0</v>
      </c>
      <c r="R769">
        <f>AND(IF(Metadata!D769="",FALSE,TRUE),exact(Metadata!D769,"human oral metagenome"))</f>
        <v>0</v>
      </c>
      <c r="S769">
        <f>AND(IF(Metadata!E769="",FALSE,TRUE),exact(Metadata!E769,"447426"))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AND(IF(Metadata!C770="",FALSE,TRUE),exact(Metadata!C770,"human-oral"))</f>
        <v>0</v>
      </c>
      <c r="R770">
        <f>AND(IF(Metadata!D770="",FALSE,TRUE),exact(Metadata!D770,"human oral metagenome"))</f>
        <v>0</v>
      </c>
      <c r="S770">
        <f>AND(IF(Metadata!E770="",FALSE,TRUE),exact(Metadata!E770,"447426"))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AND(IF(Metadata!C771="",FALSE,TRUE),exact(Metadata!C771,"human-oral"))</f>
        <v>0</v>
      </c>
      <c r="R771">
        <f>AND(IF(Metadata!D771="",FALSE,TRUE),exact(Metadata!D771,"human oral metagenome"))</f>
        <v>0</v>
      </c>
      <c r="S771">
        <f>AND(IF(Metadata!E771="",FALSE,TRUE),exact(Metadata!E771,"447426"))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AND(IF(Metadata!C772="",FALSE,TRUE),exact(Metadata!C772,"human-oral"))</f>
        <v>0</v>
      </c>
      <c r="R772">
        <f>AND(IF(Metadata!D772="",FALSE,TRUE),exact(Metadata!D772,"human oral metagenome"))</f>
        <v>0</v>
      </c>
      <c r="S772">
        <f>AND(IF(Metadata!E772="",FALSE,TRUE),exact(Metadata!E772,"447426"))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AND(IF(Metadata!C773="",FALSE,TRUE),exact(Metadata!C773,"human-oral"))</f>
        <v>0</v>
      </c>
      <c r="R773">
        <f>AND(IF(Metadata!D773="",FALSE,TRUE),exact(Metadata!D773,"human oral metagenome"))</f>
        <v>0</v>
      </c>
      <c r="S773">
        <f>AND(IF(Metadata!E773="",FALSE,TRUE),exact(Metadata!E773,"447426"))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AND(IF(Metadata!C774="",FALSE,TRUE),exact(Metadata!C774,"human-oral"))</f>
        <v>0</v>
      </c>
      <c r="R774">
        <f>AND(IF(Metadata!D774="",FALSE,TRUE),exact(Metadata!D774,"human oral metagenome"))</f>
        <v>0</v>
      </c>
      <c r="S774">
        <f>AND(IF(Metadata!E774="",FALSE,TRUE),exact(Metadata!E774,"447426"))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AND(IF(Metadata!C775="",FALSE,TRUE),exact(Metadata!C775,"human-oral"))</f>
        <v>0</v>
      </c>
      <c r="R775">
        <f>AND(IF(Metadata!D775="",FALSE,TRUE),exact(Metadata!D775,"human oral metagenome"))</f>
        <v>0</v>
      </c>
      <c r="S775">
        <f>AND(IF(Metadata!E775="",FALSE,TRUE),exact(Metadata!E775,"447426"))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AND(IF(Metadata!C776="",FALSE,TRUE),exact(Metadata!C776,"human-oral"))</f>
        <v>0</v>
      </c>
      <c r="R776">
        <f>AND(IF(Metadata!D776="",FALSE,TRUE),exact(Metadata!D776,"human oral metagenome"))</f>
        <v>0</v>
      </c>
      <c r="S776">
        <f>AND(IF(Metadata!E776="",FALSE,TRUE),exact(Metadata!E776,"447426"))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AND(IF(Metadata!C777="",FALSE,TRUE),exact(Metadata!C777,"human-oral"))</f>
        <v>0</v>
      </c>
      <c r="R777">
        <f>AND(IF(Metadata!D777="",FALSE,TRUE),exact(Metadata!D777,"human oral metagenome"))</f>
        <v>0</v>
      </c>
      <c r="S777">
        <f>AND(IF(Metadata!E777="",FALSE,TRUE),exact(Metadata!E777,"447426"))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AND(IF(Metadata!C778="",FALSE,TRUE),exact(Metadata!C778,"human-oral"))</f>
        <v>0</v>
      </c>
      <c r="R778">
        <f>AND(IF(Metadata!D778="",FALSE,TRUE),exact(Metadata!D778,"human oral metagenome"))</f>
        <v>0</v>
      </c>
      <c r="S778">
        <f>AND(IF(Metadata!E778="",FALSE,TRUE),exact(Metadata!E778,"447426"))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AND(IF(Metadata!C779="",FALSE,TRUE),exact(Metadata!C779,"human-oral"))</f>
        <v>0</v>
      </c>
      <c r="R779">
        <f>AND(IF(Metadata!D779="",FALSE,TRUE),exact(Metadata!D779,"human oral metagenome"))</f>
        <v>0</v>
      </c>
      <c r="S779">
        <f>AND(IF(Metadata!E779="",FALSE,TRUE),exact(Metadata!E779,"447426"))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AND(IF(Metadata!C780="",FALSE,TRUE),exact(Metadata!C780,"human-oral"))</f>
        <v>0</v>
      </c>
      <c r="R780">
        <f>AND(IF(Metadata!D780="",FALSE,TRUE),exact(Metadata!D780,"human oral metagenome"))</f>
        <v>0</v>
      </c>
      <c r="S780">
        <f>AND(IF(Metadata!E780="",FALSE,TRUE),exact(Metadata!E780,"447426"))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AND(IF(Metadata!C781="",FALSE,TRUE),exact(Metadata!C781,"human-oral"))</f>
        <v>0</v>
      </c>
      <c r="R781">
        <f>AND(IF(Metadata!D781="",FALSE,TRUE),exact(Metadata!D781,"human oral metagenome"))</f>
        <v>0</v>
      </c>
      <c r="S781">
        <f>AND(IF(Metadata!E781="",FALSE,TRUE),exact(Metadata!E781,"447426"))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AND(IF(Metadata!C782="",FALSE,TRUE),exact(Metadata!C782,"human-oral"))</f>
        <v>0</v>
      </c>
      <c r="R782">
        <f>AND(IF(Metadata!D782="",FALSE,TRUE),exact(Metadata!D782,"human oral metagenome"))</f>
        <v>0</v>
      </c>
      <c r="S782">
        <f>AND(IF(Metadata!E782="",FALSE,TRUE),exact(Metadata!E782,"447426"))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AND(IF(Metadata!C783="",FALSE,TRUE),exact(Metadata!C783,"human-oral"))</f>
        <v>0</v>
      </c>
      <c r="R783">
        <f>AND(IF(Metadata!D783="",FALSE,TRUE),exact(Metadata!D783,"human oral metagenome"))</f>
        <v>0</v>
      </c>
      <c r="S783">
        <f>AND(IF(Metadata!E783="",FALSE,TRUE),exact(Metadata!E783,"447426"))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AND(IF(Metadata!C784="",FALSE,TRUE),exact(Metadata!C784,"human-oral"))</f>
        <v>0</v>
      </c>
      <c r="R784">
        <f>AND(IF(Metadata!D784="",FALSE,TRUE),exact(Metadata!D784,"human oral metagenome"))</f>
        <v>0</v>
      </c>
      <c r="S784">
        <f>AND(IF(Metadata!E784="",FALSE,TRUE),exact(Metadata!E784,"447426"))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AND(IF(Metadata!C785="",FALSE,TRUE),exact(Metadata!C785,"human-oral"))</f>
        <v>0</v>
      </c>
      <c r="R785">
        <f>AND(IF(Metadata!D785="",FALSE,TRUE),exact(Metadata!D785,"human oral metagenome"))</f>
        <v>0</v>
      </c>
      <c r="S785">
        <f>AND(IF(Metadata!E785="",FALSE,TRUE),exact(Metadata!E785,"447426"))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AND(IF(Metadata!C786="",FALSE,TRUE),exact(Metadata!C786,"human-oral"))</f>
        <v>0</v>
      </c>
      <c r="R786">
        <f>AND(IF(Metadata!D786="",FALSE,TRUE),exact(Metadata!D786,"human oral metagenome"))</f>
        <v>0</v>
      </c>
      <c r="S786">
        <f>AND(IF(Metadata!E786="",FALSE,TRUE),exact(Metadata!E786,"447426"))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AND(IF(Metadata!C787="",FALSE,TRUE),exact(Metadata!C787,"human-oral"))</f>
        <v>0</v>
      </c>
      <c r="R787">
        <f>AND(IF(Metadata!D787="",FALSE,TRUE),exact(Metadata!D787,"human oral metagenome"))</f>
        <v>0</v>
      </c>
      <c r="S787">
        <f>AND(IF(Metadata!E787="",FALSE,TRUE),exact(Metadata!E787,"447426"))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AND(IF(Metadata!C788="",FALSE,TRUE),exact(Metadata!C788,"human-oral"))</f>
        <v>0</v>
      </c>
      <c r="R788">
        <f>AND(IF(Metadata!D788="",FALSE,TRUE),exact(Metadata!D788,"human oral metagenome"))</f>
        <v>0</v>
      </c>
      <c r="S788">
        <f>AND(IF(Metadata!E788="",FALSE,TRUE),exact(Metadata!E788,"447426"))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AND(IF(Metadata!C789="",FALSE,TRUE),exact(Metadata!C789,"human-oral"))</f>
        <v>0</v>
      </c>
      <c r="R789">
        <f>AND(IF(Metadata!D789="",FALSE,TRUE),exact(Metadata!D789,"human oral metagenome"))</f>
        <v>0</v>
      </c>
      <c r="S789">
        <f>AND(IF(Metadata!E789="",FALSE,TRUE),exact(Metadata!E789,"447426"))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AND(IF(Metadata!C790="",FALSE,TRUE),exact(Metadata!C790,"human-oral"))</f>
        <v>0</v>
      </c>
      <c r="R790">
        <f>AND(IF(Metadata!D790="",FALSE,TRUE),exact(Metadata!D790,"human oral metagenome"))</f>
        <v>0</v>
      </c>
      <c r="S790">
        <f>AND(IF(Metadata!E790="",FALSE,TRUE),exact(Metadata!E790,"447426"))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AND(IF(Metadata!C791="",FALSE,TRUE),exact(Metadata!C791,"human-oral"))</f>
        <v>0</v>
      </c>
      <c r="R791">
        <f>AND(IF(Metadata!D791="",FALSE,TRUE),exact(Metadata!D791,"human oral metagenome"))</f>
        <v>0</v>
      </c>
      <c r="S791">
        <f>AND(IF(Metadata!E791="",FALSE,TRUE),exact(Metadata!E791,"447426"))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AND(IF(Metadata!C792="",FALSE,TRUE),exact(Metadata!C792,"human-oral"))</f>
        <v>0</v>
      </c>
      <c r="R792">
        <f>AND(IF(Metadata!D792="",FALSE,TRUE),exact(Metadata!D792,"human oral metagenome"))</f>
        <v>0</v>
      </c>
      <c r="S792">
        <f>AND(IF(Metadata!E792="",FALSE,TRUE),exact(Metadata!E792,"447426"))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AND(IF(Metadata!C793="",FALSE,TRUE),exact(Metadata!C793,"human-oral"))</f>
        <v>0</v>
      </c>
      <c r="R793">
        <f>AND(IF(Metadata!D793="",FALSE,TRUE),exact(Metadata!D793,"human oral metagenome"))</f>
        <v>0</v>
      </c>
      <c r="S793">
        <f>AND(IF(Metadata!E793="",FALSE,TRUE),exact(Metadata!E793,"447426"))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AND(IF(Metadata!C794="",FALSE,TRUE),exact(Metadata!C794,"human-oral"))</f>
        <v>0</v>
      </c>
      <c r="R794">
        <f>AND(IF(Metadata!D794="",FALSE,TRUE),exact(Metadata!D794,"human oral metagenome"))</f>
        <v>0</v>
      </c>
      <c r="S794">
        <f>AND(IF(Metadata!E794="",FALSE,TRUE),exact(Metadata!E794,"447426"))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AND(IF(Metadata!C795="",FALSE,TRUE),exact(Metadata!C795,"human-oral"))</f>
        <v>0</v>
      </c>
      <c r="R795">
        <f>AND(IF(Metadata!D795="",FALSE,TRUE),exact(Metadata!D795,"human oral metagenome"))</f>
        <v>0</v>
      </c>
      <c r="S795">
        <f>AND(IF(Metadata!E795="",FALSE,TRUE),exact(Metadata!E795,"447426"))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AND(IF(Metadata!C796="",FALSE,TRUE),exact(Metadata!C796,"human-oral"))</f>
        <v>0</v>
      </c>
      <c r="R796">
        <f>AND(IF(Metadata!D796="",FALSE,TRUE),exact(Metadata!D796,"human oral metagenome"))</f>
        <v>0</v>
      </c>
      <c r="S796">
        <f>AND(IF(Metadata!E796="",FALSE,TRUE),exact(Metadata!E796,"447426"))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AND(IF(Metadata!C797="",FALSE,TRUE),exact(Metadata!C797,"human-oral"))</f>
        <v>0</v>
      </c>
      <c r="R797">
        <f>AND(IF(Metadata!D797="",FALSE,TRUE),exact(Metadata!D797,"human oral metagenome"))</f>
        <v>0</v>
      </c>
      <c r="S797">
        <f>AND(IF(Metadata!E797="",FALSE,TRUE),exact(Metadata!E797,"447426"))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AND(IF(Metadata!C798="",FALSE,TRUE),exact(Metadata!C798,"human-oral"))</f>
        <v>0</v>
      </c>
      <c r="R798">
        <f>AND(IF(Metadata!D798="",FALSE,TRUE),exact(Metadata!D798,"human oral metagenome"))</f>
        <v>0</v>
      </c>
      <c r="S798">
        <f>AND(IF(Metadata!E798="",FALSE,TRUE),exact(Metadata!E798,"447426"))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AND(IF(Metadata!C799="",FALSE,TRUE),exact(Metadata!C799,"human-oral"))</f>
        <v>0</v>
      </c>
      <c r="R799">
        <f>AND(IF(Metadata!D799="",FALSE,TRUE),exact(Metadata!D799,"human oral metagenome"))</f>
        <v>0</v>
      </c>
      <c r="S799">
        <f>AND(IF(Metadata!E799="",FALSE,TRUE),exact(Metadata!E799,"447426"))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AND(IF(Metadata!C800="",FALSE,TRUE),exact(Metadata!C800,"human-oral"))</f>
        <v>0</v>
      </c>
      <c r="R800">
        <f>AND(IF(Metadata!D800="",FALSE,TRUE),exact(Metadata!D800,"human oral metagenome"))</f>
        <v>0</v>
      </c>
      <c r="S800">
        <f>AND(IF(Metadata!E800="",FALSE,TRUE),exact(Metadata!E800,"447426"))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AND(IF(Metadata!C801="",FALSE,TRUE),exact(Metadata!C801,"human-oral"))</f>
        <v>0</v>
      </c>
      <c r="R801">
        <f>AND(IF(Metadata!D801="",FALSE,TRUE),exact(Metadata!D801,"human oral metagenome"))</f>
        <v>0</v>
      </c>
      <c r="S801">
        <f>AND(IF(Metadata!E801="",FALSE,TRUE),exact(Metadata!E801,"447426"))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AND(IF(Metadata!C802="",FALSE,TRUE),exact(Metadata!C802,"human-oral"))</f>
        <v>0</v>
      </c>
      <c r="R802">
        <f>AND(IF(Metadata!D802="",FALSE,TRUE),exact(Metadata!D802,"human oral metagenome"))</f>
        <v>0</v>
      </c>
      <c r="S802">
        <f>AND(IF(Metadata!E802="",FALSE,TRUE),exact(Metadata!E802,"447426"))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AND(IF(Metadata!C803="",FALSE,TRUE),exact(Metadata!C803,"human-oral"))</f>
        <v>0</v>
      </c>
      <c r="R803">
        <f>AND(IF(Metadata!D803="",FALSE,TRUE),exact(Metadata!D803,"human oral metagenome"))</f>
        <v>0</v>
      </c>
      <c r="S803">
        <f>AND(IF(Metadata!E803="",FALSE,TRUE),exact(Metadata!E803,"447426"))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AND(IF(Metadata!C804="",FALSE,TRUE),exact(Metadata!C804,"human-oral"))</f>
        <v>0</v>
      </c>
      <c r="R804">
        <f>AND(IF(Metadata!D804="",FALSE,TRUE),exact(Metadata!D804,"human oral metagenome"))</f>
        <v>0</v>
      </c>
      <c r="S804">
        <f>AND(IF(Metadata!E804="",FALSE,TRUE),exact(Metadata!E804,"447426"))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AND(IF(Metadata!C805="",FALSE,TRUE),exact(Metadata!C805,"human-oral"))</f>
        <v>0</v>
      </c>
      <c r="R805">
        <f>AND(IF(Metadata!D805="",FALSE,TRUE),exact(Metadata!D805,"human oral metagenome"))</f>
        <v>0</v>
      </c>
      <c r="S805">
        <f>AND(IF(Metadata!E805="",FALSE,TRUE),exact(Metadata!E805,"447426"))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AND(IF(Metadata!C806="",FALSE,TRUE),exact(Metadata!C806,"human-oral"))</f>
        <v>0</v>
      </c>
      <c r="R806">
        <f>AND(IF(Metadata!D806="",FALSE,TRUE),exact(Metadata!D806,"human oral metagenome"))</f>
        <v>0</v>
      </c>
      <c r="S806">
        <f>AND(IF(Metadata!E806="",FALSE,TRUE),exact(Metadata!E806,"447426"))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AND(IF(Metadata!C807="",FALSE,TRUE),exact(Metadata!C807,"human-oral"))</f>
        <v>0</v>
      </c>
      <c r="R807">
        <f>AND(IF(Metadata!D807="",FALSE,TRUE),exact(Metadata!D807,"human oral metagenome"))</f>
        <v>0</v>
      </c>
      <c r="S807">
        <f>AND(IF(Metadata!E807="",FALSE,TRUE),exact(Metadata!E807,"447426"))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AND(IF(Metadata!C808="",FALSE,TRUE),exact(Metadata!C808,"human-oral"))</f>
        <v>0</v>
      </c>
      <c r="R808">
        <f>AND(IF(Metadata!D808="",FALSE,TRUE),exact(Metadata!D808,"human oral metagenome"))</f>
        <v>0</v>
      </c>
      <c r="S808">
        <f>AND(IF(Metadata!E808="",FALSE,TRUE),exact(Metadata!E808,"447426"))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AND(IF(Metadata!C809="",FALSE,TRUE),exact(Metadata!C809,"human-oral"))</f>
        <v>0</v>
      </c>
      <c r="R809">
        <f>AND(IF(Metadata!D809="",FALSE,TRUE),exact(Metadata!D809,"human oral metagenome"))</f>
        <v>0</v>
      </c>
      <c r="S809">
        <f>AND(IF(Metadata!E809="",FALSE,TRUE),exact(Metadata!E809,"447426"))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AND(IF(Metadata!C810="",FALSE,TRUE),exact(Metadata!C810,"human-oral"))</f>
        <v>0</v>
      </c>
      <c r="R810">
        <f>AND(IF(Metadata!D810="",FALSE,TRUE),exact(Metadata!D810,"human oral metagenome"))</f>
        <v>0</v>
      </c>
      <c r="S810">
        <f>AND(IF(Metadata!E810="",FALSE,TRUE),exact(Metadata!E810,"447426"))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AND(IF(Metadata!C811="",FALSE,TRUE),exact(Metadata!C811,"human-oral"))</f>
        <v>0</v>
      </c>
      <c r="R811">
        <f>AND(IF(Metadata!D811="",FALSE,TRUE),exact(Metadata!D811,"human oral metagenome"))</f>
        <v>0</v>
      </c>
      <c r="S811">
        <f>AND(IF(Metadata!E811="",FALSE,TRUE),exact(Metadata!E811,"447426"))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AND(IF(Metadata!C812="",FALSE,TRUE),exact(Metadata!C812,"human-oral"))</f>
        <v>0</v>
      </c>
      <c r="R812">
        <f>AND(IF(Metadata!D812="",FALSE,TRUE),exact(Metadata!D812,"human oral metagenome"))</f>
        <v>0</v>
      </c>
      <c r="S812">
        <f>AND(IF(Metadata!E812="",FALSE,TRUE),exact(Metadata!E812,"447426"))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AND(IF(Metadata!C813="",FALSE,TRUE),exact(Metadata!C813,"human-oral"))</f>
        <v>0</v>
      </c>
      <c r="R813">
        <f>AND(IF(Metadata!D813="",FALSE,TRUE),exact(Metadata!D813,"human oral metagenome"))</f>
        <v>0</v>
      </c>
      <c r="S813">
        <f>AND(IF(Metadata!E813="",FALSE,TRUE),exact(Metadata!E813,"447426"))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AND(IF(Metadata!C814="",FALSE,TRUE),exact(Metadata!C814,"human-oral"))</f>
        <v>0</v>
      </c>
      <c r="R814">
        <f>AND(IF(Metadata!D814="",FALSE,TRUE),exact(Metadata!D814,"human oral metagenome"))</f>
        <v>0</v>
      </c>
      <c r="S814">
        <f>AND(IF(Metadata!E814="",FALSE,TRUE),exact(Metadata!E814,"447426"))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AND(IF(Metadata!C815="",FALSE,TRUE),exact(Metadata!C815,"human-oral"))</f>
        <v>0</v>
      </c>
      <c r="R815">
        <f>AND(IF(Metadata!D815="",FALSE,TRUE),exact(Metadata!D815,"human oral metagenome"))</f>
        <v>0</v>
      </c>
      <c r="S815">
        <f>AND(IF(Metadata!E815="",FALSE,TRUE),exact(Metadata!E815,"447426"))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AND(IF(Metadata!C816="",FALSE,TRUE),exact(Metadata!C816,"human-oral"))</f>
        <v>0</v>
      </c>
      <c r="R816">
        <f>AND(IF(Metadata!D816="",FALSE,TRUE),exact(Metadata!D816,"human oral metagenome"))</f>
        <v>0</v>
      </c>
      <c r="S816">
        <f>AND(IF(Metadata!E816="",FALSE,TRUE),exact(Metadata!E816,"447426"))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AND(IF(Metadata!C817="",FALSE,TRUE),exact(Metadata!C817,"human-oral"))</f>
        <v>0</v>
      </c>
      <c r="R817">
        <f>AND(IF(Metadata!D817="",FALSE,TRUE),exact(Metadata!D817,"human oral metagenome"))</f>
        <v>0</v>
      </c>
      <c r="S817">
        <f>AND(IF(Metadata!E817="",FALSE,TRUE),exact(Metadata!E817,"447426"))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AND(IF(Metadata!C818="",FALSE,TRUE),exact(Metadata!C818,"human-oral"))</f>
        <v>0</v>
      </c>
      <c r="R818">
        <f>AND(IF(Metadata!D818="",FALSE,TRUE),exact(Metadata!D818,"human oral metagenome"))</f>
        <v>0</v>
      </c>
      <c r="S818">
        <f>AND(IF(Metadata!E818="",FALSE,TRUE),exact(Metadata!E818,"447426"))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AND(IF(Metadata!C819="",FALSE,TRUE),exact(Metadata!C819,"human-oral"))</f>
        <v>0</v>
      </c>
      <c r="R819">
        <f>AND(IF(Metadata!D819="",FALSE,TRUE),exact(Metadata!D819,"human oral metagenome"))</f>
        <v>0</v>
      </c>
      <c r="S819">
        <f>AND(IF(Metadata!E819="",FALSE,TRUE),exact(Metadata!E819,"447426"))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AND(IF(Metadata!C820="",FALSE,TRUE),exact(Metadata!C820,"human-oral"))</f>
        <v>0</v>
      </c>
      <c r="R820">
        <f>AND(IF(Metadata!D820="",FALSE,TRUE),exact(Metadata!D820,"human oral metagenome"))</f>
        <v>0</v>
      </c>
      <c r="S820">
        <f>AND(IF(Metadata!E820="",FALSE,TRUE),exact(Metadata!E820,"447426"))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AND(IF(Metadata!C821="",FALSE,TRUE),exact(Metadata!C821,"human-oral"))</f>
        <v>0</v>
      </c>
      <c r="R821">
        <f>AND(IF(Metadata!D821="",FALSE,TRUE),exact(Metadata!D821,"human oral metagenome"))</f>
        <v>0</v>
      </c>
      <c r="S821">
        <f>AND(IF(Metadata!E821="",FALSE,TRUE),exact(Metadata!E821,"447426"))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AND(IF(Metadata!C822="",FALSE,TRUE),exact(Metadata!C822,"human-oral"))</f>
        <v>0</v>
      </c>
      <c r="R822">
        <f>AND(IF(Metadata!D822="",FALSE,TRUE),exact(Metadata!D822,"human oral metagenome"))</f>
        <v>0</v>
      </c>
      <c r="S822">
        <f>AND(IF(Metadata!E822="",FALSE,TRUE),exact(Metadata!E822,"447426"))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AND(IF(Metadata!C823="",FALSE,TRUE),exact(Metadata!C823,"human-oral"))</f>
        <v>0</v>
      </c>
      <c r="R823">
        <f>AND(IF(Metadata!D823="",FALSE,TRUE),exact(Metadata!D823,"human oral metagenome"))</f>
        <v>0</v>
      </c>
      <c r="S823">
        <f>AND(IF(Metadata!E823="",FALSE,TRUE),exact(Metadata!E823,"447426"))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AND(IF(Metadata!C824="",FALSE,TRUE),exact(Metadata!C824,"human-oral"))</f>
        <v>0</v>
      </c>
      <c r="R824">
        <f>AND(IF(Metadata!D824="",FALSE,TRUE),exact(Metadata!D824,"human oral metagenome"))</f>
        <v>0</v>
      </c>
      <c r="S824">
        <f>AND(IF(Metadata!E824="",FALSE,TRUE),exact(Metadata!E824,"447426"))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AND(IF(Metadata!C825="",FALSE,TRUE),exact(Metadata!C825,"human-oral"))</f>
        <v>0</v>
      </c>
      <c r="R825">
        <f>AND(IF(Metadata!D825="",FALSE,TRUE),exact(Metadata!D825,"human oral metagenome"))</f>
        <v>0</v>
      </c>
      <c r="S825">
        <f>AND(IF(Metadata!E825="",FALSE,TRUE),exact(Metadata!E825,"447426"))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AND(IF(Metadata!C826="",FALSE,TRUE),exact(Metadata!C826,"human-oral"))</f>
        <v>0</v>
      </c>
      <c r="R826">
        <f>AND(IF(Metadata!D826="",FALSE,TRUE),exact(Metadata!D826,"human oral metagenome"))</f>
        <v>0</v>
      </c>
      <c r="S826">
        <f>AND(IF(Metadata!E826="",FALSE,TRUE),exact(Metadata!E826,"447426"))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AND(IF(Metadata!C827="",FALSE,TRUE),exact(Metadata!C827,"human-oral"))</f>
        <v>0</v>
      </c>
      <c r="R827">
        <f>AND(IF(Metadata!D827="",FALSE,TRUE),exact(Metadata!D827,"human oral metagenome"))</f>
        <v>0</v>
      </c>
      <c r="S827">
        <f>AND(IF(Metadata!E827="",FALSE,TRUE),exact(Metadata!E827,"447426"))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AND(IF(Metadata!C828="",FALSE,TRUE),exact(Metadata!C828,"human-oral"))</f>
        <v>0</v>
      </c>
      <c r="R828">
        <f>AND(IF(Metadata!D828="",FALSE,TRUE),exact(Metadata!D828,"human oral metagenome"))</f>
        <v>0</v>
      </c>
      <c r="S828">
        <f>AND(IF(Metadata!E828="",FALSE,TRUE),exact(Metadata!E828,"447426"))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AND(IF(Metadata!C829="",FALSE,TRUE),exact(Metadata!C829,"human-oral"))</f>
        <v>0</v>
      </c>
      <c r="R829">
        <f>AND(IF(Metadata!D829="",FALSE,TRUE),exact(Metadata!D829,"human oral metagenome"))</f>
        <v>0</v>
      </c>
      <c r="S829">
        <f>AND(IF(Metadata!E829="",FALSE,TRUE),exact(Metadata!E829,"447426"))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AND(IF(Metadata!C830="",FALSE,TRUE),exact(Metadata!C830,"human-oral"))</f>
        <v>0</v>
      </c>
      <c r="R830">
        <f>AND(IF(Metadata!D830="",FALSE,TRUE),exact(Metadata!D830,"human oral metagenome"))</f>
        <v>0</v>
      </c>
      <c r="S830">
        <f>AND(IF(Metadata!E830="",FALSE,TRUE),exact(Metadata!E830,"447426"))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AND(IF(Metadata!C831="",FALSE,TRUE),exact(Metadata!C831,"human-oral"))</f>
        <v>0</v>
      </c>
      <c r="R831">
        <f>AND(IF(Metadata!D831="",FALSE,TRUE),exact(Metadata!D831,"human oral metagenome"))</f>
        <v>0</v>
      </c>
      <c r="S831">
        <f>AND(IF(Metadata!E831="",FALSE,TRUE),exact(Metadata!E831,"447426"))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AND(IF(Metadata!C832="",FALSE,TRUE),exact(Metadata!C832,"human-oral"))</f>
        <v>0</v>
      </c>
      <c r="R832">
        <f>AND(IF(Metadata!D832="",FALSE,TRUE),exact(Metadata!D832,"human oral metagenome"))</f>
        <v>0</v>
      </c>
      <c r="S832">
        <f>AND(IF(Metadata!E832="",FALSE,TRUE),exact(Metadata!E832,"447426"))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AND(IF(Metadata!C833="",FALSE,TRUE),exact(Metadata!C833,"human-oral"))</f>
        <v>0</v>
      </c>
      <c r="R833">
        <f>AND(IF(Metadata!D833="",FALSE,TRUE),exact(Metadata!D833,"human oral metagenome"))</f>
        <v>0</v>
      </c>
      <c r="S833">
        <f>AND(IF(Metadata!E833="",FALSE,TRUE),exact(Metadata!E833,"447426"))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AND(IF(Metadata!C834="",FALSE,TRUE),exact(Metadata!C834,"human-oral"))</f>
        <v>0</v>
      </c>
      <c r="R834">
        <f>AND(IF(Metadata!D834="",FALSE,TRUE),exact(Metadata!D834,"human oral metagenome"))</f>
        <v>0</v>
      </c>
      <c r="S834">
        <f>AND(IF(Metadata!E834="",FALSE,TRUE),exact(Metadata!E834,"447426"))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AND(IF(Metadata!C835="",FALSE,TRUE),exact(Metadata!C835,"human-oral"))</f>
        <v>0</v>
      </c>
      <c r="R835">
        <f>AND(IF(Metadata!D835="",FALSE,TRUE),exact(Metadata!D835,"human oral metagenome"))</f>
        <v>0</v>
      </c>
      <c r="S835">
        <f>AND(IF(Metadata!E835="",FALSE,TRUE),exact(Metadata!E835,"447426"))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AND(IF(Metadata!C836="",FALSE,TRUE),exact(Metadata!C836,"human-oral"))</f>
        <v>0</v>
      </c>
      <c r="R836">
        <f>AND(IF(Metadata!D836="",FALSE,TRUE),exact(Metadata!D836,"human oral metagenome"))</f>
        <v>0</v>
      </c>
      <c r="S836">
        <f>AND(IF(Metadata!E836="",FALSE,TRUE),exact(Metadata!E836,"447426"))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AND(IF(Metadata!C837="",FALSE,TRUE),exact(Metadata!C837,"human-oral"))</f>
        <v>0</v>
      </c>
      <c r="R837">
        <f>AND(IF(Metadata!D837="",FALSE,TRUE),exact(Metadata!D837,"human oral metagenome"))</f>
        <v>0</v>
      </c>
      <c r="S837">
        <f>AND(IF(Metadata!E837="",FALSE,TRUE),exact(Metadata!E837,"447426"))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AND(IF(Metadata!C838="",FALSE,TRUE),exact(Metadata!C838,"human-oral"))</f>
        <v>0</v>
      </c>
      <c r="R838">
        <f>AND(IF(Metadata!D838="",FALSE,TRUE),exact(Metadata!D838,"human oral metagenome"))</f>
        <v>0</v>
      </c>
      <c r="S838">
        <f>AND(IF(Metadata!E838="",FALSE,TRUE),exact(Metadata!E838,"447426"))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AND(IF(Metadata!C839="",FALSE,TRUE),exact(Metadata!C839,"human-oral"))</f>
        <v>0</v>
      </c>
      <c r="R839">
        <f>AND(IF(Metadata!D839="",FALSE,TRUE),exact(Metadata!D839,"human oral metagenome"))</f>
        <v>0</v>
      </c>
      <c r="S839">
        <f>AND(IF(Metadata!E839="",FALSE,TRUE),exact(Metadata!E839,"447426"))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AND(IF(Metadata!C840="",FALSE,TRUE),exact(Metadata!C840,"human-oral"))</f>
        <v>0</v>
      </c>
      <c r="R840">
        <f>AND(IF(Metadata!D840="",FALSE,TRUE),exact(Metadata!D840,"human oral metagenome"))</f>
        <v>0</v>
      </c>
      <c r="S840">
        <f>AND(IF(Metadata!E840="",FALSE,TRUE),exact(Metadata!E840,"447426"))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AND(IF(Metadata!C841="",FALSE,TRUE),exact(Metadata!C841,"human-oral"))</f>
        <v>0</v>
      </c>
      <c r="R841">
        <f>AND(IF(Metadata!D841="",FALSE,TRUE),exact(Metadata!D841,"human oral metagenome"))</f>
        <v>0</v>
      </c>
      <c r="S841">
        <f>AND(IF(Metadata!E841="",FALSE,TRUE),exact(Metadata!E841,"447426"))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AND(IF(Metadata!C842="",FALSE,TRUE),exact(Metadata!C842,"human-oral"))</f>
        <v>0</v>
      </c>
      <c r="R842">
        <f>AND(IF(Metadata!D842="",FALSE,TRUE),exact(Metadata!D842,"human oral metagenome"))</f>
        <v>0</v>
      </c>
      <c r="S842">
        <f>AND(IF(Metadata!E842="",FALSE,TRUE),exact(Metadata!E842,"447426"))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AND(IF(Metadata!C843="",FALSE,TRUE),exact(Metadata!C843,"human-oral"))</f>
        <v>0</v>
      </c>
      <c r="R843">
        <f>AND(IF(Metadata!D843="",FALSE,TRUE),exact(Metadata!D843,"human oral metagenome"))</f>
        <v>0</v>
      </c>
      <c r="S843">
        <f>AND(IF(Metadata!E843="",FALSE,TRUE),exact(Metadata!E843,"447426"))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AND(IF(Metadata!C844="",FALSE,TRUE),exact(Metadata!C844,"human-oral"))</f>
        <v>0</v>
      </c>
      <c r="R844">
        <f>AND(IF(Metadata!D844="",FALSE,TRUE),exact(Metadata!D844,"human oral metagenome"))</f>
        <v>0</v>
      </c>
      <c r="S844">
        <f>AND(IF(Metadata!E844="",FALSE,TRUE),exact(Metadata!E844,"447426"))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AND(IF(Metadata!C845="",FALSE,TRUE),exact(Metadata!C845,"human-oral"))</f>
        <v>0</v>
      </c>
      <c r="R845">
        <f>AND(IF(Metadata!D845="",FALSE,TRUE),exact(Metadata!D845,"human oral metagenome"))</f>
        <v>0</v>
      </c>
      <c r="S845">
        <f>AND(IF(Metadata!E845="",FALSE,TRUE),exact(Metadata!E845,"447426"))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AND(IF(Metadata!C846="",FALSE,TRUE),exact(Metadata!C846,"human-oral"))</f>
        <v>0</v>
      </c>
      <c r="R846">
        <f>AND(IF(Metadata!D846="",FALSE,TRUE),exact(Metadata!D846,"human oral metagenome"))</f>
        <v>0</v>
      </c>
      <c r="S846">
        <f>AND(IF(Metadata!E846="",FALSE,TRUE),exact(Metadata!E846,"447426"))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AND(IF(Metadata!C847="",FALSE,TRUE),exact(Metadata!C847,"human-oral"))</f>
        <v>0</v>
      </c>
      <c r="R847">
        <f>AND(IF(Metadata!D847="",FALSE,TRUE),exact(Metadata!D847,"human oral metagenome"))</f>
        <v>0</v>
      </c>
      <c r="S847">
        <f>AND(IF(Metadata!E847="",FALSE,TRUE),exact(Metadata!E847,"447426"))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AND(IF(Metadata!C848="",FALSE,TRUE),exact(Metadata!C848,"human-oral"))</f>
        <v>0</v>
      </c>
      <c r="R848">
        <f>AND(IF(Metadata!D848="",FALSE,TRUE),exact(Metadata!D848,"human oral metagenome"))</f>
        <v>0</v>
      </c>
      <c r="S848">
        <f>AND(IF(Metadata!E848="",FALSE,TRUE),exact(Metadata!E848,"447426"))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AND(IF(Metadata!C849="",FALSE,TRUE),exact(Metadata!C849,"human-oral"))</f>
        <v>0</v>
      </c>
      <c r="R849">
        <f>AND(IF(Metadata!D849="",FALSE,TRUE),exact(Metadata!D849,"human oral metagenome"))</f>
        <v>0</v>
      </c>
      <c r="S849">
        <f>AND(IF(Metadata!E849="",FALSE,TRUE),exact(Metadata!E849,"447426"))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AND(IF(Metadata!C850="",FALSE,TRUE),exact(Metadata!C850,"human-oral"))</f>
        <v>0</v>
      </c>
      <c r="R850">
        <f>AND(IF(Metadata!D850="",FALSE,TRUE),exact(Metadata!D850,"human oral metagenome"))</f>
        <v>0</v>
      </c>
      <c r="S850">
        <f>AND(IF(Metadata!E850="",FALSE,TRUE),exact(Metadata!E850,"447426"))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AND(IF(Metadata!C851="",FALSE,TRUE),exact(Metadata!C851,"human-oral"))</f>
        <v>0</v>
      </c>
      <c r="R851">
        <f>AND(IF(Metadata!D851="",FALSE,TRUE),exact(Metadata!D851,"human oral metagenome"))</f>
        <v>0</v>
      </c>
      <c r="S851">
        <f>AND(IF(Metadata!E851="",FALSE,TRUE),exact(Metadata!E851,"447426"))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AND(IF(Metadata!C852="",FALSE,TRUE),exact(Metadata!C852,"human-oral"))</f>
        <v>0</v>
      </c>
      <c r="R852">
        <f>AND(IF(Metadata!D852="",FALSE,TRUE),exact(Metadata!D852,"human oral metagenome"))</f>
        <v>0</v>
      </c>
      <c r="S852">
        <f>AND(IF(Metadata!E852="",FALSE,TRUE),exact(Metadata!E852,"447426"))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AND(IF(Metadata!C853="",FALSE,TRUE),exact(Metadata!C853,"human-oral"))</f>
        <v>0</v>
      </c>
      <c r="R853">
        <f>AND(IF(Metadata!D853="",FALSE,TRUE),exact(Metadata!D853,"human oral metagenome"))</f>
        <v>0</v>
      </c>
      <c r="S853">
        <f>AND(IF(Metadata!E853="",FALSE,TRUE),exact(Metadata!E853,"447426"))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AND(IF(Metadata!C854="",FALSE,TRUE),exact(Metadata!C854,"human-oral"))</f>
        <v>0</v>
      </c>
      <c r="R854">
        <f>AND(IF(Metadata!D854="",FALSE,TRUE),exact(Metadata!D854,"human oral metagenome"))</f>
        <v>0</v>
      </c>
      <c r="S854">
        <f>AND(IF(Metadata!E854="",FALSE,TRUE),exact(Metadata!E854,"447426"))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AND(IF(Metadata!C855="",FALSE,TRUE),exact(Metadata!C855,"human-oral"))</f>
        <v>0</v>
      </c>
      <c r="R855">
        <f>AND(IF(Metadata!D855="",FALSE,TRUE),exact(Metadata!D855,"human oral metagenome"))</f>
        <v>0</v>
      </c>
      <c r="S855">
        <f>AND(IF(Metadata!E855="",FALSE,TRUE),exact(Metadata!E855,"447426"))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AND(IF(Metadata!C856="",FALSE,TRUE),exact(Metadata!C856,"human-oral"))</f>
        <v>0</v>
      </c>
      <c r="R856">
        <f>AND(IF(Metadata!D856="",FALSE,TRUE),exact(Metadata!D856,"human oral metagenome"))</f>
        <v>0</v>
      </c>
      <c r="S856">
        <f>AND(IF(Metadata!E856="",FALSE,TRUE),exact(Metadata!E856,"447426"))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AND(IF(Metadata!C857="",FALSE,TRUE),exact(Metadata!C857,"human-oral"))</f>
        <v>0</v>
      </c>
      <c r="R857">
        <f>AND(IF(Metadata!D857="",FALSE,TRUE),exact(Metadata!D857,"human oral metagenome"))</f>
        <v>0</v>
      </c>
      <c r="S857">
        <f>AND(IF(Metadata!E857="",FALSE,TRUE),exact(Metadata!E857,"447426"))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AND(IF(Metadata!C858="",FALSE,TRUE),exact(Metadata!C858,"human-oral"))</f>
        <v>0</v>
      </c>
      <c r="R858">
        <f>AND(IF(Metadata!D858="",FALSE,TRUE),exact(Metadata!D858,"human oral metagenome"))</f>
        <v>0</v>
      </c>
      <c r="S858">
        <f>AND(IF(Metadata!E858="",FALSE,TRUE),exact(Metadata!E858,"447426"))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AND(IF(Metadata!C859="",FALSE,TRUE),exact(Metadata!C859,"human-oral"))</f>
        <v>0</v>
      </c>
      <c r="R859">
        <f>AND(IF(Metadata!D859="",FALSE,TRUE),exact(Metadata!D859,"human oral metagenome"))</f>
        <v>0</v>
      </c>
      <c r="S859">
        <f>AND(IF(Metadata!E859="",FALSE,TRUE),exact(Metadata!E859,"447426"))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AND(IF(Metadata!C860="",FALSE,TRUE),exact(Metadata!C860,"human-oral"))</f>
        <v>0</v>
      </c>
      <c r="R860">
        <f>AND(IF(Metadata!D860="",FALSE,TRUE),exact(Metadata!D860,"human oral metagenome"))</f>
        <v>0</v>
      </c>
      <c r="S860">
        <f>AND(IF(Metadata!E860="",FALSE,TRUE),exact(Metadata!E860,"447426"))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AND(IF(Metadata!C861="",FALSE,TRUE),exact(Metadata!C861,"human-oral"))</f>
        <v>0</v>
      </c>
      <c r="R861">
        <f>AND(IF(Metadata!D861="",FALSE,TRUE),exact(Metadata!D861,"human oral metagenome"))</f>
        <v>0</v>
      </c>
      <c r="S861">
        <f>AND(IF(Metadata!E861="",FALSE,TRUE),exact(Metadata!E861,"447426"))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AND(IF(Metadata!C862="",FALSE,TRUE),exact(Metadata!C862,"human-oral"))</f>
        <v>0</v>
      </c>
      <c r="R862">
        <f>AND(IF(Metadata!D862="",FALSE,TRUE),exact(Metadata!D862,"human oral metagenome"))</f>
        <v>0</v>
      </c>
      <c r="S862">
        <f>AND(IF(Metadata!E862="",FALSE,TRUE),exact(Metadata!E862,"447426"))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AND(IF(Metadata!C863="",FALSE,TRUE),exact(Metadata!C863,"human-oral"))</f>
        <v>0</v>
      </c>
      <c r="R863">
        <f>AND(IF(Metadata!D863="",FALSE,TRUE),exact(Metadata!D863,"human oral metagenome"))</f>
        <v>0</v>
      </c>
      <c r="S863">
        <f>AND(IF(Metadata!E863="",FALSE,TRUE),exact(Metadata!E863,"447426"))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AND(IF(Metadata!C864="",FALSE,TRUE),exact(Metadata!C864,"human-oral"))</f>
        <v>0</v>
      </c>
      <c r="R864">
        <f>AND(IF(Metadata!D864="",FALSE,TRUE),exact(Metadata!D864,"human oral metagenome"))</f>
        <v>0</v>
      </c>
      <c r="S864">
        <f>AND(IF(Metadata!E864="",FALSE,TRUE),exact(Metadata!E864,"447426"))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AND(IF(Metadata!C865="",FALSE,TRUE),exact(Metadata!C865,"human-oral"))</f>
        <v>0</v>
      </c>
      <c r="R865">
        <f>AND(IF(Metadata!D865="",FALSE,TRUE),exact(Metadata!D865,"human oral metagenome"))</f>
        <v>0</v>
      </c>
      <c r="S865">
        <f>AND(IF(Metadata!E865="",FALSE,TRUE),exact(Metadata!E865,"447426"))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AND(IF(Metadata!C866="",FALSE,TRUE),exact(Metadata!C866,"human-oral"))</f>
        <v>0</v>
      </c>
      <c r="R866">
        <f>AND(IF(Metadata!D866="",FALSE,TRUE),exact(Metadata!D866,"human oral metagenome"))</f>
        <v>0</v>
      </c>
      <c r="S866">
        <f>AND(IF(Metadata!E866="",FALSE,TRUE),exact(Metadata!E866,"447426"))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AND(IF(Metadata!C867="",FALSE,TRUE),exact(Metadata!C867,"human-oral"))</f>
        <v>0</v>
      </c>
      <c r="R867">
        <f>AND(IF(Metadata!D867="",FALSE,TRUE),exact(Metadata!D867,"human oral metagenome"))</f>
        <v>0</v>
      </c>
      <c r="S867">
        <f>AND(IF(Metadata!E867="",FALSE,TRUE),exact(Metadata!E867,"447426"))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AND(IF(Metadata!C868="",FALSE,TRUE),exact(Metadata!C868,"human-oral"))</f>
        <v>0</v>
      </c>
      <c r="R868">
        <f>AND(IF(Metadata!D868="",FALSE,TRUE),exact(Metadata!D868,"human oral metagenome"))</f>
        <v>0</v>
      </c>
      <c r="S868">
        <f>AND(IF(Metadata!E868="",FALSE,TRUE),exact(Metadata!E868,"447426"))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AND(IF(Metadata!C869="",FALSE,TRUE),exact(Metadata!C869,"human-oral"))</f>
        <v>0</v>
      </c>
      <c r="R869">
        <f>AND(IF(Metadata!D869="",FALSE,TRUE),exact(Metadata!D869,"human oral metagenome"))</f>
        <v>0</v>
      </c>
      <c r="S869">
        <f>AND(IF(Metadata!E869="",FALSE,TRUE),exact(Metadata!E869,"447426"))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AND(IF(Metadata!C870="",FALSE,TRUE),exact(Metadata!C870,"human-oral"))</f>
        <v>0</v>
      </c>
      <c r="R870">
        <f>AND(IF(Metadata!D870="",FALSE,TRUE),exact(Metadata!D870,"human oral metagenome"))</f>
        <v>0</v>
      </c>
      <c r="S870">
        <f>AND(IF(Metadata!E870="",FALSE,TRUE),exact(Metadata!E870,"447426"))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AND(IF(Metadata!C871="",FALSE,TRUE),exact(Metadata!C871,"human-oral"))</f>
        <v>0</v>
      </c>
      <c r="R871">
        <f>AND(IF(Metadata!D871="",FALSE,TRUE),exact(Metadata!D871,"human oral metagenome"))</f>
        <v>0</v>
      </c>
      <c r="S871">
        <f>AND(IF(Metadata!E871="",FALSE,TRUE),exact(Metadata!E871,"447426"))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AND(IF(Metadata!C872="",FALSE,TRUE),exact(Metadata!C872,"human-oral"))</f>
        <v>0</v>
      </c>
      <c r="R872">
        <f>AND(IF(Metadata!D872="",FALSE,TRUE),exact(Metadata!D872,"human oral metagenome"))</f>
        <v>0</v>
      </c>
      <c r="S872">
        <f>AND(IF(Metadata!E872="",FALSE,TRUE),exact(Metadata!E872,"447426"))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AND(IF(Metadata!C873="",FALSE,TRUE),exact(Metadata!C873,"human-oral"))</f>
        <v>0</v>
      </c>
      <c r="R873">
        <f>AND(IF(Metadata!D873="",FALSE,TRUE),exact(Metadata!D873,"human oral metagenome"))</f>
        <v>0</v>
      </c>
      <c r="S873">
        <f>AND(IF(Metadata!E873="",FALSE,TRUE),exact(Metadata!E873,"447426"))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AND(IF(Metadata!C874="",FALSE,TRUE),exact(Metadata!C874,"human-oral"))</f>
        <v>0</v>
      </c>
      <c r="R874">
        <f>AND(IF(Metadata!D874="",FALSE,TRUE),exact(Metadata!D874,"human oral metagenome"))</f>
        <v>0</v>
      </c>
      <c r="S874">
        <f>AND(IF(Metadata!E874="",FALSE,TRUE),exact(Metadata!E874,"447426"))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AND(IF(Metadata!C875="",FALSE,TRUE),exact(Metadata!C875,"human-oral"))</f>
        <v>0</v>
      </c>
      <c r="R875">
        <f>AND(IF(Metadata!D875="",FALSE,TRUE),exact(Metadata!D875,"human oral metagenome"))</f>
        <v>0</v>
      </c>
      <c r="S875">
        <f>AND(IF(Metadata!E875="",FALSE,TRUE),exact(Metadata!E875,"447426"))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AND(IF(Metadata!C876="",FALSE,TRUE),exact(Metadata!C876,"human-oral"))</f>
        <v>0</v>
      </c>
      <c r="R876">
        <f>AND(IF(Metadata!D876="",FALSE,TRUE),exact(Metadata!D876,"human oral metagenome"))</f>
        <v>0</v>
      </c>
      <c r="S876">
        <f>AND(IF(Metadata!E876="",FALSE,TRUE),exact(Metadata!E876,"447426"))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AND(IF(Metadata!C877="",FALSE,TRUE),exact(Metadata!C877,"human-oral"))</f>
        <v>0</v>
      </c>
      <c r="R877">
        <f>AND(IF(Metadata!D877="",FALSE,TRUE),exact(Metadata!D877,"human oral metagenome"))</f>
        <v>0</v>
      </c>
      <c r="S877">
        <f>AND(IF(Metadata!E877="",FALSE,TRUE),exact(Metadata!E877,"447426"))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AND(IF(Metadata!C878="",FALSE,TRUE),exact(Metadata!C878,"human-oral"))</f>
        <v>0</v>
      </c>
      <c r="R878">
        <f>AND(IF(Metadata!D878="",FALSE,TRUE),exact(Metadata!D878,"human oral metagenome"))</f>
        <v>0</v>
      </c>
      <c r="S878">
        <f>AND(IF(Metadata!E878="",FALSE,TRUE),exact(Metadata!E878,"447426"))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AND(IF(Metadata!C879="",FALSE,TRUE),exact(Metadata!C879,"human-oral"))</f>
        <v>0</v>
      </c>
      <c r="R879">
        <f>AND(IF(Metadata!D879="",FALSE,TRUE),exact(Metadata!D879,"human oral metagenome"))</f>
        <v>0</v>
      </c>
      <c r="S879">
        <f>AND(IF(Metadata!E879="",FALSE,TRUE),exact(Metadata!E879,"447426"))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AND(IF(Metadata!C880="",FALSE,TRUE),exact(Metadata!C880,"human-oral"))</f>
        <v>0</v>
      </c>
      <c r="R880">
        <f>AND(IF(Metadata!D880="",FALSE,TRUE),exact(Metadata!D880,"human oral metagenome"))</f>
        <v>0</v>
      </c>
      <c r="S880">
        <f>AND(IF(Metadata!E880="",FALSE,TRUE),exact(Metadata!E880,"447426"))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AND(IF(Metadata!C881="",FALSE,TRUE),exact(Metadata!C881,"human-oral"))</f>
        <v>0</v>
      </c>
      <c r="R881">
        <f>AND(IF(Metadata!D881="",FALSE,TRUE),exact(Metadata!D881,"human oral metagenome"))</f>
        <v>0</v>
      </c>
      <c r="S881">
        <f>AND(IF(Metadata!E881="",FALSE,TRUE),exact(Metadata!E881,"447426"))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AND(IF(Metadata!C882="",FALSE,TRUE),exact(Metadata!C882,"human-oral"))</f>
        <v>0</v>
      </c>
      <c r="R882">
        <f>AND(IF(Metadata!D882="",FALSE,TRUE),exact(Metadata!D882,"human oral metagenome"))</f>
        <v>0</v>
      </c>
      <c r="S882">
        <f>AND(IF(Metadata!E882="",FALSE,TRUE),exact(Metadata!E882,"447426"))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AND(IF(Metadata!C883="",FALSE,TRUE),exact(Metadata!C883,"human-oral"))</f>
        <v>0</v>
      </c>
      <c r="R883">
        <f>AND(IF(Metadata!D883="",FALSE,TRUE),exact(Metadata!D883,"human oral metagenome"))</f>
        <v>0</v>
      </c>
      <c r="S883">
        <f>AND(IF(Metadata!E883="",FALSE,TRUE),exact(Metadata!E883,"447426"))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AND(IF(Metadata!C884="",FALSE,TRUE),exact(Metadata!C884,"human-oral"))</f>
        <v>0</v>
      </c>
      <c r="R884">
        <f>AND(IF(Metadata!D884="",FALSE,TRUE),exact(Metadata!D884,"human oral metagenome"))</f>
        <v>0</v>
      </c>
      <c r="S884">
        <f>AND(IF(Metadata!E884="",FALSE,TRUE),exact(Metadata!E884,"447426"))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AND(IF(Metadata!C885="",FALSE,TRUE),exact(Metadata!C885,"human-oral"))</f>
        <v>0</v>
      </c>
      <c r="R885">
        <f>AND(IF(Metadata!D885="",FALSE,TRUE),exact(Metadata!D885,"human oral metagenome"))</f>
        <v>0</v>
      </c>
      <c r="S885">
        <f>AND(IF(Metadata!E885="",FALSE,TRUE),exact(Metadata!E885,"447426"))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AND(IF(Metadata!C886="",FALSE,TRUE),exact(Metadata!C886,"human-oral"))</f>
        <v>0</v>
      </c>
      <c r="R886">
        <f>AND(IF(Metadata!D886="",FALSE,TRUE),exact(Metadata!D886,"human oral metagenome"))</f>
        <v>0</v>
      </c>
      <c r="S886">
        <f>AND(IF(Metadata!E886="",FALSE,TRUE),exact(Metadata!E886,"447426"))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AND(IF(Metadata!C887="",FALSE,TRUE),exact(Metadata!C887,"human-oral"))</f>
        <v>0</v>
      </c>
      <c r="R887">
        <f>AND(IF(Metadata!D887="",FALSE,TRUE),exact(Metadata!D887,"human oral metagenome"))</f>
        <v>0</v>
      </c>
      <c r="S887">
        <f>AND(IF(Metadata!E887="",FALSE,TRUE),exact(Metadata!E887,"447426"))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AND(IF(Metadata!C888="",FALSE,TRUE),exact(Metadata!C888,"human-oral"))</f>
        <v>0</v>
      </c>
      <c r="R888">
        <f>AND(IF(Metadata!D888="",FALSE,TRUE),exact(Metadata!D888,"human oral metagenome"))</f>
        <v>0</v>
      </c>
      <c r="S888">
        <f>AND(IF(Metadata!E888="",FALSE,TRUE),exact(Metadata!E888,"447426"))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AND(IF(Metadata!C889="",FALSE,TRUE),exact(Metadata!C889,"human-oral"))</f>
        <v>0</v>
      </c>
      <c r="R889">
        <f>AND(IF(Metadata!D889="",FALSE,TRUE),exact(Metadata!D889,"human oral metagenome"))</f>
        <v>0</v>
      </c>
      <c r="S889">
        <f>AND(IF(Metadata!E889="",FALSE,TRUE),exact(Metadata!E889,"447426"))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AND(IF(Metadata!C890="",FALSE,TRUE),exact(Metadata!C890,"human-oral"))</f>
        <v>0</v>
      </c>
      <c r="R890">
        <f>AND(IF(Metadata!D890="",FALSE,TRUE),exact(Metadata!D890,"human oral metagenome"))</f>
        <v>0</v>
      </c>
      <c r="S890">
        <f>AND(IF(Metadata!E890="",FALSE,TRUE),exact(Metadata!E890,"447426"))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AND(IF(Metadata!C891="",FALSE,TRUE),exact(Metadata!C891,"human-oral"))</f>
        <v>0</v>
      </c>
      <c r="R891">
        <f>AND(IF(Metadata!D891="",FALSE,TRUE),exact(Metadata!D891,"human oral metagenome"))</f>
        <v>0</v>
      </c>
      <c r="S891">
        <f>AND(IF(Metadata!E891="",FALSE,TRUE),exact(Metadata!E891,"447426"))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AND(IF(Metadata!C892="",FALSE,TRUE),exact(Metadata!C892,"human-oral"))</f>
        <v>0</v>
      </c>
      <c r="R892">
        <f>AND(IF(Metadata!D892="",FALSE,TRUE),exact(Metadata!D892,"human oral metagenome"))</f>
        <v>0</v>
      </c>
      <c r="S892">
        <f>AND(IF(Metadata!E892="",FALSE,TRUE),exact(Metadata!E892,"447426"))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AND(IF(Metadata!C893="",FALSE,TRUE),exact(Metadata!C893,"human-oral"))</f>
        <v>0</v>
      </c>
      <c r="R893">
        <f>AND(IF(Metadata!D893="",FALSE,TRUE),exact(Metadata!D893,"human oral metagenome"))</f>
        <v>0</v>
      </c>
      <c r="S893">
        <f>AND(IF(Metadata!E893="",FALSE,TRUE),exact(Metadata!E893,"447426"))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AND(IF(Metadata!C894="",FALSE,TRUE),exact(Metadata!C894,"human-oral"))</f>
        <v>0</v>
      </c>
      <c r="R894">
        <f>AND(IF(Metadata!D894="",FALSE,TRUE),exact(Metadata!D894,"human oral metagenome"))</f>
        <v>0</v>
      </c>
      <c r="S894">
        <f>AND(IF(Metadata!E894="",FALSE,TRUE),exact(Metadata!E894,"447426"))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AND(IF(Metadata!C895="",FALSE,TRUE),exact(Metadata!C895,"human-oral"))</f>
        <v>0</v>
      </c>
      <c r="R895">
        <f>AND(IF(Metadata!D895="",FALSE,TRUE),exact(Metadata!D895,"human oral metagenome"))</f>
        <v>0</v>
      </c>
      <c r="S895">
        <f>AND(IF(Metadata!E895="",FALSE,TRUE),exact(Metadata!E895,"447426"))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AND(IF(Metadata!C896="",FALSE,TRUE),exact(Metadata!C896,"human-oral"))</f>
        <v>0</v>
      </c>
      <c r="R896">
        <f>AND(IF(Metadata!D896="",FALSE,TRUE),exact(Metadata!D896,"human oral metagenome"))</f>
        <v>0</v>
      </c>
      <c r="S896">
        <f>AND(IF(Metadata!E896="",FALSE,TRUE),exact(Metadata!E896,"447426"))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AND(IF(Metadata!C897="",FALSE,TRUE),exact(Metadata!C897,"human-oral"))</f>
        <v>0</v>
      </c>
      <c r="R897">
        <f>AND(IF(Metadata!D897="",FALSE,TRUE),exact(Metadata!D897,"human oral metagenome"))</f>
        <v>0</v>
      </c>
      <c r="S897">
        <f>AND(IF(Metadata!E897="",FALSE,TRUE),exact(Metadata!E897,"447426"))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AND(IF(Metadata!C898="",FALSE,TRUE),exact(Metadata!C898,"human-oral"))</f>
        <v>0</v>
      </c>
      <c r="R898">
        <f>AND(IF(Metadata!D898="",FALSE,TRUE),exact(Metadata!D898,"human oral metagenome"))</f>
        <v>0</v>
      </c>
      <c r="S898">
        <f>AND(IF(Metadata!E898="",FALSE,TRUE),exact(Metadata!E898,"447426"))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AND(IF(Metadata!C899="",FALSE,TRUE),exact(Metadata!C899,"human-oral"))</f>
        <v>0</v>
      </c>
      <c r="R899">
        <f>AND(IF(Metadata!D899="",FALSE,TRUE),exact(Metadata!D899,"human oral metagenome"))</f>
        <v>0</v>
      </c>
      <c r="S899">
        <f>AND(IF(Metadata!E899="",FALSE,TRUE),exact(Metadata!E899,"447426"))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AND(IF(Metadata!C900="",FALSE,TRUE),exact(Metadata!C900,"human-oral"))</f>
        <v>0</v>
      </c>
      <c r="R900">
        <f>AND(IF(Metadata!D900="",FALSE,TRUE),exact(Metadata!D900,"human oral metagenome"))</f>
        <v>0</v>
      </c>
      <c r="S900">
        <f>AND(IF(Metadata!E900="",FALSE,TRUE),exact(Metadata!E900,"447426"))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AND(IF(Metadata!C901="",FALSE,TRUE),exact(Metadata!C901,"human-oral"))</f>
        <v>0</v>
      </c>
      <c r="R901">
        <f>AND(IF(Metadata!D901="",FALSE,TRUE),exact(Metadata!D901,"human oral metagenome"))</f>
        <v>0</v>
      </c>
      <c r="S901">
        <f>AND(IF(Metadata!E901="",FALSE,TRUE),exact(Metadata!E901,"447426"))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AND(IF(Metadata!C902="",FALSE,TRUE),exact(Metadata!C902,"human-oral"))</f>
        <v>0</v>
      </c>
      <c r="R902">
        <f>AND(IF(Metadata!D902="",FALSE,TRUE),exact(Metadata!D902,"human oral metagenome"))</f>
        <v>0</v>
      </c>
      <c r="S902">
        <f>AND(IF(Metadata!E902="",FALSE,TRUE),exact(Metadata!E902,"447426"))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AND(IF(Metadata!C903="",FALSE,TRUE),exact(Metadata!C903,"human-oral"))</f>
        <v>0</v>
      </c>
      <c r="R903">
        <f>AND(IF(Metadata!D903="",FALSE,TRUE),exact(Metadata!D903,"human oral metagenome"))</f>
        <v>0</v>
      </c>
      <c r="S903">
        <f>AND(IF(Metadata!E903="",FALSE,TRUE),exact(Metadata!E903,"447426"))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AND(IF(Metadata!C904="",FALSE,TRUE),exact(Metadata!C904,"human-oral"))</f>
        <v>0</v>
      </c>
      <c r="R904">
        <f>AND(IF(Metadata!D904="",FALSE,TRUE),exact(Metadata!D904,"human oral metagenome"))</f>
        <v>0</v>
      </c>
      <c r="S904">
        <f>AND(IF(Metadata!E904="",FALSE,TRUE),exact(Metadata!E904,"447426"))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AND(IF(Metadata!C905="",FALSE,TRUE),exact(Metadata!C905,"human-oral"))</f>
        <v>0</v>
      </c>
      <c r="R905">
        <f>AND(IF(Metadata!D905="",FALSE,TRUE),exact(Metadata!D905,"human oral metagenome"))</f>
        <v>0</v>
      </c>
      <c r="S905">
        <f>AND(IF(Metadata!E905="",FALSE,TRUE),exact(Metadata!E905,"447426"))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AND(IF(Metadata!C906="",FALSE,TRUE),exact(Metadata!C906,"human-oral"))</f>
        <v>0</v>
      </c>
      <c r="R906">
        <f>AND(IF(Metadata!D906="",FALSE,TRUE),exact(Metadata!D906,"human oral metagenome"))</f>
        <v>0</v>
      </c>
      <c r="S906">
        <f>AND(IF(Metadata!E906="",FALSE,TRUE),exact(Metadata!E906,"447426"))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AND(IF(Metadata!C907="",FALSE,TRUE),exact(Metadata!C907,"human-oral"))</f>
        <v>0</v>
      </c>
      <c r="R907">
        <f>AND(IF(Metadata!D907="",FALSE,TRUE),exact(Metadata!D907,"human oral metagenome"))</f>
        <v>0</v>
      </c>
      <c r="S907">
        <f>AND(IF(Metadata!E907="",FALSE,TRUE),exact(Metadata!E907,"447426"))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AND(IF(Metadata!C908="",FALSE,TRUE),exact(Metadata!C908,"human-oral"))</f>
        <v>0</v>
      </c>
      <c r="R908">
        <f>AND(IF(Metadata!D908="",FALSE,TRUE),exact(Metadata!D908,"human oral metagenome"))</f>
        <v>0</v>
      </c>
      <c r="S908">
        <f>AND(IF(Metadata!E908="",FALSE,TRUE),exact(Metadata!E908,"447426"))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AND(IF(Metadata!C909="",FALSE,TRUE),exact(Metadata!C909,"human-oral"))</f>
        <v>0</v>
      </c>
      <c r="R909">
        <f>AND(IF(Metadata!D909="",FALSE,TRUE),exact(Metadata!D909,"human oral metagenome"))</f>
        <v>0</v>
      </c>
      <c r="S909">
        <f>AND(IF(Metadata!E909="",FALSE,TRUE),exact(Metadata!E909,"447426"))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AND(IF(Metadata!C910="",FALSE,TRUE),exact(Metadata!C910,"human-oral"))</f>
        <v>0</v>
      </c>
      <c r="R910">
        <f>AND(IF(Metadata!D910="",FALSE,TRUE),exact(Metadata!D910,"human oral metagenome"))</f>
        <v>0</v>
      </c>
      <c r="S910">
        <f>AND(IF(Metadata!E910="",FALSE,TRUE),exact(Metadata!E910,"447426"))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AND(IF(Metadata!C911="",FALSE,TRUE),exact(Metadata!C911,"human-oral"))</f>
        <v>0</v>
      </c>
      <c r="R911">
        <f>AND(IF(Metadata!D911="",FALSE,TRUE),exact(Metadata!D911,"human oral metagenome"))</f>
        <v>0</v>
      </c>
      <c r="S911">
        <f>AND(IF(Metadata!E911="",FALSE,TRUE),exact(Metadata!E911,"447426"))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AND(IF(Metadata!C912="",FALSE,TRUE),exact(Metadata!C912,"human-oral"))</f>
        <v>0</v>
      </c>
      <c r="R912">
        <f>AND(IF(Metadata!D912="",FALSE,TRUE),exact(Metadata!D912,"human oral metagenome"))</f>
        <v>0</v>
      </c>
      <c r="S912">
        <f>AND(IF(Metadata!E912="",FALSE,TRUE),exact(Metadata!E912,"447426"))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AND(IF(Metadata!C913="",FALSE,TRUE),exact(Metadata!C913,"human-oral"))</f>
        <v>0</v>
      </c>
      <c r="R913">
        <f>AND(IF(Metadata!D913="",FALSE,TRUE),exact(Metadata!D913,"human oral metagenome"))</f>
        <v>0</v>
      </c>
      <c r="S913">
        <f>AND(IF(Metadata!E913="",FALSE,TRUE),exact(Metadata!E913,"447426"))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AND(IF(Metadata!C914="",FALSE,TRUE),exact(Metadata!C914,"human-oral"))</f>
        <v>0</v>
      </c>
      <c r="R914">
        <f>AND(IF(Metadata!D914="",FALSE,TRUE),exact(Metadata!D914,"human oral metagenome"))</f>
        <v>0</v>
      </c>
      <c r="S914">
        <f>AND(IF(Metadata!E914="",FALSE,TRUE),exact(Metadata!E914,"447426"))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AND(IF(Metadata!C915="",FALSE,TRUE),exact(Metadata!C915,"human-oral"))</f>
        <v>0</v>
      </c>
      <c r="R915">
        <f>AND(IF(Metadata!D915="",FALSE,TRUE),exact(Metadata!D915,"human oral metagenome"))</f>
        <v>0</v>
      </c>
      <c r="S915">
        <f>AND(IF(Metadata!E915="",FALSE,TRUE),exact(Metadata!E915,"447426"))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AND(IF(Metadata!C916="",FALSE,TRUE),exact(Metadata!C916,"human-oral"))</f>
        <v>0</v>
      </c>
      <c r="R916">
        <f>AND(IF(Metadata!D916="",FALSE,TRUE),exact(Metadata!D916,"human oral metagenome"))</f>
        <v>0</v>
      </c>
      <c r="S916">
        <f>AND(IF(Metadata!E916="",FALSE,TRUE),exact(Metadata!E916,"447426"))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AND(IF(Metadata!C917="",FALSE,TRUE),exact(Metadata!C917,"human-oral"))</f>
        <v>0</v>
      </c>
      <c r="R917">
        <f>AND(IF(Metadata!D917="",FALSE,TRUE),exact(Metadata!D917,"human oral metagenome"))</f>
        <v>0</v>
      </c>
      <c r="S917">
        <f>AND(IF(Metadata!E917="",FALSE,TRUE),exact(Metadata!E917,"447426"))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AND(IF(Metadata!C918="",FALSE,TRUE),exact(Metadata!C918,"human-oral"))</f>
        <v>0</v>
      </c>
      <c r="R918">
        <f>AND(IF(Metadata!D918="",FALSE,TRUE),exact(Metadata!D918,"human oral metagenome"))</f>
        <v>0</v>
      </c>
      <c r="S918">
        <f>AND(IF(Metadata!E918="",FALSE,TRUE),exact(Metadata!E918,"447426"))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AND(IF(Metadata!C919="",FALSE,TRUE),exact(Metadata!C919,"human-oral"))</f>
        <v>0</v>
      </c>
      <c r="R919">
        <f>AND(IF(Metadata!D919="",FALSE,TRUE),exact(Metadata!D919,"human oral metagenome"))</f>
        <v>0</v>
      </c>
      <c r="S919">
        <f>AND(IF(Metadata!E919="",FALSE,TRUE),exact(Metadata!E919,"447426"))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AND(IF(Metadata!C920="",FALSE,TRUE),exact(Metadata!C920,"human-oral"))</f>
        <v>0</v>
      </c>
      <c r="R920">
        <f>AND(IF(Metadata!D920="",FALSE,TRUE),exact(Metadata!D920,"human oral metagenome"))</f>
        <v>0</v>
      </c>
      <c r="S920">
        <f>AND(IF(Metadata!E920="",FALSE,TRUE),exact(Metadata!E920,"447426"))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AND(IF(Metadata!C921="",FALSE,TRUE),exact(Metadata!C921,"human-oral"))</f>
        <v>0</v>
      </c>
      <c r="R921">
        <f>AND(IF(Metadata!D921="",FALSE,TRUE),exact(Metadata!D921,"human oral metagenome"))</f>
        <v>0</v>
      </c>
      <c r="S921">
        <f>AND(IF(Metadata!E921="",FALSE,TRUE),exact(Metadata!E921,"447426"))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AND(IF(Metadata!C922="",FALSE,TRUE),exact(Metadata!C922,"human-oral"))</f>
        <v>0</v>
      </c>
      <c r="R922">
        <f>AND(IF(Metadata!D922="",FALSE,TRUE),exact(Metadata!D922,"human oral metagenome"))</f>
        <v>0</v>
      </c>
      <c r="S922">
        <f>AND(IF(Metadata!E922="",FALSE,TRUE),exact(Metadata!E922,"447426"))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AND(IF(Metadata!C923="",FALSE,TRUE),exact(Metadata!C923,"human-oral"))</f>
        <v>0</v>
      </c>
      <c r="R923">
        <f>AND(IF(Metadata!D923="",FALSE,TRUE),exact(Metadata!D923,"human oral metagenome"))</f>
        <v>0</v>
      </c>
      <c r="S923">
        <f>AND(IF(Metadata!E923="",FALSE,TRUE),exact(Metadata!E923,"447426"))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AND(IF(Metadata!C924="",FALSE,TRUE),exact(Metadata!C924,"human-oral"))</f>
        <v>0</v>
      </c>
      <c r="R924">
        <f>AND(IF(Metadata!D924="",FALSE,TRUE),exact(Metadata!D924,"human oral metagenome"))</f>
        <v>0</v>
      </c>
      <c r="S924">
        <f>AND(IF(Metadata!E924="",FALSE,TRUE),exact(Metadata!E924,"447426"))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AND(IF(Metadata!C925="",FALSE,TRUE),exact(Metadata!C925,"human-oral"))</f>
        <v>0</v>
      </c>
      <c r="R925">
        <f>AND(IF(Metadata!D925="",FALSE,TRUE),exact(Metadata!D925,"human oral metagenome"))</f>
        <v>0</v>
      </c>
      <c r="S925">
        <f>AND(IF(Metadata!E925="",FALSE,TRUE),exact(Metadata!E925,"447426"))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AND(IF(Metadata!C926="",FALSE,TRUE),exact(Metadata!C926,"human-oral"))</f>
        <v>0</v>
      </c>
      <c r="R926">
        <f>AND(IF(Metadata!D926="",FALSE,TRUE),exact(Metadata!D926,"human oral metagenome"))</f>
        <v>0</v>
      </c>
      <c r="S926">
        <f>AND(IF(Metadata!E926="",FALSE,TRUE),exact(Metadata!E926,"447426"))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AND(IF(Metadata!C927="",FALSE,TRUE),exact(Metadata!C927,"human-oral"))</f>
        <v>0</v>
      </c>
      <c r="R927">
        <f>AND(IF(Metadata!D927="",FALSE,TRUE),exact(Metadata!D927,"human oral metagenome"))</f>
        <v>0</v>
      </c>
      <c r="S927">
        <f>AND(IF(Metadata!E927="",FALSE,TRUE),exact(Metadata!E927,"447426"))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AND(IF(Metadata!C928="",FALSE,TRUE),exact(Metadata!C928,"human-oral"))</f>
        <v>0</v>
      </c>
      <c r="R928">
        <f>AND(IF(Metadata!D928="",FALSE,TRUE),exact(Metadata!D928,"human oral metagenome"))</f>
        <v>0</v>
      </c>
      <c r="S928">
        <f>AND(IF(Metadata!E928="",FALSE,TRUE),exact(Metadata!E928,"447426"))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AND(IF(Metadata!C929="",FALSE,TRUE),exact(Metadata!C929,"human-oral"))</f>
        <v>0</v>
      </c>
      <c r="R929">
        <f>AND(IF(Metadata!D929="",FALSE,TRUE),exact(Metadata!D929,"human oral metagenome"))</f>
        <v>0</v>
      </c>
      <c r="S929">
        <f>AND(IF(Metadata!E929="",FALSE,TRUE),exact(Metadata!E929,"447426"))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AND(IF(Metadata!C930="",FALSE,TRUE),exact(Metadata!C930,"human-oral"))</f>
        <v>0</v>
      </c>
      <c r="R930">
        <f>AND(IF(Metadata!D930="",FALSE,TRUE),exact(Metadata!D930,"human oral metagenome"))</f>
        <v>0</v>
      </c>
      <c r="S930">
        <f>AND(IF(Metadata!E930="",FALSE,TRUE),exact(Metadata!E930,"447426"))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AND(IF(Metadata!C931="",FALSE,TRUE),exact(Metadata!C931,"human-oral"))</f>
        <v>0</v>
      </c>
      <c r="R931">
        <f>AND(IF(Metadata!D931="",FALSE,TRUE),exact(Metadata!D931,"human oral metagenome"))</f>
        <v>0</v>
      </c>
      <c r="S931">
        <f>AND(IF(Metadata!E931="",FALSE,TRUE),exact(Metadata!E931,"447426"))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AND(IF(Metadata!C932="",FALSE,TRUE),exact(Metadata!C932,"human-oral"))</f>
        <v>0</v>
      </c>
      <c r="R932">
        <f>AND(IF(Metadata!D932="",FALSE,TRUE),exact(Metadata!D932,"human oral metagenome"))</f>
        <v>0</v>
      </c>
      <c r="S932">
        <f>AND(IF(Metadata!E932="",FALSE,TRUE),exact(Metadata!E932,"447426"))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AND(IF(Metadata!C933="",FALSE,TRUE),exact(Metadata!C933,"human-oral"))</f>
        <v>0</v>
      </c>
      <c r="R933">
        <f>AND(IF(Metadata!D933="",FALSE,TRUE),exact(Metadata!D933,"human oral metagenome"))</f>
        <v>0</v>
      </c>
      <c r="S933">
        <f>AND(IF(Metadata!E933="",FALSE,TRUE),exact(Metadata!E933,"447426"))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AND(IF(Metadata!C934="",FALSE,TRUE),exact(Metadata!C934,"human-oral"))</f>
        <v>0</v>
      </c>
      <c r="R934">
        <f>AND(IF(Metadata!D934="",FALSE,TRUE),exact(Metadata!D934,"human oral metagenome"))</f>
        <v>0</v>
      </c>
      <c r="S934">
        <f>AND(IF(Metadata!E934="",FALSE,TRUE),exact(Metadata!E934,"447426"))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AND(IF(Metadata!C935="",FALSE,TRUE),exact(Metadata!C935,"human-oral"))</f>
        <v>0</v>
      </c>
      <c r="R935">
        <f>AND(IF(Metadata!D935="",FALSE,TRUE),exact(Metadata!D935,"human oral metagenome"))</f>
        <v>0</v>
      </c>
      <c r="S935">
        <f>AND(IF(Metadata!E935="",FALSE,TRUE),exact(Metadata!E935,"447426"))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AND(IF(Metadata!C936="",FALSE,TRUE),exact(Metadata!C936,"human-oral"))</f>
        <v>0</v>
      </c>
      <c r="R936">
        <f>AND(IF(Metadata!D936="",FALSE,TRUE),exact(Metadata!D936,"human oral metagenome"))</f>
        <v>0</v>
      </c>
      <c r="S936">
        <f>AND(IF(Metadata!E936="",FALSE,TRUE),exact(Metadata!E936,"447426"))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AND(IF(Metadata!C937="",FALSE,TRUE),exact(Metadata!C937,"human-oral"))</f>
        <v>0</v>
      </c>
      <c r="R937">
        <f>AND(IF(Metadata!D937="",FALSE,TRUE),exact(Metadata!D937,"human oral metagenome"))</f>
        <v>0</v>
      </c>
      <c r="S937">
        <f>AND(IF(Metadata!E937="",FALSE,TRUE),exact(Metadata!E937,"447426"))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AND(IF(Metadata!C938="",FALSE,TRUE),exact(Metadata!C938,"human-oral"))</f>
        <v>0</v>
      </c>
      <c r="R938">
        <f>AND(IF(Metadata!D938="",FALSE,TRUE),exact(Metadata!D938,"human oral metagenome"))</f>
        <v>0</v>
      </c>
      <c r="S938">
        <f>AND(IF(Metadata!E938="",FALSE,TRUE),exact(Metadata!E938,"447426"))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AND(IF(Metadata!C939="",FALSE,TRUE),exact(Metadata!C939,"human-oral"))</f>
        <v>0</v>
      </c>
      <c r="R939">
        <f>AND(IF(Metadata!D939="",FALSE,TRUE),exact(Metadata!D939,"human oral metagenome"))</f>
        <v>0</v>
      </c>
      <c r="S939">
        <f>AND(IF(Metadata!E939="",FALSE,TRUE),exact(Metadata!E939,"447426"))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AND(IF(Metadata!C940="",FALSE,TRUE),exact(Metadata!C940,"human-oral"))</f>
        <v>0</v>
      </c>
      <c r="R940">
        <f>AND(IF(Metadata!D940="",FALSE,TRUE),exact(Metadata!D940,"human oral metagenome"))</f>
        <v>0</v>
      </c>
      <c r="S940">
        <f>AND(IF(Metadata!E940="",FALSE,TRUE),exact(Metadata!E940,"447426"))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AND(IF(Metadata!C941="",FALSE,TRUE),exact(Metadata!C941,"human-oral"))</f>
        <v>0</v>
      </c>
      <c r="R941">
        <f>AND(IF(Metadata!D941="",FALSE,TRUE),exact(Metadata!D941,"human oral metagenome"))</f>
        <v>0</v>
      </c>
      <c r="S941">
        <f>AND(IF(Metadata!E941="",FALSE,TRUE),exact(Metadata!E941,"447426"))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AND(IF(Metadata!C942="",FALSE,TRUE),exact(Metadata!C942,"human-oral"))</f>
        <v>0</v>
      </c>
      <c r="R942">
        <f>AND(IF(Metadata!D942="",FALSE,TRUE),exact(Metadata!D942,"human oral metagenome"))</f>
        <v>0</v>
      </c>
      <c r="S942">
        <f>AND(IF(Metadata!E942="",FALSE,TRUE),exact(Metadata!E942,"447426"))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AND(IF(Metadata!C943="",FALSE,TRUE),exact(Metadata!C943,"human-oral"))</f>
        <v>0</v>
      </c>
      <c r="R943">
        <f>AND(IF(Metadata!D943="",FALSE,TRUE),exact(Metadata!D943,"human oral metagenome"))</f>
        <v>0</v>
      </c>
      <c r="S943">
        <f>AND(IF(Metadata!E943="",FALSE,TRUE),exact(Metadata!E943,"447426"))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AND(IF(Metadata!C944="",FALSE,TRUE),exact(Metadata!C944,"human-oral"))</f>
        <v>0</v>
      </c>
      <c r="R944">
        <f>AND(IF(Metadata!D944="",FALSE,TRUE),exact(Metadata!D944,"human oral metagenome"))</f>
        <v>0</v>
      </c>
      <c r="S944">
        <f>AND(IF(Metadata!E944="",FALSE,TRUE),exact(Metadata!E944,"447426"))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AND(IF(Metadata!C945="",FALSE,TRUE),exact(Metadata!C945,"human-oral"))</f>
        <v>0</v>
      </c>
      <c r="R945">
        <f>AND(IF(Metadata!D945="",FALSE,TRUE),exact(Metadata!D945,"human oral metagenome"))</f>
        <v>0</v>
      </c>
      <c r="S945">
        <f>AND(IF(Metadata!E945="",FALSE,TRUE),exact(Metadata!E945,"447426"))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AND(IF(Metadata!C946="",FALSE,TRUE),exact(Metadata!C946,"human-oral"))</f>
        <v>0</v>
      </c>
      <c r="R946">
        <f>AND(IF(Metadata!D946="",FALSE,TRUE),exact(Metadata!D946,"human oral metagenome"))</f>
        <v>0</v>
      </c>
      <c r="S946">
        <f>AND(IF(Metadata!E946="",FALSE,TRUE),exact(Metadata!E946,"447426"))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AND(IF(Metadata!C947="",FALSE,TRUE),exact(Metadata!C947,"human-oral"))</f>
        <v>0</v>
      </c>
      <c r="R947">
        <f>AND(IF(Metadata!D947="",FALSE,TRUE),exact(Metadata!D947,"human oral metagenome"))</f>
        <v>0</v>
      </c>
      <c r="S947">
        <f>AND(IF(Metadata!E947="",FALSE,TRUE),exact(Metadata!E947,"447426"))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AND(IF(Metadata!C948="",FALSE,TRUE),exact(Metadata!C948,"human-oral"))</f>
        <v>0</v>
      </c>
      <c r="R948">
        <f>AND(IF(Metadata!D948="",FALSE,TRUE),exact(Metadata!D948,"human oral metagenome"))</f>
        <v>0</v>
      </c>
      <c r="S948">
        <f>AND(IF(Metadata!E948="",FALSE,TRUE),exact(Metadata!E948,"447426"))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AND(IF(Metadata!C949="",FALSE,TRUE),exact(Metadata!C949,"human-oral"))</f>
        <v>0</v>
      </c>
      <c r="R949">
        <f>AND(IF(Metadata!D949="",FALSE,TRUE),exact(Metadata!D949,"human oral metagenome"))</f>
        <v>0</v>
      </c>
      <c r="S949">
        <f>AND(IF(Metadata!E949="",FALSE,TRUE),exact(Metadata!E949,"447426"))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AND(IF(Metadata!C950="",FALSE,TRUE),exact(Metadata!C950,"human-oral"))</f>
        <v>0</v>
      </c>
      <c r="R950">
        <f>AND(IF(Metadata!D950="",FALSE,TRUE),exact(Metadata!D950,"human oral metagenome"))</f>
        <v>0</v>
      </c>
      <c r="S950">
        <f>AND(IF(Metadata!E950="",FALSE,TRUE),exact(Metadata!E950,"447426"))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AND(IF(Metadata!C951="",FALSE,TRUE),exact(Metadata!C951,"human-oral"))</f>
        <v>0</v>
      </c>
      <c r="R951">
        <f>AND(IF(Metadata!D951="",FALSE,TRUE),exact(Metadata!D951,"human oral metagenome"))</f>
        <v>0</v>
      </c>
      <c r="S951">
        <f>AND(IF(Metadata!E951="",FALSE,TRUE),exact(Metadata!E951,"447426"))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AND(IF(Metadata!C952="",FALSE,TRUE),exact(Metadata!C952,"human-oral"))</f>
        <v>0</v>
      </c>
      <c r="R952">
        <f>AND(IF(Metadata!D952="",FALSE,TRUE),exact(Metadata!D952,"human oral metagenome"))</f>
        <v>0</v>
      </c>
      <c r="S952">
        <f>AND(IF(Metadata!E952="",FALSE,TRUE),exact(Metadata!E952,"447426"))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AND(IF(Metadata!C953="",FALSE,TRUE),exact(Metadata!C953,"human-oral"))</f>
        <v>0</v>
      </c>
      <c r="R953">
        <f>AND(IF(Metadata!D953="",FALSE,TRUE),exact(Metadata!D953,"human oral metagenome"))</f>
        <v>0</v>
      </c>
      <c r="S953">
        <f>AND(IF(Metadata!E953="",FALSE,TRUE),exact(Metadata!E953,"447426"))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AND(IF(Metadata!C954="",FALSE,TRUE),exact(Metadata!C954,"human-oral"))</f>
        <v>0</v>
      </c>
      <c r="R954">
        <f>AND(IF(Metadata!D954="",FALSE,TRUE),exact(Metadata!D954,"human oral metagenome"))</f>
        <v>0</v>
      </c>
      <c r="S954">
        <f>AND(IF(Metadata!E954="",FALSE,TRUE),exact(Metadata!E954,"447426"))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AND(IF(Metadata!C955="",FALSE,TRUE),exact(Metadata!C955,"human-oral"))</f>
        <v>0</v>
      </c>
      <c r="R955">
        <f>AND(IF(Metadata!D955="",FALSE,TRUE),exact(Metadata!D955,"human oral metagenome"))</f>
        <v>0</v>
      </c>
      <c r="S955">
        <f>AND(IF(Metadata!E955="",FALSE,TRUE),exact(Metadata!E955,"447426"))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AND(IF(Metadata!C956="",FALSE,TRUE),exact(Metadata!C956,"human-oral"))</f>
        <v>0</v>
      </c>
      <c r="R956">
        <f>AND(IF(Metadata!D956="",FALSE,TRUE),exact(Metadata!D956,"human oral metagenome"))</f>
        <v>0</v>
      </c>
      <c r="S956">
        <f>AND(IF(Metadata!E956="",FALSE,TRUE),exact(Metadata!E956,"447426"))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AND(IF(Metadata!C957="",FALSE,TRUE),exact(Metadata!C957,"human-oral"))</f>
        <v>0</v>
      </c>
      <c r="R957">
        <f>AND(IF(Metadata!D957="",FALSE,TRUE),exact(Metadata!D957,"human oral metagenome"))</f>
        <v>0</v>
      </c>
      <c r="S957">
        <f>AND(IF(Metadata!E957="",FALSE,TRUE),exact(Metadata!E957,"447426"))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AND(IF(Metadata!C958="",FALSE,TRUE),exact(Metadata!C958,"human-oral"))</f>
        <v>0</v>
      </c>
      <c r="R958">
        <f>AND(IF(Metadata!D958="",FALSE,TRUE),exact(Metadata!D958,"human oral metagenome"))</f>
        <v>0</v>
      </c>
      <c r="S958">
        <f>AND(IF(Metadata!E958="",FALSE,TRUE),exact(Metadata!E958,"447426"))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AND(IF(Metadata!C959="",FALSE,TRUE),exact(Metadata!C959,"human-oral"))</f>
        <v>0</v>
      </c>
      <c r="R959">
        <f>AND(IF(Metadata!D959="",FALSE,TRUE),exact(Metadata!D959,"human oral metagenome"))</f>
        <v>0</v>
      </c>
      <c r="S959">
        <f>AND(IF(Metadata!E959="",FALSE,TRUE),exact(Metadata!E959,"447426"))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AND(IF(Metadata!C960="",FALSE,TRUE),exact(Metadata!C960,"human-oral"))</f>
        <v>0</v>
      </c>
      <c r="R960">
        <f>AND(IF(Metadata!D960="",FALSE,TRUE),exact(Metadata!D960,"human oral metagenome"))</f>
        <v>0</v>
      </c>
      <c r="S960">
        <f>AND(IF(Metadata!E960="",FALSE,TRUE),exact(Metadata!E960,"447426"))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AND(IF(Metadata!C961="",FALSE,TRUE),exact(Metadata!C961,"human-oral"))</f>
        <v>0</v>
      </c>
      <c r="R961">
        <f>AND(IF(Metadata!D961="",FALSE,TRUE),exact(Metadata!D961,"human oral metagenome"))</f>
        <v>0</v>
      </c>
      <c r="S961">
        <f>AND(IF(Metadata!E961="",FALSE,TRUE),exact(Metadata!E961,"447426"))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AND(IF(Metadata!C962="",FALSE,TRUE),exact(Metadata!C962,"human-oral"))</f>
        <v>0</v>
      </c>
      <c r="R962">
        <f>AND(IF(Metadata!D962="",FALSE,TRUE),exact(Metadata!D962,"human oral metagenome"))</f>
        <v>0</v>
      </c>
      <c r="S962">
        <f>AND(IF(Metadata!E962="",FALSE,TRUE),exact(Metadata!E962,"447426"))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AND(IF(Metadata!C963="",FALSE,TRUE),exact(Metadata!C963,"human-oral"))</f>
        <v>0</v>
      </c>
      <c r="R963">
        <f>AND(IF(Metadata!D963="",FALSE,TRUE),exact(Metadata!D963,"human oral metagenome"))</f>
        <v>0</v>
      </c>
      <c r="S963">
        <f>AND(IF(Metadata!E963="",FALSE,TRUE),exact(Metadata!E963,"447426"))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AND(IF(Metadata!C964="",FALSE,TRUE),exact(Metadata!C964,"human-oral"))</f>
        <v>0</v>
      </c>
      <c r="R964">
        <f>AND(IF(Metadata!D964="",FALSE,TRUE),exact(Metadata!D964,"human oral metagenome"))</f>
        <v>0</v>
      </c>
      <c r="S964">
        <f>AND(IF(Metadata!E964="",FALSE,TRUE),exact(Metadata!E964,"447426"))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AND(IF(Metadata!C965="",FALSE,TRUE),exact(Metadata!C965,"human-oral"))</f>
        <v>0</v>
      </c>
      <c r="R965">
        <f>AND(IF(Metadata!D965="",FALSE,TRUE),exact(Metadata!D965,"human oral metagenome"))</f>
        <v>0</v>
      </c>
      <c r="S965">
        <f>AND(IF(Metadata!E965="",FALSE,TRUE),exact(Metadata!E965,"447426"))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AND(IF(Metadata!C966="",FALSE,TRUE),exact(Metadata!C966,"human-oral"))</f>
        <v>0</v>
      </c>
      <c r="R966">
        <f>AND(IF(Metadata!D966="",FALSE,TRUE),exact(Metadata!D966,"human oral metagenome"))</f>
        <v>0</v>
      </c>
      <c r="S966">
        <f>AND(IF(Metadata!E966="",FALSE,TRUE),exact(Metadata!E966,"447426"))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AND(IF(Metadata!C967="",FALSE,TRUE),exact(Metadata!C967,"human-oral"))</f>
        <v>0</v>
      </c>
      <c r="R967">
        <f>AND(IF(Metadata!D967="",FALSE,TRUE),exact(Metadata!D967,"human oral metagenome"))</f>
        <v>0</v>
      </c>
      <c r="S967">
        <f>AND(IF(Metadata!E967="",FALSE,TRUE),exact(Metadata!E967,"447426"))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AND(IF(Metadata!C968="",FALSE,TRUE),exact(Metadata!C968,"human-oral"))</f>
        <v>0</v>
      </c>
      <c r="R968">
        <f>AND(IF(Metadata!D968="",FALSE,TRUE),exact(Metadata!D968,"human oral metagenome"))</f>
        <v>0</v>
      </c>
      <c r="S968">
        <f>AND(IF(Metadata!E968="",FALSE,TRUE),exact(Metadata!E968,"447426"))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AND(IF(Metadata!C969="",FALSE,TRUE),exact(Metadata!C969,"human-oral"))</f>
        <v>0</v>
      </c>
      <c r="R969">
        <f>AND(IF(Metadata!D969="",FALSE,TRUE),exact(Metadata!D969,"human oral metagenome"))</f>
        <v>0</v>
      </c>
      <c r="S969">
        <f>AND(IF(Metadata!E969="",FALSE,TRUE),exact(Metadata!E969,"447426"))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AND(IF(Metadata!C970="",FALSE,TRUE),exact(Metadata!C970,"human-oral"))</f>
        <v>0</v>
      </c>
      <c r="R970">
        <f>AND(IF(Metadata!D970="",FALSE,TRUE),exact(Metadata!D970,"human oral metagenome"))</f>
        <v>0</v>
      </c>
      <c r="S970">
        <f>AND(IF(Metadata!E970="",FALSE,TRUE),exact(Metadata!E970,"447426"))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AND(IF(Metadata!C971="",FALSE,TRUE),exact(Metadata!C971,"human-oral"))</f>
        <v>0</v>
      </c>
      <c r="R971">
        <f>AND(IF(Metadata!D971="",FALSE,TRUE),exact(Metadata!D971,"human oral metagenome"))</f>
        <v>0</v>
      </c>
      <c r="S971">
        <f>AND(IF(Metadata!E971="",FALSE,TRUE),exact(Metadata!E971,"447426"))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AND(IF(Metadata!C972="",FALSE,TRUE),exact(Metadata!C972,"human-oral"))</f>
        <v>0</v>
      </c>
      <c r="R972">
        <f>AND(IF(Metadata!D972="",FALSE,TRUE),exact(Metadata!D972,"human oral metagenome"))</f>
        <v>0</v>
      </c>
      <c r="S972">
        <f>AND(IF(Metadata!E972="",FALSE,TRUE),exact(Metadata!E972,"447426"))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AND(IF(Metadata!C973="",FALSE,TRUE),exact(Metadata!C973,"human-oral"))</f>
        <v>0</v>
      </c>
      <c r="R973">
        <f>AND(IF(Metadata!D973="",FALSE,TRUE),exact(Metadata!D973,"human oral metagenome"))</f>
        <v>0</v>
      </c>
      <c r="S973">
        <f>AND(IF(Metadata!E973="",FALSE,TRUE),exact(Metadata!E973,"447426"))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AND(IF(Metadata!C974="",FALSE,TRUE),exact(Metadata!C974,"human-oral"))</f>
        <v>0</v>
      </c>
      <c r="R974">
        <f>AND(IF(Metadata!D974="",FALSE,TRUE),exact(Metadata!D974,"human oral metagenome"))</f>
        <v>0</v>
      </c>
      <c r="S974">
        <f>AND(IF(Metadata!E974="",FALSE,TRUE),exact(Metadata!E974,"447426"))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AND(IF(Metadata!C975="",FALSE,TRUE),exact(Metadata!C975,"human-oral"))</f>
        <v>0</v>
      </c>
      <c r="R975">
        <f>AND(IF(Metadata!D975="",FALSE,TRUE),exact(Metadata!D975,"human oral metagenome"))</f>
        <v>0</v>
      </c>
      <c r="S975">
        <f>AND(IF(Metadata!E975="",FALSE,TRUE),exact(Metadata!E975,"447426"))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AND(IF(Metadata!C976="",FALSE,TRUE),exact(Metadata!C976,"human-oral"))</f>
        <v>0</v>
      </c>
      <c r="R976">
        <f>AND(IF(Metadata!D976="",FALSE,TRUE),exact(Metadata!D976,"human oral metagenome"))</f>
        <v>0</v>
      </c>
      <c r="S976">
        <f>AND(IF(Metadata!E976="",FALSE,TRUE),exact(Metadata!E976,"447426"))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AND(IF(Metadata!C977="",FALSE,TRUE),exact(Metadata!C977,"human-oral"))</f>
        <v>0</v>
      </c>
      <c r="R977">
        <f>AND(IF(Metadata!D977="",FALSE,TRUE),exact(Metadata!D977,"human oral metagenome"))</f>
        <v>0</v>
      </c>
      <c r="S977">
        <f>AND(IF(Metadata!E977="",FALSE,TRUE),exact(Metadata!E977,"447426"))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AND(IF(Metadata!C978="",FALSE,TRUE),exact(Metadata!C978,"human-oral"))</f>
        <v>0</v>
      </c>
      <c r="R978">
        <f>AND(IF(Metadata!D978="",FALSE,TRUE),exact(Metadata!D978,"human oral metagenome"))</f>
        <v>0</v>
      </c>
      <c r="S978">
        <f>AND(IF(Metadata!E978="",FALSE,TRUE),exact(Metadata!E978,"447426"))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AND(IF(Metadata!C979="",FALSE,TRUE),exact(Metadata!C979,"human-oral"))</f>
        <v>0</v>
      </c>
      <c r="R979">
        <f>AND(IF(Metadata!D979="",FALSE,TRUE),exact(Metadata!D979,"human oral metagenome"))</f>
        <v>0</v>
      </c>
      <c r="S979">
        <f>AND(IF(Metadata!E979="",FALSE,TRUE),exact(Metadata!E979,"447426"))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AND(IF(Metadata!C980="",FALSE,TRUE),exact(Metadata!C980,"human-oral"))</f>
        <v>0</v>
      </c>
      <c r="R980">
        <f>AND(IF(Metadata!D980="",FALSE,TRUE),exact(Metadata!D980,"human oral metagenome"))</f>
        <v>0</v>
      </c>
      <c r="S980">
        <f>AND(IF(Metadata!E980="",FALSE,TRUE),exact(Metadata!E980,"447426"))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AND(IF(Metadata!C981="",FALSE,TRUE),exact(Metadata!C981,"human-oral"))</f>
        <v>0</v>
      </c>
      <c r="R981">
        <f>AND(IF(Metadata!D981="",FALSE,TRUE),exact(Metadata!D981,"human oral metagenome"))</f>
        <v>0</v>
      </c>
      <c r="S981">
        <f>AND(IF(Metadata!E981="",FALSE,TRUE),exact(Metadata!E981,"447426"))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AND(IF(Metadata!C982="",FALSE,TRUE),exact(Metadata!C982,"human-oral"))</f>
        <v>0</v>
      </c>
      <c r="R982">
        <f>AND(IF(Metadata!D982="",FALSE,TRUE),exact(Metadata!D982,"human oral metagenome"))</f>
        <v>0</v>
      </c>
      <c r="S982">
        <f>AND(IF(Metadata!E982="",FALSE,TRUE),exact(Metadata!E982,"447426"))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AND(IF(Metadata!C983="",FALSE,TRUE),exact(Metadata!C983,"human-oral"))</f>
        <v>0</v>
      </c>
      <c r="R983">
        <f>AND(IF(Metadata!D983="",FALSE,TRUE),exact(Metadata!D983,"human oral metagenome"))</f>
        <v>0</v>
      </c>
      <c r="S983">
        <f>AND(IF(Metadata!E983="",FALSE,TRUE),exact(Metadata!E983,"447426"))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AND(IF(Metadata!C984="",FALSE,TRUE),exact(Metadata!C984,"human-oral"))</f>
        <v>0</v>
      </c>
      <c r="R984">
        <f>AND(IF(Metadata!D984="",FALSE,TRUE),exact(Metadata!D984,"human oral metagenome"))</f>
        <v>0</v>
      </c>
      <c r="S984">
        <f>AND(IF(Metadata!E984="",FALSE,TRUE),exact(Metadata!E984,"447426"))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AND(IF(Metadata!C985="",FALSE,TRUE),exact(Metadata!C985,"human-oral"))</f>
        <v>0</v>
      </c>
      <c r="R985">
        <f>AND(IF(Metadata!D985="",FALSE,TRUE),exact(Metadata!D985,"human oral metagenome"))</f>
        <v>0</v>
      </c>
      <c r="S985">
        <f>AND(IF(Metadata!E985="",FALSE,TRUE),exact(Metadata!E985,"447426"))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AND(IF(Metadata!C986="",FALSE,TRUE),exact(Metadata!C986,"human-oral"))</f>
        <v>0</v>
      </c>
      <c r="R986">
        <f>AND(IF(Metadata!D986="",FALSE,TRUE),exact(Metadata!D986,"human oral metagenome"))</f>
        <v>0</v>
      </c>
      <c r="S986">
        <f>AND(IF(Metadata!E986="",FALSE,TRUE),exact(Metadata!E986,"447426"))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AND(IF(Metadata!C987="",FALSE,TRUE),exact(Metadata!C987,"human-oral"))</f>
        <v>0</v>
      </c>
      <c r="R987">
        <f>AND(IF(Metadata!D987="",FALSE,TRUE),exact(Metadata!D987,"human oral metagenome"))</f>
        <v>0</v>
      </c>
      <c r="S987">
        <f>AND(IF(Metadata!E987="",FALSE,TRUE),exact(Metadata!E987,"447426"))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AND(IF(Metadata!C988="",FALSE,TRUE),exact(Metadata!C988,"human-oral"))</f>
        <v>0</v>
      </c>
      <c r="R988">
        <f>AND(IF(Metadata!D988="",FALSE,TRUE),exact(Metadata!D988,"human oral metagenome"))</f>
        <v>0</v>
      </c>
      <c r="S988">
        <f>AND(IF(Metadata!E988="",FALSE,TRUE),exact(Metadata!E988,"447426"))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AND(IF(Metadata!C989="",FALSE,TRUE),exact(Metadata!C989,"human-oral"))</f>
        <v>0</v>
      </c>
      <c r="R989">
        <f>AND(IF(Metadata!D989="",FALSE,TRUE),exact(Metadata!D989,"human oral metagenome"))</f>
        <v>0</v>
      </c>
      <c r="S989">
        <f>AND(IF(Metadata!E989="",FALSE,TRUE),exact(Metadata!E989,"447426"))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AND(IF(Metadata!C990="",FALSE,TRUE),exact(Metadata!C990,"human-oral"))</f>
        <v>0</v>
      </c>
      <c r="R990">
        <f>AND(IF(Metadata!D990="",FALSE,TRUE),exact(Metadata!D990,"human oral metagenome"))</f>
        <v>0</v>
      </c>
      <c r="S990">
        <f>AND(IF(Metadata!E990="",FALSE,TRUE),exact(Metadata!E990,"447426"))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AND(IF(Metadata!C991="",FALSE,TRUE),exact(Metadata!C991,"human-oral"))</f>
        <v>0</v>
      </c>
      <c r="R991">
        <f>AND(IF(Metadata!D991="",FALSE,TRUE),exact(Metadata!D991,"human oral metagenome"))</f>
        <v>0</v>
      </c>
      <c r="S991">
        <f>AND(IF(Metadata!E991="",FALSE,TRUE),exact(Metadata!E991,"447426"))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AND(IF(Metadata!C992="",FALSE,TRUE),exact(Metadata!C992,"human-oral"))</f>
        <v>0</v>
      </c>
      <c r="R992">
        <f>AND(IF(Metadata!D992="",FALSE,TRUE),exact(Metadata!D992,"human oral metagenome"))</f>
        <v>0</v>
      </c>
      <c r="S992">
        <f>AND(IF(Metadata!E992="",FALSE,TRUE),exact(Metadata!E992,"447426"))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AND(IF(Metadata!C993="",FALSE,TRUE),exact(Metadata!C993,"human-oral"))</f>
        <v>0</v>
      </c>
      <c r="R993">
        <f>AND(IF(Metadata!D993="",FALSE,TRUE),exact(Metadata!D993,"human oral metagenome"))</f>
        <v>0</v>
      </c>
      <c r="S993">
        <f>AND(IF(Metadata!E993="",FALSE,TRUE),exact(Metadata!E993,"447426"))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AND(IF(Metadata!C994="",FALSE,TRUE),exact(Metadata!C994,"human-oral"))</f>
        <v>0</v>
      </c>
      <c r="R994">
        <f>AND(IF(Metadata!D994="",FALSE,TRUE),exact(Metadata!D994,"human oral metagenome"))</f>
        <v>0</v>
      </c>
      <c r="S994">
        <f>AND(IF(Metadata!E994="",FALSE,TRUE),exact(Metadata!E994,"447426"))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AND(IF(Metadata!C995="",FALSE,TRUE),exact(Metadata!C995,"human-oral"))</f>
        <v>0</v>
      </c>
      <c r="R995">
        <f>AND(IF(Metadata!D995="",FALSE,TRUE),exact(Metadata!D995,"human oral metagenome"))</f>
        <v>0</v>
      </c>
      <c r="S995">
        <f>AND(IF(Metadata!E995="",FALSE,TRUE),exact(Metadata!E995,"447426"))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AND(IF(Metadata!C996="",FALSE,TRUE),exact(Metadata!C996,"human-oral"))</f>
        <v>0</v>
      </c>
      <c r="R996">
        <f>AND(IF(Metadata!D996="",FALSE,TRUE),exact(Metadata!D996,"human oral metagenome"))</f>
        <v>0</v>
      </c>
      <c r="S996">
        <f>AND(IF(Metadata!E996="",FALSE,TRUE),exact(Metadata!E996,"447426"))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AND(IF(Metadata!C997="",FALSE,TRUE),exact(Metadata!C997,"human-oral"))</f>
        <v>0</v>
      </c>
      <c r="R997">
        <f>AND(IF(Metadata!D997="",FALSE,TRUE),exact(Metadata!D997,"human oral metagenome"))</f>
        <v>0</v>
      </c>
      <c r="S997">
        <f>AND(IF(Metadata!E997="",FALSE,TRUE),exact(Metadata!E997,"447426"))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AND(IF(Metadata!C998="",FALSE,TRUE),exact(Metadata!C998,"human-oral"))</f>
        <v>0</v>
      </c>
      <c r="R998">
        <f>AND(IF(Metadata!D998="",FALSE,TRUE),exact(Metadata!D998,"human oral metagenome"))</f>
        <v>0</v>
      </c>
      <c r="S998">
        <f>AND(IF(Metadata!E998="",FALSE,TRUE),exact(Metadata!E998,"447426"))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AND(IF(Metadata!C999="",FALSE,TRUE),exact(Metadata!C999,"human-oral"))</f>
        <v>0</v>
      </c>
      <c r="R999">
        <f>AND(IF(Metadata!D999="",FALSE,TRUE),exact(Metadata!D999,"human oral metagenome"))</f>
        <v>0</v>
      </c>
      <c r="S999">
        <f>AND(IF(Metadata!E999="",FALSE,TRUE),exact(Metadata!E999,"447426"))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AND(IF(Metadata!C1000="",FALSE,TRUE),exact(Metadata!C1000,"human-oral"))</f>
        <v>0</v>
      </c>
      <c r="R1000">
        <f>AND(IF(Metadata!D1000="",FALSE,TRUE),exact(Metadata!D1000,"human oral metagenome"))</f>
        <v>0</v>
      </c>
      <c r="S1000">
        <f>AND(IF(Metadata!E1000="",FALSE,TRUE),exact(Metadata!E1000,"447426"))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AND(IF(Metadata!C1001="",FALSE,TRUE),exact(Metadata!C1001,"human-oral"))</f>
        <v>0</v>
      </c>
      <c r="R1001">
        <f>AND(IF(Metadata!D1001="",FALSE,TRUE),exact(Metadata!D1001,"human oral metagenome"))</f>
        <v>0</v>
      </c>
      <c r="S1001">
        <f>AND(IF(Metadata!E1001="",FALSE,TRUE),exact(Metadata!E1001,"447426"))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2018-07-07T00:19:10Z</dcterms:created>
  <dcterms:modified xsi:type="dcterms:W3CDTF">2018-07-07T00:19:10Z</dcterms:modified>
</cp:coreProperties>
</file>