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<sst xmlns="http://schemas.openxmlformats.org/spreadsheetml/2006/main" count="32" uniqueCount="22">
  <si>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</si>
  <si>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</si>
  <si>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</si>
  <si>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</si>
  <si>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</si>
  <si>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</si>
  <si>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</si>
  <si>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</si>
  <si>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</si>
  <si>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</si>
  <si>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</si>
  <si>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</si>
  <si>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</si>
  <si>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</si>
  <si>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</si>
  <si>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</si>
  <si>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</si>
  <si>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"rat metagenome". The default value is rat metagenome.</t>
  </si>
  <si>
    <t>The value must be a string and must equal "1427740". The default value is 1427740.</t>
  </si>
  <si>
    <t xml:space="preserve">sample_name:
  empty: false
  is_phi: false
  regex: ^[a-zA-Z0-9\.]+$
  required: true
  type: string
  unique: true
scientific_name:
  allowed:
  - rat metagenome
  default: rat metagenome
  empty: false
  is_phi: false
  required: true
  type: string
taxon_id:
  allowed:
  - '1427740'
  default: '1427740'
  empty: false
  is_phi: false
  required: true
  type: string
</t>
  </si>
  <si>
    <t xml:space="preserve">0:
  categorical_default_select: rat metagenome
  categorical_values: rat metagenome
  default_value: categorical_default
  field_name: scientific_name
  field_type: categorical
1:
  categorical_default_select: '1427740'
  categorical_values: '1427740'
  default_value: categorical_default
  field_name: taxon_id
  field_type: categorical
</t>
  </si>
  <si>
    <t>This file was created by QIIMP v0.3 at 2018-07-06 17:40:59.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</si>
</sst>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>
      <c r="A2">
        <f>IF(COUNTBLANK(B2:D2)&lt;&gt;COLUMNS(B2:D2),1,"")</f>
        <v>0</v>
      </c>
      <c r="C2" s="1">
        <f>IF(B2="", "", "rat metagenome")</f>
        <v>0</v>
      </c>
      <c r="D2" s="1">
        <f>IF(B2="", "", "1427740")</f>
        <v>0</v>
      </c>
    </row>
    <row r="3" spans="1:4">
      <c r="A3">
        <f>IF(COUNTBLANK(B3:D3)&lt;&gt;COLUMNS(B3:D3),2,"")</f>
        <v>0</v>
      </c>
      <c r="C3" s="1">
        <f>IF(B3="", "", "rat metagenome")</f>
        <v>0</v>
      </c>
      <c r="D3" s="1">
        <f>IF(B3="", "", "1427740")</f>
        <v>0</v>
      </c>
    </row>
    <row r="4" spans="1:4">
      <c r="A4">
        <f>IF(COUNTBLANK(B4:D4)&lt;&gt;COLUMNS(B4:D4),3,"")</f>
        <v>0</v>
      </c>
      <c r="C4" s="1">
        <f>IF(B4="", "", "rat metagenome")</f>
        <v>0</v>
      </c>
      <c r="D4" s="1">
        <f>IF(B4="", "", "1427740")</f>
        <v>0</v>
      </c>
    </row>
    <row r="5" spans="1:4">
      <c r="A5">
        <f>IF(COUNTBLANK(B5:D5)&lt;&gt;COLUMNS(B5:D5),4,"")</f>
        <v>0</v>
      </c>
      <c r="C5" s="1">
        <f>IF(B5="", "", "rat metagenome")</f>
        <v>0</v>
      </c>
      <c r="D5" s="1">
        <f>IF(B5="", "", "1427740")</f>
        <v>0</v>
      </c>
    </row>
    <row r="6" spans="1:4">
      <c r="A6">
        <f>IF(COUNTBLANK(B6:D6)&lt;&gt;COLUMNS(B6:D6),5,"")</f>
        <v>0</v>
      </c>
      <c r="C6" s="1">
        <f>IF(B6="", "", "rat metagenome")</f>
        <v>0</v>
      </c>
      <c r="D6" s="1">
        <f>IF(B6="", "", "1427740")</f>
        <v>0</v>
      </c>
    </row>
    <row r="7" spans="1:4">
      <c r="A7">
        <f>IF(COUNTBLANK(B7:D7)&lt;&gt;COLUMNS(B7:D7),6,"")</f>
        <v>0</v>
      </c>
      <c r="C7" s="1">
        <f>IF(B7="", "", "rat metagenome")</f>
        <v>0</v>
      </c>
      <c r="D7" s="1">
        <f>IF(B7="", "", "1427740")</f>
        <v>0</v>
      </c>
    </row>
    <row r="8" spans="1:4">
      <c r="A8">
        <f>IF(COUNTBLANK(B8:D8)&lt;&gt;COLUMNS(B8:D8),7,"")</f>
        <v>0</v>
      </c>
      <c r="C8" s="1">
        <f>IF(B8="", "", "rat metagenome")</f>
        <v>0</v>
      </c>
      <c r="D8" s="1">
        <f>IF(B8="", "", "1427740")</f>
        <v>0</v>
      </c>
    </row>
    <row r="9" spans="1:4">
      <c r="A9">
        <f>IF(COUNTBLANK(B9:D9)&lt;&gt;COLUMNS(B9:D9),8,"")</f>
        <v>0</v>
      </c>
      <c r="C9" s="1">
        <f>IF(B9="", "", "rat metagenome")</f>
        <v>0</v>
      </c>
      <c r="D9" s="1">
        <f>IF(B9="", "", "1427740")</f>
        <v>0</v>
      </c>
    </row>
    <row r="10" spans="1:4">
      <c r="A10">
        <f>IF(COUNTBLANK(B10:D10)&lt;&gt;COLUMNS(B10:D10),9,"")</f>
        <v>0</v>
      </c>
      <c r="C10" s="1">
        <f>IF(B10="", "", "rat metagenome")</f>
        <v>0</v>
      </c>
      <c r="D10" s="1">
        <f>IF(B10="", "", "1427740")</f>
        <v>0</v>
      </c>
    </row>
    <row r="11" spans="1:4">
      <c r="A11">
        <f>IF(COUNTBLANK(B11:D11)&lt;&gt;COLUMNS(B11:D11),10,"")</f>
        <v>0</v>
      </c>
      <c r="C11" s="1">
        <f>IF(B11="", "", "rat metagenome")</f>
        <v>0</v>
      </c>
      <c r="D11" s="1">
        <f>IF(B11="", "", "1427740")</f>
        <v>0</v>
      </c>
    </row>
    <row r="12" spans="1:4">
      <c r="A12">
        <f>IF(COUNTBLANK(B12:D12)&lt;&gt;COLUMNS(B12:D12),11,"")</f>
        <v>0</v>
      </c>
      <c r="C12" s="1">
        <f>IF(B12="", "", "rat metagenome")</f>
        <v>0</v>
      </c>
      <c r="D12" s="1">
        <f>IF(B12="", "", "1427740")</f>
        <v>0</v>
      </c>
    </row>
    <row r="13" spans="1:4">
      <c r="A13">
        <f>IF(COUNTBLANK(B13:D13)&lt;&gt;COLUMNS(B13:D13),12,"")</f>
        <v>0</v>
      </c>
      <c r="C13" s="1">
        <f>IF(B13="", "", "rat metagenome")</f>
        <v>0</v>
      </c>
      <c r="D13" s="1">
        <f>IF(B13="", "", "1427740")</f>
        <v>0</v>
      </c>
    </row>
    <row r="14" spans="1:4">
      <c r="A14">
        <f>IF(COUNTBLANK(B14:D14)&lt;&gt;COLUMNS(B14:D14),13,"")</f>
        <v>0</v>
      </c>
      <c r="C14" s="1">
        <f>IF(B14="", "", "rat metagenome")</f>
        <v>0</v>
      </c>
      <c r="D14" s="1">
        <f>IF(B14="", "", "1427740")</f>
        <v>0</v>
      </c>
    </row>
    <row r="15" spans="1:4">
      <c r="A15">
        <f>IF(COUNTBLANK(B15:D15)&lt;&gt;COLUMNS(B15:D15),14,"")</f>
        <v>0</v>
      </c>
      <c r="C15" s="1">
        <f>IF(B15="", "", "rat metagenome")</f>
        <v>0</v>
      </c>
      <c r="D15" s="1">
        <f>IF(B15="", "", "1427740")</f>
        <v>0</v>
      </c>
    </row>
    <row r="16" spans="1:4">
      <c r="A16">
        <f>IF(COUNTBLANK(B16:D16)&lt;&gt;COLUMNS(B16:D16),15,"")</f>
        <v>0</v>
      </c>
      <c r="C16" s="1">
        <f>IF(B16="", "", "rat metagenome")</f>
        <v>0</v>
      </c>
      <c r="D16" s="1">
        <f>IF(B16="", "", "1427740")</f>
        <v>0</v>
      </c>
    </row>
    <row r="17" spans="1:4">
      <c r="A17">
        <f>IF(COUNTBLANK(B17:D17)&lt;&gt;COLUMNS(B17:D17),16,"")</f>
        <v>0</v>
      </c>
      <c r="C17" s="1">
        <f>IF(B17="", "", "rat metagenome")</f>
        <v>0</v>
      </c>
      <c r="D17" s="1">
        <f>IF(B17="", "", "1427740")</f>
        <v>0</v>
      </c>
    </row>
    <row r="18" spans="1:4">
      <c r="A18">
        <f>IF(COUNTBLANK(B18:D18)&lt;&gt;COLUMNS(B18:D18),17,"")</f>
        <v>0</v>
      </c>
      <c r="C18" s="1">
        <f>IF(B18="", "", "rat metagenome")</f>
        <v>0</v>
      </c>
      <c r="D18" s="1">
        <f>IF(B18="", "", "1427740")</f>
        <v>0</v>
      </c>
    </row>
    <row r="19" spans="1:4">
      <c r="A19">
        <f>IF(COUNTBLANK(B19:D19)&lt;&gt;COLUMNS(B19:D19),18,"")</f>
        <v>0</v>
      </c>
      <c r="C19" s="1">
        <f>IF(B19="", "", "rat metagenome")</f>
        <v>0</v>
      </c>
      <c r="D19" s="1">
        <f>IF(B19="", "", "1427740")</f>
        <v>0</v>
      </c>
    </row>
    <row r="20" spans="1:4">
      <c r="A20">
        <f>IF(COUNTBLANK(B20:D20)&lt;&gt;COLUMNS(B20:D20),19,"")</f>
        <v>0</v>
      </c>
      <c r="C20" s="1">
        <f>IF(B20="", "", "rat metagenome")</f>
        <v>0</v>
      </c>
      <c r="D20" s="1">
        <f>IF(B20="", "", "1427740")</f>
        <v>0</v>
      </c>
    </row>
    <row r="21" spans="1:4">
      <c r="A21">
        <f>IF(COUNTBLANK(B21:D21)&lt;&gt;COLUMNS(B21:D21),20,"")</f>
        <v>0</v>
      </c>
      <c r="C21" s="1">
        <f>IF(B21="", "", "rat metagenome")</f>
        <v>0</v>
      </c>
      <c r="D21" s="1">
        <f>IF(B21="", "", "1427740")</f>
        <v>0</v>
      </c>
    </row>
    <row r="22" spans="1:4">
      <c r="A22">
        <f>IF(COUNTBLANK(B22:D22)&lt;&gt;COLUMNS(B22:D22),21,"")</f>
        <v>0</v>
      </c>
      <c r="C22" s="1">
        <f>IF(B22="", "", "rat metagenome")</f>
        <v>0</v>
      </c>
      <c r="D22" s="1">
        <f>IF(B22="", "", "1427740")</f>
        <v>0</v>
      </c>
    </row>
    <row r="23" spans="1:4">
      <c r="A23">
        <f>IF(COUNTBLANK(B23:D23)&lt;&gt;COLUMNS(B23:D23),22,"")</f>
        <v>0</v>
      </c>
      <c r="C23" s="1">
        <f>IF(B23="", "", "rat metagenome")</f>
        <v>0</v>
      </c>
      <c r="D23" s="1">
        <f>IF(B23="", "", "1427740")</f>
        <v>0</v>
      </c>
    </row>
    <row r="24" spans="1:4">
      <c r="A24">
        <f>IF(COUNTBLANK(B24:D24)&lt;&gt;COLUMNS(B24:D24),23,"")</f>
        <v>0</v>
      </c>
      <c r="C24" s="1">
        <f>IF(B24="", "", "rat metagenome")</f>
        <v>0</v>
      </c>
      <c r="D24" s="1">
        <f>IF(B24="", "", "1427740")</f>
        <v>0</v>
      </c>
    </row>
    <row r="25" spans="1:4">
      <c r="A25">
        <f>IF(COUNTBLANK(B25:D25)&lt;&gt;COLUMNS(B25:D25),24,"")</f>
        <v>0</v>
      </c>
      <c r="C25" s="1">
        <f>IF(B25="", "", "rat metagenome")</f>
        <v>0</v>
      </c>
      <c r="D25" s="1">
        <f>IF(B25="", "", "1427740")</f>
        <v>0</v>
      </c>
    </row>
    <row r="26" spans="1:4">
      <c r="A26">
        <f>IF(COUNTBLANK(B26:D26)&lt;&gt;COLUMNS(B26:D26),25,"")</f>
        <v>0</v>
      </c>
      <c r="C26" s="1">
        <f>IF(B26="", "", "rat metagenome")</f>
        <v>0</v>
      </c>
      <c r="D26" s="1">
        <f>IF(B26="", "", "1427740")</f>
        <v>0</v>
      </c>
    </row>
    <row r="27" spans="1:4">
      <c r="A27">
        <f>IF(COUNTBLANK(B27:D27)&lt;&gt;COLUMNS(B27:D27),26,"")</f>
        <v>0</v>
      </c>
      <c r="C27" s="1">
        <f>IF(B27="", "", "rat metagenome")</f>
        <v>0</v>
      </c>
      <c r="D27" s="1">
        <f>IF(B27="", "", "1427740")</f>
        <v>0</v>
      </c>
    </row>
    <row r="28" spans="1:4">
      <c r="A28">
        <f>IF(COUNTBLANK(B28:D28)&lt;&gt;COLUMNS(B28:D28),27,"")</f>
        <v>0</v>
      </c>
      <c r="C28" s="1">
        <f>IF(B28="", "", "rat metagenome")</f>
        <v>0</v>
      </c>
      <c r="D28" s="1">
        <f>IF(B28="", "", "1427740")</f>
        <v>0</v>
      </c>
    </row>
    <row r="29" spans="1:4">
      <c r="A29">
        <f>IF(COUNTBLANK(B29:D29)&lt;&gt;COLUMNS(B29:D29),28,"")</f>
        <v>0</v>
      </c>
      <c r="C29" s="1">
        <f>IF(B29="", "", "rat metagenome")</f>
        <v>0</v>
      </c>
      <c r="D29" s="1">
        <f>IF(B29="", "", "1427740")</f>
        <v>0</v>
      </c>
    </row>
    <row r="30" spans="1:4">
      <c r="A30">
        <f>IF(COUNTBLANK(B30:D30)&lt;&gt;COLUMNS(B30:D30),29,"")</f>
        <v>0</v>
      </c>
      <c r="C30" s="1">
        <f>IF(B30="", "", "rat metagenome")</f>
        <v>0</v>
      </c>
      <c r="D30" s="1">
        <f>IF(B30="", "", "1427740")</f>
        <v>0</v>
      </c>
    </row>
    <row r="31" spans="1:4">
      <c r="A31">
        <f>IF(COUNTBLANK(B31:D31)&lt;&gt;COLUMNS(B31:D31),30,"")</f>
        <v>0</v>
      </c>
      <c r="C31" s="1">
        <f>IF(B31="", "", "rat metagenome")</f>
        <v>0</v>
      </c>
      <c r="D31" s="1">
        <f>IF(B31="", "", "1427740")</f>
        <v>0</v>
      </c>
    </row>
    <row r="32" spans="1:4">
      <c r="A32">
        <f>IF(COUNTBLANK(B32:D32)&lt;&gt;COLUMNS(B32:D32),31,"")</f>
        <v>0</v>
      </c>
      <c r="C32" s="1">
        <f>IF(B32="", "", "rat metagenome")</f>
        <v>0</v>
      </c>
      <c r="D32" s="1">
        <f>IF(B32="", "", "1427740")</f>
        <v>0</v>
      </c>
    </row>
    <row r="33" spans="1:4">
      <c r="A33">
        <f>IF(COUNTBLANK(B33:D33)&lt;&gt;COLUMNS(B33:D33),32,"")</f>
        <v>0</v>
      </c>
      <c r="C33" s="1">
        <f>IF(B33="", "", "rat metagenome")</f>
        <v>0</v>
      </c>
      <c r="D33" s="1">
        <f>IF(B33="", "", "1427740")</f>
        <v>0</v>
      </c>
    </row>
    <row r="34" spans="1:4">
      <c r="A34">
        <f>IF(COUNTBLANK(B34:D34)&lt;&gt;COLUMNS(B34:D34),33,"")</f>
        <v>0</v>
      </c>
      <c r="C34" s="1">
        <f>IF(B34="", "", "rat metagenome")</f>
        <v>0</v>
      </c>
      <c r="D34" s="1">
        <f>IF(B34="", "", "1427740")</f>
        <v>0</v>
      </c>
    </row>
    <row r="35" spans="1:4">
      <c r="A35">
        <f>IF(COUNTBLANK(B35:D35)&lt;&gt;COLUMNS(B35:D35),34,"")</f>
        <v>0</v>
      </c>
      <c r="C35" s="1">
        <f>IF(B35="", "", "rat metagenome")</f>
        <v>0</v>
      </c>
      <c r="D35" s="1">
        <f>IF(B35="", "", "1427740")</f>
        <v>0</v>
      </c>
    </row>
    <row r="36" spans="1:4">
      <c r="A36">
        <f>IF(COUNTBLANK(B36:D36)&lt;&gt;COLUMNS(B36:D36),35,"")</f>
        <v>0</v>
      </c>
      <c r="C36" s="1">
        <f>IF(B36="", "", "rat metagenome")</f>
        <v>0</v>
      </c>
      <c r="D36" s="1">
        <f>IF(B36="", "", "1427740")</f>
        <v>0</v>
      </c>
    </row>
    <row r="37" spans="1:4">
      <c r="A37">
        <f>IF(COUNTBLANK(B37:D37)&lt;&gt;COLUMNS(B37:D37),36,"")</f>
        <v>0</v>
      </c>
      <c r="C37" s="1">
        <f>IF(B37="", "", "rat metagenome")</f>
        <v>0</v>
      </c>
      <c r="D37" s="1">
        <f>IF(B37="", "", "1427740")</f>
        <v>0</v>
      </c>
    </row>
    <row r="38" spans="1:4">
      <c r="A38">
        <f>IF(COUNTBLANK(B38:D38)&lt;&gt;COLUMNS(B38:D38),37,"")</f>
        <v>0</v>
      </c>
      <c r="C38" s="1">
        <f>IF(B38="", "", "rat metagenome")</f>
        <v>0</v>
      </c>
      <c r="D38" s="1">
        <f>IF(B38="", "", "1427740")</f>
        <v>0</v>
      </c>
    </row>
    <row r="39" spans="1:4">
      <c r="A39">
        <f>IF(COUNTBLANK(B39:D39)&lt;&gt;COLUMNS(B39:D39),38,"")</f>
        <v>0</v>
      </c>
      <c r="C39" s="1">
        <f>IF(B39="", "", "rat metagenome")</f>
        <v>0</v>
      </c>
      <c r="D39" s="1">
        <f>IF(B39="", "", "1427740")</f>
        <v>0</v>
      </c>
    </row>
    <row r="40" spans="1:4">
      <c r="A40">
        <f>IF(COUNTBLANK(B40:D40)&lt;&gt;COLUMNS(B40:D40),39,"")</f>
        <v>0</v>
      </c>
      <c r="C40" s="1">
        <f>IF(B40="", "", "rat metagenome")</f>
        <v>0</v>
      </c>
      <c r="D40" s="1">
        <f>IF(B40="", "", "1427740")</f>
        <v>0</v>
      </c>
    </row>
    <row r="41" spans="1:4">
      <c r="A41">
        <f>IF(COUNTBLANK(B41:D41)&lt;&gt;COLUMNS(B41:D41),40,"")</f>
        <v>0</v>
      </c>
      <c r="C41" s="1">
        <f>IF(B41="", "", "rat metagenome")</f>
        <v>0</v>
      </c>
      <c r="D41" s="1">
        <f>IF(B41="", "", "1427740")</f>
        <v>0</v>
      </c>
    </row>
    <row r="42" spans="1:4">
      <c r="A42">
        <f>IF(COUNTBLANK(B42:D42)&lt;&gt;COLUMNS(B42:D42),41,"")</f>
        <v>0</v>
      </c>
      <c r="C42" s="1">
        <f>IF(B42="", "", "rat metagenome")</f>
        <v>0</v>
      </c>
      <c r="D42" s="1">
        <f>IF(B42="", "", "1427740")</f>
        <v>0</v>
      </c>
    </row>
    <row r="43" spans="1:4">
      <c r="A43">
        <f>IF(COUNTBLANK(B43:D43)&lt;&gt;COLUMNS(B43:D43),42,"")</f>
        <v>0</v>
      </c>
      <c r="C43" s="1">
        <f>IF(B43="", "", "rat metagenome")</f>
        <v>0</v>
      </c>
      <c r="D43" s="1">
        <f>IF(B43="", "", "1427740")</f>
        <v>0</v>
      </c>
    </row>
    <row r="44" spans="1:4">
      <c r="A44">
        <f>IF(COUNTBLANK(B44:D44)&lt;&gt;COLUMNS(B44:D44),43,"")</f>
        <v>0</v>
      </c>
      <c r="C44" s="1">
        <f>IF(B44="", "", "rat metagenome")</f>
        <v>0</v>
      </c>
      <c r="D44" s="1">
        <f>IF(B44="", "", "1427740")</f>
        <v>0</v>
      </c>
    </row>
    <row r="45" spans="1:4">
      <c r="A45">
        <f>IF(COUNTBLANK(B45:D45)&lt;&gt;COLUMNS(B45:D45),44,"")</f>
        <v>0</v>
      </c>
      <c r="C45" s="1">
        <f>IF(B45="", "", "rat metagenome")</f>
        <v>0</v>
      </c>
      <c r="D45" s="1">
        <f>IF(B45="", "", "1427740")</f>
        <v>0</v>
      </c>
    </row>
    <row r="46" spans="1:4">
      <c r="A46">
        <f>IF(COUNTBLANK(B46:D46)&lt;&gt;COLUMNS(B46:D46),45,"")</f>
        <v>0</v>
      </c>
      <c r="C46" s="1">
        <f>IF(B46="", "", "rat metagenome")</f>
        <v>0</v>
      </c>
      <c r="D46" s="1">
        <f>IF(B46="", "", "1427740")</f>
        <v>0</v>
      </c>
    </row>
    <row r="47" spans="1:4">
      <c r="A47">
        <f>IF(COUNTBLANK(B47:D47)&lt;&gt;COLUMNS(B47:D47),46,"")</f>
        <v>0</v>
      </c>
      <c r="C47" s="1">
        <f>IF(B47="", "", "rat metagenome")</f>
        <v>0</v>
      </c>
      <c r="D47" s="1">
        <f>IF(B47="", "", "1427740")</f>
        <v>0</v>
      </c>
    </row>
    <row r="48" spans="1:4">
      <c r="A48">
        <f>IF(COUNTBLANK(B48:D48)&lt;&gt;COLUMNS(B48:D48),47,"")</f>
        <v>0</v>
      </c>
      <c r="C48" s="1">
        <f>IF(B48="", "", "rat metagenome")</f>
        <v>0</v>
      </c>
      <c r="D48" s="1">
        <f>IF(B48="", "", "1427740")</f>
        <v>0</v>
      </c>
    </row>
    <row r="49" spans="1:4">
      <c r="A49">
        <f>IF(COUNTBLANK(B49:D49)&lt;&gt;COLUMNS(B49:D49),48,"")</f>
        <v>0</v>
      </c>
      <c r="C49" s="1">
        <f>IF(B49="", "", "rat metagenome")</f>
        <v>0</v>
      </c>
      <c r="D49" s="1">
        <f>IF(B49="", "", "1427740")</f>
        <v>0</v>
      </c>
    </row>
    <row r="50" spans="1:4">
      <c r="A50">
        <f>IF(COUNTBLANK(B50:D50)&lt;&gt;COLUMNS(B50:D50),49,"")</f>
        <v>0</v>
      </c>
      <c r="C50" s="1">
        <f>IF(B50="", "", "rat metagenome")</f>
        <v>0</v>
      </c>
      <c r="D50" s="1">
        <f>IF(B50="", "", "1427740")</f>
        <v>0</v>
      </c>
    </row>
    <row r="51" spans="1:4">
      <c r="A51">
        <f>IF(COUNTBLANK(B51:D51)&lt;&gt;COLUMNS(B51:D51),50,"")</f>
        <v>0</v>
      </c>
      <c r="C51" s="1">
        <f>IF(B51="", "", "rat metagenome")</f>
        <v>0</v>
      </c>
      <c r="D51" s="1">
        <f>IF(B51="", "", "1427740")</f>
        <v>0</v>
      </c>
    </row>
    <row r="52" spans="1:4">
      <c r="A52">
        <f>IF(COUNTBLANK(B52:D52)&lt;&gt;COLUMNS(B52:D52),51,"")</f>
        <v>0</v>
      </c>
      <c r="C52" s="1">
        <f>IF(B52="", "", "rat metagenome")</f>
        <v>0</v>
      </c>
      <c r="D52" s="1">
        <f>IF(B52="", "", "1427740")</f>
        <v>0</v>
      </c>
    </row>
    <row r="53" spans="1:4">
      <c r="A53">
        <f>IF(COUNTBLANK(B53:D53)&lt;&gt;COLUMNS(B53:D53),52,"")</f>
        <v>0</v>
      </c>
      <c r="C53" s="1">
        <f>IF(B53="", "", "rat metagenome")</f>
        <v>0</v>
      </c>
      <c r="D53" s="1">
        <f>IF(B53="", "", "1427740")</f>
        <v>0</v>
      </c>
    </row>
    <row r="54" spans="1:4">
      <c r="A54">
        <f>IF(COUNTBLANK(B54:D54)&lt;&gt;COLUMNS(B54:D54),53,"")</f>
        <v>0</v>
      </c>
      <c r="C54" s="1">
        <f>IF(B54="", "", "rat metagenome")</f>
        <v>0</v>
      </c>
      <c r="D54" s="1">
        <f>IF(B54="", "", "1427740")</f>
        <v>0</v>
      </c>
    </row>
    <row r="55" spans="1:4">
      <c r="A55">
        <f>IF(COUNTBLANK(B55:D55)&lt;&gt;COLUMNS(B55:D55),54,"")</f>
        <v>0</v>
      </c>
      <c r="C55" s="1">
        <f>IF(B55="", "", "rat metagenome")</f>
        <v>0</v>
      </c>
      <c r="D55" s="1">
        <f>IF(B55="", "", "1427740")</f>
        <v>0</v>
      </c>
    </row>
    <row r="56" spans="1:4">
      <c r="A56">
        <f>IF(COUNTBLANK(B56:D56)&lt;&gt;COLUMNS(B56:D56),55,"")</f>
        <v>0</v>
      </c>
      <c r="C56" s="1">
        <f>IF(B56="", "", "rat metagenome")</f>
        <v>0</v>
      </c>
      <c r="D56" s="1">
        <f>IF(B56="", "", "1427740")</f>
        <v>0</v>
      </c>
    </row>
    <row r="57" spans="1:4">
      <c r="A57">
        <f>IF(COUNTBLANK(B57:D57)&lt;&gt;COLUMNS(B57:D57),56,"")</f>
        <v>0</v>
      </c>
      <c r="C57" s="1">
        <f>IF(B57="", "", "rat metagenome")</f>
        <v>0</v>
      </c>
      <c r="D57" s="1">
        <f>IF(B57="", "", "1427740")</f>
        <v>0</v>
      </c>
    </row>
    <row r="58" spans="1:4">
      <c r="A58">
        <f>IF(COUNTBLANK(B58:D58)&lt;&gt;COLUMNS(B58:D58),57,"")</f>
        <v>0</v>
      </c>
      <c r="C58" s="1">
        <f>IF(B58="", "", "rat metagenome")</f>
        <v>0</v>
      </c>
      <c r="D58" s="1">
        <f>IF(B58="", "", "1427740")</f>
        <v>0</v>
      </c>
    </row>
    <row r="59" spans="1:4">
      <c r="A59">
        <f>IF(COUNTBLANK(B59:D59)&lt;&gt;COLUMNS(B59:D59),58,"")</f>
        <v>0</v>
      </c>
      <c r="C59" s="1">
        <f>IF(B59="", "", "rat metagenome")</f>
        <v>0</v>
      </c>
      <c r="D59" s="1">
        <f>IF(B59="", "", "1427740")</f>
        <v>0</v>
      </c>
    </row>
    <row r="60" spans="1:4">
      <c r="A60">
        <f>IF(COUNTBLANK(B60:D60)&lt;&gt;COLUMNS(B60:D60),59,"")</f>
        <v>0</v>
      </c>
      <c r="C60" s="1">
        <f>IF(B60="", "", "rat metagenome")</f>
        <v>0</v>
      </c>
      <c r="D60" s="1">
        <f>IF(B60="", "", "1427740")</f>
        <v>0</v>
      </c>
    </row>
    <row r="61" spans="1:4">
      <c r="A61">
        <f>IF(COUNTBLANK(B61:D61)&lt;&gt;COLUMNS(B61:D61),60,"")</f>
        <v>0</v>
      </c>
      <c r="C61" s="1">
        <f>IF(B61="", "", "rat metagenome")</f>
        <v>0</v>
      </c>
      <c r="D61" s="1">
        <f>IF(B61="", "", "1427740")</f>
        <v>0</v>
      </c>
    </row>
    <row r="62" spans="1:4">
      <c r="A62">
        <f>IF(COUNTBLANK(B62:D62)&lt;&gt;COLUMNS(B62:D62),61,"")</f>
        <v>0</v>
      </c>
      <c r="C62" s="1">
        <f>IF(B62="", "", "rat metagenome")</f>
        <v>0</v>
      </c>
      <c r="D62" s="1">
        <f>IF(B62="", "", "1427740")</f>
        <v>0</v>
      </c>
    </row>
    <row r="63" spans="1:4">
      <c r="A63">
        <f>IF(COUNTBLANK(B63:D63)&lt;&gt;COLUMNS(B63:D63),62,"")</f>
        <v>0</v>
      </c>
      <c r="C63" s="1">
        <f>IF(B63="", "", "rat metagenome")</f>
        <v>0</v>
      </c>
      <c r="D63" s="1">
        <f>IF(B63="", "", "1427740")</f>
        <v>0</v>
      </c>
    </row>
    <row r="64" spans="1:4">
      <c r="A64">
        <f>IF(COUNTBLANK(B64:D64)&lt;&gt;COLUMNS(B64:D64),63,"")</f>
        <v>0</v>
      </c>
      <c r="C64" s="1">
        <f>IF(B64="", "", "rat metagenome")</f>
        <v>0</v>
      </c>
      <c r="D64" s="1">
        <f>IF(B64="", "", "1427740")</f>
        <v>0</v>
      </c>
    </row>
    <row r="65" spans="1:4">
      <c r="A65">
        <f>IF(COUNTBLANK(B65:D65)&lt;&gt;COLUMNS(B65:D65),64,"")</f>
        <v>0</v>
      </c>
      <c r="C65" s="1">
        <f>IF(B65="", "", "rat metagenome")</f>
        <v>0</v>
      </c>
      <c r="D65" s="1">
        <f>IF(B65="", "", "1427740")</f>
        <v>0</v>
      </c>
    </row>
    <row r="66" spans="1:4">
      <c r="A66">
        <f>IF(COUNTBLANK(B66:D66)&lt;&gt;COLUMNS(B66:D66),65,"")</f>
        <v>0</v>
      </c>
      <c r="C66" s="1">
        <f>IF(B66="", "", "rat metagenome")</f>
        <v>0</v>
      </c>
      <c r="D66" s="1">
        <f>IF(B66="", "", "1427740")</f>
        <v>0</v>
      </c>
    </row>
    <row r="67" spans="1:4">
      <c r="A67">
        <f>IF(COUNTBLANK(B67:D67)&lt;&gt;COLUMNS(B67:D67),66,"")</f>
        <v>0</v>
      </c>
      <c r="C67" s="1">
        <f>IF(B67="", "", "rat metagenome")</f>
        <v>0</v>
      </c>
      <c r="D67" s="1">
        <f>IF(B67="", "", "1427740")</f>
        <v>0</v>
      </c>
    </row>
    <row r="68" spans="1:4">
      <c r="A68">
        <f>IF(COUNTBLANK(B68:D68)&lt;&gt;COLUMNS(B68:D68),67,"")</f>
        <v>0</v>
      </c>
      <c r="C68" s="1">
        <f>IF(B68="", "", "rat metagenome")</f>
        <v>0</v>
      </c>
      <c r="D68" s="1">
        <f>IF(B68="", "", "1427740")</f>
        <v>0</v>
      </c>
    </row>
    <row r="69" spans="1:4">
      <c r="A69">
        <f>IF(COUNTBLANK(B69:D69)&lt;&gt;COLUMNS(B69:D69),68,"")</f>
        <v>0</v>
      </c>
      <c r="C69" s="1">
        <f>IF(B69="", "", "rat metagenome")</f>
        <v>0</v>
      </c>
      <c r="D69" s="1">
        <f>IF(B69="", "", "1427740")</f>
        <v>0</v>
      </c>
    </row>
    <row r="70" spans="1:4">
      <c r="A70">
        <f>IF(COUNTBLANK(B70:D70)&lt;&gt;COLUMNS(B70:D70),69,"")</f>
        <v>0</v>
      </c>
      <c r="C70" s="1">
        <f>IF(B70="", "", "rat metagenome")</f>
        <v>0</v>
      </c>
      <c r="D70" s="1">
        <f>IF(B70="", "", "1427740")</f>
        <v>0</v>
      </c>
    </row>
    <row r="71" spans="1:4">
      <c r="A71">
        <f>IF(COUNTBLANK(B71:D71)&lt;&gt;COLUMNS(B71:D71),70,"")</f>
        <v>0</v>
      </c>
      <c r="C71" s="1">
        <f>IF(B71="", "", "rat metagenome")</f>
        <v>0</v>
      </c>
      <c r="D71" s="1">
        <f>IF(B71="", "", "1427740")</f>
        <v>0</v>
      </c>
    </row>
    <row r="72" spans="1:4">
      <c r="A72">
        <f>IF(COUNTBLANK(B72:D72)&lt;&gt;COLUMNS(B72:D72),71,"")</f>
        <v>0</v>
      </c>
      <c r="C72" s="1">
        <f>IF(B72="", "", "rat metagenome")</f>
        <v>0</v>
      </c>
      <c r="D72" s="1">
        <f>IF(B72="", "", "1427740")</f>
        <v>0</v>
      </c>
    </row>
    <row r="73" spans="1:4">
      <c r="A73">
        <f>IF(COUNTBLANK(B73:D73)&lt;&gt;COLUMNS(B73:D73),72,"")</f>
        <v>0</v>
      </c>
      <c r="C73" s="1">
        <f>IF(B73="", "", "rat metagenome")</f>
        <v>0</v>
      </c>
      <c r="D73" s="1">
        <f>IF(B73="", "", "1427740")</f>
        <v>0</v>
      </c>
    </row>
    <row r="74" spans="1:4">
      <c r="A74">
        <f>IF(COUNTBLANK(B74:D74)&lt;&gt;COLUMNS(B74:D74),73,"")</f>
        <v>0</v>
      </c>
      <c r="C74" s="1">
        <f>IF(B74="", "", "rat metagenome")</f>
        <v>0</v>
      </c>
      <c r="D74" s="1">
        <f>IF(B74="", "", "1427740")</f>
        <v>0</v>
      </c>
    </row>
    <row r="75" spans="1:4">
      <c r="A75">
        <f>IF(COUNTBLANK(B75:D75)&lt;&gt;COLUMNS(B75:D75),74,"")</f>
        <v>0</v>
      </c>
      <c r="C75" s="1">
        <f>IF(B75="", "", "rat metagenome")</f>
        <v>0</v>
      </c>
      <c r="D75" s="1">
        <f>IF(B75="", "", "1427740")</f>
        <v>0</v>
      </c>
    </row>
    <row r="76" spans="1:4">
      <c r="A76">
        <f>IF(COUNTBLANK(B76:D76)&lt;&gt;COLUMNS(B76:D76),75,"")</f>
        <v>0</v>
      </c>
      <c r="C76" s="1">
        <f>IF(B76="", "", "rat metagenome")</f>
        <v>0</v>
      </c>
      <c r="D76" s="1">
        <f>IF(B76="", "", "1427740")</f>
        <v>0</v>
      </c>
    </row>
    <row r="77" spans="1:4">
      <c r="A77">
        <f>IF(COUNTBLANK(B77:D77)&lt;&gt;COLUMNS(B77:D77),76,"")</f>
        <v>0</v>
      </c>
      <c r="C77" s="1">
        <f>IF(B77="", "", "rat metagenome")</f>
        <v>0</v>
      </c>
      <c r="D77" s="1">
        <f>IF(B77="", "", "1427740")</f>
        <v>0</v>
      </c>
    </row>
    <row r="78" spans="1:4">
      <c r="A78">
        <f>IF(COUNTBLANK(B78:D78)&lt;&gt;COLUMNS(B78:D78),77,"")</f>
        <v>0</v>
      </c>
      <c r="C78" s="1">
        <f>IF(B78="", "", "rat metagenome")</f>
        <v>0</v>
      </c>
      <c r="D78" s="1">
        <f>IF(B78="", "", "1427740")</f>
        <v>0</v>
      </c>
    </row>
    <row r="79" spans="1:4">
      <c r="A79">
        <f>IF(COUNTBLANK(B79:D79)&lt;&gt;COLUMNS(B79:D79),78,"")</f>
        <v>0</v>
      </c>
      <c r="C79" s="1">
        <f>IF(B79="", "", "rat metagenome")</f>
        <v>0</v>
      </c>
      <c r="D79" s="1">
        <f>IF(B79="", "", "1427740")</f>
        <v>0</v>
      </c>
    </row>
    <row r="80" spans="1:4">
      <c r="A80">
        <f>IF(COUNTBLANK(B80:D80)&lt;&gt;COLUMNS(B80:D80),79,"")</f>
        <v>0</v>
      </c>
      <c r="C80" s="1">
        <f>IF(B80="", "", "rat metagenome")</f>
        <v>0</v>
      </c>
      <c r="D80" s="1">
        <f>IF(B80="", "", "1427740")</f>
        <v>0</v>
      </c>
    </row>
    <row r="81" spans="1:4">
      <c r="A81">
        <f>IF(COUNTBLANK(B81:D81)&lt;&gt;COLUMNS(B81:D81),80,"")</f>
        <v>0</v>
      </c>
      <c r="C81" s="1">
        <f>IF(B81="", "", "rat metagenome")</f>
        <v>0</v>
      </c>
      <c r="D81" s="1">
        <f>IF(B81="", "", "1427740")</f>
        <v>0</v>
      </c>
    </row>
    <row r="82" spans="1:4">
      <c r="A82">
        <f>IF(COUNTBLANK(B82:D82)&lt;&gt;COLUMNS(B82:D82),81,"")</f>
        <v>0</v>
      </c>
      <c r="C82" s="1">
        <f>IF(B82="", "", "rat metagenome")</f>
        <v>0</v>
      </c>
      <c r="D82" s="1">
        <f>IF(B82="", "", "1427740")</f>
        <v>0</v>
      </c>
    </row>
    <row r="83" spans="1:4">
      <c r="A83">
        <f>IF(COUNTBLANK(B83:D83)&lt;&gt;COLUMNS(B83:D83),82,"")</f>
        <v>0</v>
      </c>
      <c r="C83" s="1">
        <f>IF(B83="", "", "rat metagenome")</f>
        <v>0</v>
      </c>
      <c r="D83" s="1">
        <f>IF(B83="", "", "1427740")</f>
        <v>0</v>
      </c>
    </row>
    <row r="84" spans="1:4">
      <c r="A84">
        <f>IF(COUNTBLANK(B84:D84)&lt;&gt;COLUMNS(B84:D84),83,"")</f>
        <v>0</v>
      </c>
      <c r="C84" s="1">
        <f>IF(B84="", "", "rat metagenome")</f>
        <v>0</v>
      </c>
      <c r="D84" s="1">
        <f>IF(B84="", "", "1427740")</f>
        <v>0</v>
      </c>
    </row>
    <row r="85" spans="1:4">
      <c r="A85">
        <f>IF(COUNTBLANK(B85:D85)&lt;&gt;COLUMNS(B85:D85),84,"")</f>
        <v>0</v>
      </c>
      <c r="C85" s="1">
        <f>IF(B85="", "", "rat metagenome")</f>
        <v>0</v>
      </c>
      <c r="D85" s="1">
        <f>IF(B85="", "", "1427740")</f>
        <v>0</v>
      </c>
    </row>
    <row r="86" spans="1:4">
      <c r="A86">
        <f>IF(COUNTBLANK(B86:D86)&lt;&gt;COLUMNS(B86:D86),85,"")</f>
        <v>0</v>
      </c>
      <c r="C86" s="1">
        <f>IF(B86="", "", "rat metagenome")</f>
        <v>0</v>
      </c>
      <c r="D86" s="1">
        <f>IF(B86="", "", "1427740")</f>
        <v>0</v>
      </c>
    </row>
    <row r="87" spans="1:4">
      <c r="A87">
        <f>IF(COUNTBLANK(B87:D87)&lt;&gt;COLUMNS(B87:D87),86,"")</f>
        <v>0</v>
      </c>
      <c r="C87" s="1">
        <f>IF(B87="", "", "rat metagenome")</f>
        <v>0</v>
      </c>
      <c r="D87" s="1">
        <f>IF(B87="", "", "1427740")</f>
        <v>0</v>
      </c>
    </row>
    <row r="88" spans="1:4">
      <c r="A88">
        <f>IF(COUNTBLANK(B88:D88)&lt;&gt;COLUMNS(B88:D88),87,"")</f>
        <v>0</v>
      </c>
      <c r="C88" s="1">
        <f>IF(B88="", "", "rat metagenome")</f>
        <v>0</v>
      </c>
      <c r="D88" s="1">
        <f>IF(B88="", "", "1427740")</f>
        <v>0</v>
      </c>
    </row>
    <row r="89" spans="1:4">
      <c r="A89">
        <f>IF(COUNTBLANK(B89:D89)&lt;&gt;COLUMNS(B89:D89),88,"")</f>
        <v>0</v>
      </c>
      <c r="C89" s="1">
        <f>IF(B89="", "", "rat metagenome")</f>
        <v>0</v>
      </c>
      <c r="D89" s="1">
        <f>IF(B89="", "", "1427740")</f>
        <v>0</v>
      </c>
    </row>
    <row r="90" spans="1:4">
      <c r="A90">
        <f>IF(COUNTBLANK(B90:D90)&lt;&gt;COLUMNS(B90:D90),89,"")</f>
        <v>0</v>
      </c>
      <c r="C90" s="1">
        <f>IF(B90="", "", "rat metagenome")</f>
        <v>0</v>
      </c>
      <c r="D90" s="1">
        <f>IF(B90="", "", "1427740")</f>
        <v>0</v>
      </c>
    </row>
    <row r="91" spans="1:4">
      <c r="A91">
        <f>IF(COUNTBLANK(B91:D91)&lt;&gt;COLUMNS(B91:D91),90,"")</f>
        <v>0</v>
      </c>
      <c r="C91" s="1">
        <f>IF(B91="", "", "rat metagenome")</f>
        <v>0</v>
      </c>
      <c r="D91" s="1">
        <f>IF(B91="", "", "1427740")</f>
        <v>0</v>
      </c>
    </row>
    <row r="92" spans="1:4">
      <c r="A92">
        <f>IF(COUNTBLANK(B92:D92)&lt;&gt;COLUMNS(B92:D92),91,"")</f>
        <v>0</v>
      </c>
      <c r="C92" s="1">
        <f>IF(B92="", "", "rat metagenome")</f>
        <v>0</v>
      </c>
      <c r="D92" s="1">
        <f>IF(B92="", "", "1427740")</f>
        <v>0</v>
      </c>
    </row>
    <row r="93" spans="1:4">
      <c r="A93">
        <f>IF(COUNTBLANK(B93:D93)&lt;&gt;COLUMNS(B93:D93),92,"")</f>
        <v>0</v>
      </c>
      <c r="C93" s="1">
        <f>IF(B93="", "", "rat metagenome")</f>
        <v>0</v>
      </c>
      <c r="D93" s="1">
        <f>IF(B93="", "", "1427740")</f>
        <v>0</v>
      </c>
    </row>
    <row r="94" spans="1:4">
      <c r="A94">
        <f>IF(COUNTBLANK(B94:D94)&lt;&gt;COLUMNS(B94:D94),93,"")</f>
        <v>0</v>
      </c>
      <c r="C94" s="1">
        <f>IF(B94="", "", "rat metagenome")</f>
        <v>0</v>
      </c>
      <c r="D94" s="1">
        <f>IF(B94="", "", "1427740")</f>
        <v>0</v>
      </c>
    </row>
    <row r="95" spans="1:4">
      <c r="A95">
        <f>IF(COUNTBLANK(B95:D95)&lt;&gt;COLUMNS(B95:D95),94,"")</f>
        <v>0</v>
      </c>
      <c r="C95" s="1">
        <f>IF(B95="", "", "rat metagenome")</f>
        <v>0</v>
      </c>
      <c r="D95" s="1">
        <f>IF(B95="", "", "1427740")</f>
        <v>0</v>
      </c>
    </row>
    <row r="96" spans="1:4">
      <c r="A96">
        <f>IF(COUNTBLANK(B96:D96)&lt;&gt;COLUMNS(B96:D96),95,"")</f>
        <v>0</v>
      </c>
      <c r="C96" s="1">
        <f>IF(B96="", "", "rat metagenome")</f>
        <v>0</v>
      </c>
      <c r="D96" s="1">
        <f>IF(B96="", "", "1427740")</f>
        <v>0</v>
      </c>
    </row>
    <row r="97" spans="1:4">
      <c r="A97">
        <f>IF(COUNTBLANK(B97:D97)&lt;&gt;COLUMNS(B97:D97),96,"")</f>
        <v>0</v>
      </c>
      <c r="C97" s="1">
        <f>IF(B97="", "", "rat metagenome")</f>
        <v>0</v>
      </c>
      <c r="D97" s="1">
        <f>IF(B97="", "", "1427740")</f>
        <v>0</v>
      </c>
    </row>
    <row r="98" spans="1:4">
      <c r="A98">
        <f>IF(COUNTBLANK(B98:D98)&lt;&gt;COLUMNS(B98:D98),97,"")</f>
        <v>0</v>
      </c>
      <c r="C98" s="1">
        <f>IF(B98="", "", "rat metagenome")</f>
        <v>0</v>
      </c>
      <c r="D98" s="1">
        <f>IF(B98="", "", "1427740")</f>
        <v>0</v>
      </c>
    </row>
    <row r="99" spans="1:4">
      <c r="A99">
        <f>IF(COUNTBLANK(B99:D99)&lt;&gt;COLUMNS(B99:D99),98,"")</f>
        <v>0</v>
      </c>
      <c r="C99" s="1">
        <f>IF(B99="", "", "rat metagenome")</f>
        <v>0</v>
      </c>
      <c r="D99" s="1">
        <f>IF(B99="", "", "1427740")</f>
        <v>0</v>
      </c>
    </row>
    <row r="100" spans="1:4">
      <c r="A100">
        <f>IF(COUNTBLANK(B100:D100)&lt;&gt;COLUMNS(B100:D100),99,"")</f>
        <v>0</v>
      </c>
      <c r="C100" s="1">
        <f>IF(B100="", "", "rat metagenome")</f>
        <v>0</v>
      </c>
      <c r="D100" s="1">
        <f>IF(B100="", "", "1427740")</f>
        <v>0</v>
      </c>
    </row>
    <row r="101" spans="1:4">
      <c r="A101">
        <f>IF(COUNTBLANK(B101:D101)&lt;&gt;COLUMNS(B101:D101),100,"")</f>
        <v>0</v>
      </c>
      <c r="C101" s="1">
        <f>IF(B101="", "", "rat metagenome")</f>
        <v>0</v>
      </c>
      <c r="D101" s="1">
        <f>IF(B101="", "", "1427740")</f>
        <v>0</v>
      </c>
    </row>
    <row r="102" spans="1:4">
      <c r="A102">
        <f>IF(COUNTBLANK(B102:D102)&lt;&gt;COLUMNS(B102:D102),101,"")</f>
        <v>0</v>
      </c>
      <c r="C102" s="1">
        <f>IF(B102="", "", "rat metagenome")</f>
        <v>0</v>
      </c>
      <c r="D102" s="1">
        <f>IF(B102="", "", "1427740")</f>
        <v>0</v>
      </c>
    </row>
    <row r="103" spans="1:4">
      <c r="A103">
        <f>IF(COUNTBLANK(B103:D103)&lt;&gt;COLUMNS(B103:D103),102,"")</f>
        <v>0</v>
      </c>
      <c r="C103" s="1">
        <f>IF(B103="", "", "rat metagenome")</f>
        <v>0</v>
      </c>
      <c r="D103" s="1">
        <f>IF(B103="", "", "1427740")</f>
        <v>0</v>
      </c>
    </row>
    <row r="104" spans="1:4">
      <c r="A104">
        <f>IF(COUNTBLANK(B104:D104)&lt;&gt;COLUMNS(B104:D104),103,"")</f>
        <v>0</v>
      </c>
      <c r="C104" s="1">
        <f>IF(B104="", "", "rat metagenome")</f>
        <v>0</v>
      </c>
      <c r="D104" s="1">
        <f>IF(B104="", "", "1427740")</f>
        <v>0</v>
      </c>
    </row>
    <row r="105" spans="1:4">
      <c r="A105">
        <f>IF(COUNTBLANK(B105:D105)&lt;&gt;COLUMNS(B105:D105),104,"")</f>
        <v>0</v>
      </c>
      <c r="C105" s="1">
        <f>IF(B105="", "", "rat metagenome")</f>
        <v>0</v>
      </c>
      <c r="D105" s="1">
        <f>IF(B105="", "", "1427740")</f>
        <v>0</v>
      </c>
    </row>
    <row r="106" spans="1:4">
      <c r="A106">
        <f>IF(COUNTBLANK(B106:D106)&lt;&gt;COLUMNS(B106:D106),105,"")</f>
        <v>0</v>
      </c>
      <c r="C106" s="1">
        <f>IF(B106="", "", "rat metagenome")</f>
        <v>0</v>
      </c>
      <c r="D106" s="1">
        <f>IF(B106="", "", "1427740")</f>
        <v>0</v>
      </c>
    </row>
    <row r="107" spans="1:4">
      <c r="A107">
        <f>IF(COUNTBLANK(B107:D107)&lt;&gt;COLUMNS(B107:D107),106,"")</f>
        <v>0</v>
      </c>
      <c r="C107" s="1">
        <f>IF(B107="", "", "rat metagenome")</f>
        <v>0</v>
      </c>
      <c r="D107" s="1">
        <f>IF(B107="", "", "1427740")</f>
        <v>0</v>
      </c>
    </row>
    <row r="108" spans="1:4">
      <c r="A108">
        <f>IF(COUNTBLANK(B108:D108)&lt;&gt;COLUMNS(B108:D108),107,"")</f>
        <v>0</v>
      </c>
      <c r="C108" s="1">
        <f>IF(B108="", "", "rat metagenome")</f>
        <v>0</v>
      </c>
      <c r="D108" s="1">
        <f>IF(B108="", "", "1427740")</f>
        <v>0</v>
      </c>
    </row>
    <row r="109" spans="1:4">
      <c r="A109">
        <f>IF(COUNTBLANK(B109:D109)&lt;&gt;COLUMNS(B109:D109),108,"")</f>
        <v>0</v>
      </c>
      <c r="C109" s="1">
        <f>IF(B109="", "", "rat metagenome")</f>
        <v>0</v>
      </c>
      <c r="D109" s="1">
        <f>IF(B109="", "", "1427740")</f>
        <v>0</v>
      </c>
    </row>
    <row r="110" spans="1:4">
      <c r="A110">
        <f>IF(COUNTBLANK(B110:D110)&lt;&gt;COLUMNS(B110:D110),109,"")</f>
        <v>0</v>
      </c>
      <c r="C110" s="1">
        <f>IF(B110="", "", "rat metagenome")</f>
        <v>0</v>
      </c>
      <c r="D110" s="1">
        <f>IF(B110="", "", "1427740")</f>
        <v>0</v>
      </c>
    </row>
    <row r="111" spans="1:4">
      <c r="A111">
        <f>IF(COUNTBLANK(B111:D111)&lt;&gt;COLUMNS(B111:D111),110,"")</f>
        <v>0</v>
      </c>
      <c r="C111" s="1">
        <f>IF(B111="", "", "rat metagenome")</f>
        <v>0</v>
      </c>
      <c r="D111" s="1">
        <f>IF(B111="", "", "1427740")</f>
        <v>0</v>
      </c>
    </row>
    <row r="112" spans="1:4">
      <c r="A112">
        <f>IF(COUNTBLANK(B112:D112)&lt;&gt;COLUMNS(B112:D112),111,"")</f>
        <v>0</v>
      </c>
      <c r="C112" s="1">
        <f>IF(B112="", "", "rat metagenome")</f>
        <v>0</v>
      </c>
      <c r="D112" s="1">
        <f>IF(B112="", "", "1427740")</f>
        <v>0</v>
      </c>
    </row>
    <row r="113" spans="1:4">
      <c r="A113">
        <f>IF(COUNTBLANK(B113:D113)&lt;&gt;COLUMNS(B113:D113),112,"")</f>
        <v>0</v>
      </c>
      <c r="C113" s="1">
        <f>IF(B113="", "", "rat metagenome")</f>
        <v>0</v>
      </c>
      <c r="D113" s="1">
        <f>IF(B113="", "", "1427740")</f>
        <v>0</v>
      </c>
    </row>
    <row r="114" spans="1:4">
      <c r="A114">
        <f>IF(COUNTBLANK(B114:D114)&lt;&gt;COLUMNS(B114:D114),113,"")</f>
        <v>0</v>
      </c>
      <c r="C114" s="1">
        <f>IF(B114="", "", "rat metagenome")</f>
        <v>0</v>
      </c>
      <c r="D114" s="1">
        <f>IF(B114="", "", "1427740")</f>
        <v>0</v>
      </c>
    </row>
    <row r="115" spans="1:4">
      <c r="A115">
        <f>IF(COUNTBLANK(B115:D115)&lt;&gt;COLUMNS(B115:D115),114,"")</f>
        <v>0</v>
      </c>
      <c r="C115" s="1">
        <f>IF(B115="", "", "rat metagenome")</f>
        <v>0</v>
      </c>
      <c r="D115" s="1">
        <f>IF(B115="", "", "1427740")</f>
        <v>0</v>
      </c>
    </row>
    <row r="116" spans="1:4">
      <c r="A116">
        <f>IF(COUNTBLANK(B116:D116)&lt;&gt;COLUMNS(B116:D116),115,"")</f>
        <v>0</v>
      </c>
      <c r="C116" s="1">
        <f>IF(B116="", "", "rat metagenome")</f>
        <v>0</v>
      </c>
      <c r="D116" s="1">
        <f>IF(B116="", "", "1427740")</f>
        <v>0</v>
      </c>
    </row>
    <row r="117" spans="1:4">
      <c r="A117">
        <f>IF(COUNTBLANK(B117:D117)&lt;&gt;COLUMNS(B117:D117),116,"")</f>
        <v>0</v>
      </c>
      <c r="C117" s="1">
        <f>IF(B117="", "", "rat metagenome")</f>
        <v>0</v>
      </c>
      <c r="D117" s="1">
        <f>IF(B117="", "", "1427740")</f>
        <v>0</v>
      </c>
    </row>
    <row r="118" spans="1:4">
      <c r="A118">
        <f>IF(COUNTBLANK(B118:D118)&lt;&gt;COLUMNS(B118:D118),117,"")</f>
        <v>0</v>
      </c>
      <c r="C118" s="1">
        <f>IF(B118="", "", "rat metagenome")</f>
        <v>0</v>
      </c>
      <c r="D118" s="1">
        <f>IF(B118="", "", "1427740")</f>
        <v>0</v>
      </c>
    </row>
    <row r="119" spans="1:4">
      <c r="A119">
        <f>IF(COUNTBLANK(B119:D119)&lt;&gt;COLUMNS(B119:D119),118,"")</f>
        <v>0</v>
      </c>
      <c r="C119" s="1">
        <f>IF(B119="", "", "rat metagenome")</f>
        <v>0</v>
      </c>
      <c r="D119" s="1">
        <f>IF(B119="", "", "1427740")</f>
        <v>0</v>
      </c>
    </row>
    <row r="120" spans="1:4">
      <c r="A120">
        <f>IF(COUNTBLANK(B120:D120)&lt;&gt;COLUMNS(B120:D120),119,"")</f>
        <v>0</v>
      </c>
      <c r="C120" s="1">
        <f>IF(B120="", "", "rat metagenome")</f>
        <v>0</v>
      </c>
      <c r="D120" s="1">
        <f>IF(B120="", "", "1427740")</f>
        <v>0</v>
      </c>
    </row>
    <row r="121" spans="1:4">
      <c r="A121">
        <f>IF(COUNTBLANK(B121:D121)&lt;&gt;COLUMNS(B121:D121),120,"")</f>
        <v>0</v>
      </c>
      <c r="C121" s="1">
        <f>IF(B121="", "", "rat metagenome")</f>
        <v>0</v>
      </c>
      <c r="D121" s="1">
        <f>IF(B121="", "", "1427740")</f>
        <v>0</v>
      </c>
    </row>
    <row r="122" spans="1:4">
      <c r="A122">
        <f>IF(COUNTBLANK(B122:D122)&lt;&gt;COLUMNS(B122:D122),121,"")</f>
        <v>0</v>
      </c>
      <c r="C122" s="1">
        <f>IF(B122="", "", "rat metagenome")</f>
        <v>0</v>
      </c>
      <c r="D122" s="1">
        <f>IF(B122="", "", "1427740")</f>
        <v>0</v>
      </c>
    </row>
    <row r="123" spans="1:4">
      <c r="A123">
        <f>IF(COUNTBLANK(B123:D123)&lt;&gt;COLUMNS(B123:D123),122,"")</f>
        <v>0</v>
      </c>
      <c r="C123" s="1">
        <f>IF(B123="", "", "rat metagenome")</f>
        <v>0</v>
      </c>
      <c r="D123" s="1">
        <f>IF(B123="", "", "1427740")</f>
        <v>0</v>
      </c>
    </row>
    <row r="124" spans="1:4">
      <c r="A124">
        <f>IF(COUNTBLANK(B124:D124)&lt;&gt;COLUMNS(B124:D124),123,"")</f>
        <v>0</v>
      </c>
      <c r="C124" s="1">
        <f>IF(B124="", "", "rat metagenome")</f>
        <v>0</v>
      </c>
      <c r="D124" s="1">
        <f>IF(B124="", "", "1427740")</f>
        <v>0</v>
      </c>
    </row>
    <row r="125" spans="1:4">
      <c r="A125">
        <f>IF(COUNTBLANK(B125:D125)&lt;&gt;COLUMNS(B125:D125),124,"")</f>
        <v>0</v>
      </c>
      <c r="C125" s="1">
        <f>IF(B125="", "", "rat metagenome")</f>
        <v>0</v>
      </c>
      <c r="D125" s="1">
        <f>IF(B125="", "", "1427740")</f>
        <v>0</v>
      </c>
    </row>
    <row r="126" spans="1:4">
      <c r="A126">
        <f>IF(COUNTBLANK(B126:D126)&lt;&gt;COLUMNS(B126:D126),125,"")</f>
        <v>0</v>
      </c>
      <c r="C126" s="1">
        <f>IF(B126="", "", "rat metagenome")</f>
        <v>0</v>
      </c>
      <c r="D126" s="1">
        <f>IF(B126="", "", "1427740")</f>
        <v>0</v>
      </c>
    </row>
    <row r="127" spans="1:4">
      <c r="A127">
        <f>IF(COUNTBLANK(B127:D127)&lt;&gt;COLUMNS(B127:D127),126,"")</f>
        <v>0</v>
      </c>
      <c r="C127" s="1">
        <f>IF(B127="", "", "rat metagenome")</f>
        <v>0</v>
      </c>
      <c r="D127" s="1">
        <f>IF(B127="", "", "1427740")</f>
        <v>0</v>
      </c>
    </row>
    <row r="128" spans="1:4">
      <c r="A128">
        <f>IF(COUNTBLANK(B128:D128)&lt;&gt;COLUMNS(B128:D128),127,"")</f>
        <v>0</v>
      </c>
      <c r="C128" s="1">
        <f>IF(B128="", "", "rat metagenome")</f>
        <v>0</v>
      </c>
      <c r="D128" s="1">
        <f>IF(B128="", "", "1427740")</f>
        <v>0</v>
      </c>
    </row>
    <row r="129" spans="1:4">
      <c r="A129">
        <f>IF(COUNTBLANK(B129:D129)&lt;&gt;COLUMNS(B129:D129),128,"")</f>
        <v>0</v>
      </c>
      <c r="C129" s="1">
        <f>IF(B129="", "", "rat metagenome")</f>
        <v>0</v>
      </c>
      <c r="D129" s="1">
        <f>IF(B129="", "", "1427740")</f>
        <v>0</v>
      </c>
    </row>
    <row r="130" spans="1:4">
      <c r="A130">
        <f>IF(COUNTBLANK(B130:D130)&lt;&gt;COLUMNS(B130:D130),129,"")</f>
        <v>0</v>
      </c>
      <c r="C130" s="1">
        <f>IF(B130="", "", "rat metagenome")</f>
        <v>0</v>
      </c>
      <c r="D130" s="1">
        <f>IF(B130="", "", "1427740")</f>
        <v>0</v>
      </c>
    </row>
    <row r="131" spans="1:4">
      <c r="A131">
        <f>IF(COUNTBLANK(B131:D131)&lt;&gt;COLUMNS(B131:D131),130,"")</f>
        <v>0</v>
      </c>
      <c r="C131" s="1">
        <f>IF(B131="", "", "rat metagenome")</f>
        <v>0</v>
      </c>
      <c r="D131" s="1">
        <f>IF(B131="", "", "1427740")</f>
        <v>0</v>
      </c>
    </row>
    <row r="132" spans="1:4">
      <c r="A132">
        <f>IF(COUNTBLANK(B132:D132)&lt;&gt;COLUMNS(B132:D132),131,"")</f>
        <v>0</v>
      </c>
      <c r="C132" s="1">
        <f>IF(B132="", "", "rat metagenome")</f>
        <v>0</v>
      </c>
      <c r="D132" s="1">
        <f>IF(B132="", "", "1427740")</f>
        <v>0</v>
      </c>
    </row>
    <row r="133" spans="1:4">
      <c r="A133">
        <f>IF(COUNTBLANK(B133:D133)&lt;&gt;COLUMNS(B133:D133),132,"")</f>
        <v>0</v>
      </c>
      <c r="C133" s="1">
        <f>IF(B133="", "", "rat metagenome")</f>
        <v>0</v>
      </c>
      <c r="D133" s="1">
        <f>IF(B133="", "", "1427740")</f>
        <v>0</v>
      </c>
    </row>
    <row r="134" spans="1:4">
      <c r="A134">
        <f>IF(COUNTBLANK(B134:D134)&lt;&gt;COLUMNS(B134:D134),133,"")</f>
        <v>0</v>
      </c>
      <c r="C134" s="1">
        <f>IF(B134="", "", "rat metagenome")</f>
        <v>0</v>
      </c>
      <c r="D134" s="1">
        <f>IF(B134="", "", "1427740")</f>
        <v>0</v>
      </c>
    </row>
    <row r="135" spans="1:4">
      <c r="A135">
        <f>IF(COUNTBLANK(B135:D135)&lt;&gt;COLUMNS(B135:D135),134,"")</f>
        <v>0</v>
      </c>
      <c r="C135" s="1">
        <f>IF(B135="", "", "rat metagenome")</f>
        <v>0</v>
      </c>
      <c r="D135" s="1">
        <f>IF(B135="", "", "1427740")</f>
        <v>0</v>
      </c>
    </row>
    <row r="136" spans="1:4">
      <c r="A136">
        <f>IF(COUNTBLANK(B136:D136)&lt;&gt;COLUMNS(B136:D136),135,"")</f>
        <v>0</v>
      </c>
      <c r="C136" s="1">
        <f>IF(B136="", "", "rat metagenome")</f>
        <v>0</v>
      </c>
      <c r="D136" s="1">
        <f>IF(B136="", "", "1427740")</f>
        <v>0</v>
      </c>
    </row>
    <row r="137" spans="1:4">
      <c r="A137">
        <f>IF(COUNTBLANK(B137:D137)&lt;&gt;COLUMNS(B137:D137),136,"")</f>
        <v>0</v>
      </c>
      <c r="C137" s="1">
        <f>IF(B137="", "", "rat metagenome")</f>
        <v>0</v>
      </c>
      <c r="D137" s="1">
        <f>IF(B137="", "", "1427740")</f>
        <v>0</v>
      </c>
    </row>
    <row r="138" spans="1:4">
      <c r="A138">
        <f>IF(COUNTBLANK(B138:D138)&lt;&gt;COLUMNS(B138:D138),137,"")</f>
        <v>0</v>
      </c>
      <c r="C138" s="1">
        <f>IF(B138="", "", "rat metagenome")</f>
        <v>0</v>
      </c>
      <c r="D138" s="1">
        <f>IF(B138="", "", "1427740")</f>
        <v>0</v>
      </c>
    </row>
    <row r="139" spans="1:4">
      <c r="A139">
        <f>IF(COUNTBLANK(B139:D139)&lt;&gt;COLUMNS(B139:D139),138,"")</f>
        <v>0</v>
      </c>
      <c r="C139" s="1">
        <f>IF(B139="", "", "rat metagenome")</f>
        <v>0</v>
      </c>
      <c r="D139" s="1">
        <f>IF(B139="", "", "1427740")</f>
        <v>0</v>
      </c>
    </row>
    <row r="140" spans="1:4">
      <c r="A140">
        <f>IF(COUNTBLANK(B140:D140)&lt;&gt;COLUMNS(B140:D140),139,"")</f>
        <v>0</v>
      </c>
      <c r="C140" s="1">
        <f>IF(B140="", "", "rat metagenome")</f>
        <v>0</v>
      </c>
      <c r="D140" s="1">
        <f>IF(B140="", "", "1427740")</f>
        <v>0</v>
      </c>
    </row>
    <row r="141" spans="1:4">
      <c r="A141">
        <f>IF(COUNTBLANK(B141:D141)&lt;&gt;COLUMNS(B141:D141),140,"")</f>
        <v>0</v>
      </c>
      <c r="C141" s="1">
        <f>IF(B141="", "", "rat metagenome")</f>
        <v>0</v>
      </c>
      <c r="D141" s="1">
        <f>IF(B141="", "", "1427740")</f>
        <v>0</v>
      </c>
    </row>
    <row r="142" spans="1:4">
      <c r="A142">
        <f>IF(COUNTBLANK(B142:D142)&lt;&gt;COLUMNS(B142:D142),141,"")</f>
        <v>0</v>
      </c>
      <c r="C142" s="1">
        <f>IF(B142="", "", "rat metagenome")</f>
        <v>0</v>
      </c>
      <c r="D142" s="1">
        <f>IF(B142="", "", "1427740")</f>
        <v>0</v>
      </c>
    </row>
    <row r="143" spans="1:4">
      <c r="A143">
        <f>IF(COUNTBLANK(B143:D143)&lt;&gt;COLUMNS(B143:D143),142,"")</f>
        <v>0</v>
      </c>
      <c r="C143" s="1">
        <f>IF(B143="", "", "rat metagenome")</f>
        <v>0</v>
      </c>
      <c r="D143" s="1">
        <f>IF(B143="", "", "1427740")</f>
        <v>0</v>
      </c>
    </row>
    <row r="144" spans="1:4">
      <c r="A144">
        <f>IF(COUNTBLANK(B144:D144)&lt;&gt;COLUMNS(B144:D144),143,"")</f>
        <v>0</v>
      </c>
      <c r="C144" s="1">
        <f>IF(B144="", "", "rat metagenome")</f>
        <v>0</v>
      </c>
      <c r="D144" s="1">
        <f>IF(B144="", "", "1427740")</f>
        <v>0</v>
      </c>
    </row>
    <row r="145" spans="1:4">
      <c r="A145">
        <f>IF(COUNTBLANK(B145:D145)&lt;&gt;COLUMNS(B145:D145),144,"")</f>
        <v>0</v>
      </c>
      <c r="C145" s="1">
        <f>IF(B145="", "", "rat metagenome")</f>
        <v>0</v>
      </c>
      <c r="D145" s="1">
        <f>IF(B145="", "", "1427740")</f>
        <v>0</v>
      </c>
    </row>
    <row r="146" spans="1:4">
      <c r="A146">
        <f>IF(COUNTBLANK(B146:D146)&lt;&gt;COLUMNS(B146:D146),145,"")</f>
        <v>0</v>
      </c>
      <c r="C146" s="1">
        <f>IF(B146="", "", "rat metagenome")</f>
        <v>0</v>
      </c>
      <c r="D146" s="1">
        <f>IF(B146="", "", "1427740")</f>
        <v>0</v>
      </c>
    </row>
    <row r="147" spans="1:4">
      <c r="A147">
        <f>IF(COUNTBLANK(B147:D147)&lt;&gt;COLUMNS(B147:D147),146,"")</f>
        <v>0</v>
      </c>
      <c r="C147" s="1">
        <f>IF(B147="", "", "rat metagenome")</f>
        <v>0</v>
      </c>
      <c r="D147" s="1">
        <f>IF(B147="", "", "1427740")</f>
        <v>0</v>
      </c>
    </row>
    <row r="148" spans="1:4">
      <c r="A148">
        <f>IF(COUNTBLANK(B148:D148)&lt;&gt;COLUMNS(B148:D148),147,"")</f>
        <v>0</v>
      </c>
      <c r="C148" s="1">
        <f>IF(B148="", "", "rat metagenome")</f>
        <v>0</v>
      </c>
      <c r="D148" s="1">
        <f>IF(B148="", "", "1427740")</f>
        <v>0</v>
      </c>
    </row>
    <row r="149" spans="1:4">
      <c r="A149">
        <f>IF(COUNTBLANK(B149:D149)&lt;&gt;COLUMNS(B149:D149),148,"")</f>
        <v>0</v>
      </c>
      <c r="C149" s="1">
        <f>IF(B149="", "", "rat metagenome")</f>
        <v>0</v>
      </c>
      <c r="D149" s="1">
        <f>IF(B149="", "", "1427740")</f>
        <v>0</v>
      </c>
    </row>
    <row r="150" spans="1:4">
      <c r="A150">
        <f>IF(COUNTBLANK(B150:D150)&lt;&gt;COLUMNS(B150:D150),149,"")</f>
        <v>0</v>
      </c>
      <c r="C150" s="1">
        <f>IF(B150="", "", "rat metagenome")</f>
        <v>0</v>
      </c>
      <c r="D150" s="1">
        <f>IF(B150="", "", "1427740")</f>
        <v>0</v>
      </c>
    </row>
    <row r="151" spans="1:4">
      <c r="A151">
        <f>IF(COUNTBLANK(B151:D151)&lt;&gt;COLUMNS(B151:D151),150,"")</f>
        <v>0</v>
      </c>
      <c r="C151" s="1">
        <f>IF(B151="", "", "rat metagenome")</f>
        <v>0</v>
      </c>
      <c r="D151" s="1">
        <f>IF(B151="", "", "1427740")</f>
        <v>0</v>
      </c>
    </row>
    <row r="152" spans="1:4">
      <c r="A152">
        <f>IF(COUNTBLANK(B152:D152)&lt;&gt;COLUMNS(B152:D152),151,"")</f>
        <v>0</v>
      </c>
      <c r="C152" s="1">
        <f>IF(B152="", "", "rat metagenome")</f>
        <v>0</v>
      </c>
      <c r="D152" s="1">
        <f>IF(B152="", "", "1427740")</f>
        <v>0</v>
      </c>
    </row>
    <row r="153" spans="1:4">
      <c r="A153">
        <f>IF(COUNTBLANK(B153:D153)&lt;&gt;COLUMNS(B153:D153),152,"")</f>
        <v>0</v>
      </c>
      <c r="C153" s="1">
        <f>IF(B153="", "", "rat metagenome")</f>
        <v>0</v>
      </c>
      <c r="D153" s="1">
        <f>IF(B153="", "", "1427740")</f>
        <v>0</v>
      </c>
    </row>
    <row r="154" spans="1:4">
      <c r="A154">
        <f>IF(COUNTBLANK(B154:D154)&lt;&gt;COLUMNS(B154:D154),153,"")</f>
        <v>0</v>
      </c>
      <c r="C154" s="1">
        <f>IF(B154="", "", "rat metagenome")</f>
        <v>0</v>
      </c>
      <c r="D154" s="1">
        <f>IF(B154="", "", "1427740")</f>
        <v>0</v>
      </c>
    </row>
    <row r="155" spans="1:4">
      <c r="A155">
        <f>IF(COUNTBLANK(B155:D155)&lt;&gt;COLUMNS(B155:D155),154,"")</f>
        <v>0</v>
      </c>
      <c r="C155" s="1">
        <f>IF(B155="", "", "rat metagenome")</f>
        <v>0</v>
      </c>
      <c r="D155" s="1">
        <f>IF(B155="", "", "1427740")</f>
        <v>0</v>
      </c>
    </row>
    <row r="156" spans="1:4">
      <c r="A156">
        <f>IF(COUNTBLANK(B156:D156)&lt;&gt;COLUMNS(B156:D156),155,"")</f>
        <v>0</v>
      </c>
      <c r="C156" s="1">
        <f>IF(B156="", "", "rat metagenome")</f>
        <v>0</v>
      </c>
      <c r="D156" s="1">
        <f>IF(B156="", "", "1427740")</f>
        <v>0</v>
      </c>
    </row>
    <row r="157" spans="1:4">
      <c r="A157">
        <f>IF(COUNTBLANK(B157:D157)&lt;&gt;COLUMNS(B157:D157),156,"")</f>
        <v>0</v>
      </c>
      <c r="C157" s="1">
        <f>IF(B157="", "", "rat metagenome")</f>
        <v>0</v>
      </c>
      <c r="D157" s="1">
        <f>IF(B157="", "", "1427740")</f>
        <v>0</v>
      </c>
    </row>
    <row r="158" spans="1:4">
      <c r="A158">
        <f>IF(COUNTBLANK(B158:D158)&lt;&gt;COLUMNS(B158:D158),157,"")</f>
        <v>0</v>
      </c>
      <c r="C158" s="1">
        <f>IF(B158="", "", "rat metagenome")</f>
        <v>0</v>
      </c>
      <c r="D158" s="1">
        <f>IF(B158="", "", "1427740")</f>
        <v>0</v>
      </c>
    </row>
    <row r="159" spans="1:4">
      <c r="A159">
        <f>IF(COUNTBLANK(B159:D159)&lt;&gt;COLUMNS(B159:D159),158,"")</f>
        <v>0</v>
      </c>
      <c r="C159" s="1">
        <f>IF(B159="", "", "rat metagenome")</f>
        <v>0</v>
      </c>
      <c r="D159" s="1">
        <f>IF(B159="", "", "1427740")</f>
        <v>0</v>
      </c>
    </row>
    <row r="160" spans="1:4">
      <c r="A160">
        <f>IF(COUNTBLANK(B160:D160)&lt;&gt;COLUMNS(B160:D160),159,"")</f>
        <v>0</v>
      </c>
      <c r="C160" s="1">
        <f>IF(B160="", "", "rat metagenome")</f>
        <v>0</v>
      </c>
      <c r="D160" s="1">
        <f>IF(B160="", "", "1427740")</f>
        <v>0</v>
      </c>
    </row>
    <row r="161" spans="1:4">
      <c r="A161">
        <f>IF(COUNTBLANK(B161:D161)&lt;&gt;COLUMNS(B161:D161),160,"")</f>
        <v>0</v>
      </c>
      <c r="C161" s="1">
        <f>IF(B161="", "", "rat metagenome")</f>
        <v>0</v>
      </c>
      <c r="D161" s="1">
        <f>IF(B161="", "", "1427740")</f>
        <v>0</v>
      </c>
    </row>
    <row r="162" spans="1:4">
      <c r="A162">
        <f>IF(COUNTBLANK(B162:D162)&lt;&gt;COLUMNS(B162:D162),161,"")</f>
        <v>0</v>
      </c>
      <c r="C162" s="1">
        <f>IF(B162="", "", "rat metagenome")</f>
        <v>0</v>
      </c>
      <c r="D162" s="1">
        <f>IF(B162="", "", "1427740")</f>
        <v>0</v>
      </c>
    </row>
    <row r="163" spans="1:4">
      <c r="A163">
        <f>IF(COUNTBLANK(B163:D163)&lt;&gt;COLUMNS(B163:D163),162,"")</f>
        <v>0</v>
      </c>
      <c r="C163" s="1">
        <f>IF(B163="", "", "rat metagenome")</f>
        <v>0</v>
      </c>
      <c r="D163" s="1">
        <f>IF(B163="", "", "1427740")</f>
        <v>0</v>
      </c>
    </row>
    <row r="164" spans="1:4">
      <c r="A164">
        <f>IF(COUNTBLANK(B164:D164)&lt;&gt;COLUMNS(B164:D164),163,"")</f>
        <v>0</v>
      </c>
      <c r="C164" s="1">
        <f>IF(B164="", "", "rat metagenome")</f>
        <v>0</v>
      </c>
      <c r="D164" s="1">
        <f>IF(B164="", "", "1427740")</f>
        <v>0</v>
      </c>
    </row>
    <row r="165" spans="1:4">
      <c r="A165">
        <f>IF(COUNTBLANK(B165:D165)&lt;&gt;COLUMNS(B165:D165),164,"")</f>
        <v>0</v>
      </c>
      <c r="C165" s="1">
        <f>IF(B165="", "", "rat metagenome")</f>
        <v>0</v>
      </c>
      <c r="D165" s="1">
        <f>IF(B165="", "", "1427740")</f>
        <v>0</v>
      </c>
    </row>
    <row r="166" spans="1:4">
      <c r="A166">
        <f>IF(COUNTBLANK(B166:D166)&lt;&gt;COLUMNS(B166:D166),165,"")</f>
        <v>0</v>
      </c>
      <c r="C166" s="1">
        <f>IF(B166="", "", "rat metagenome")</f>
        <v>0</v>
      </c>
      <c r="D166" s="1">
        <f>IF(B166="", "", "1427740")</f>
        <v>0</v>
      </c>
    </row>
    <row r="167" spans="1:4">
      <c r="A167">
        <f>IF(COUNTBLANK(B167:D167)&lt;&gt;COLUMNS(B167:D167),166,"")</f>
        <v>0</v>
      </c>
      <c r="C167" s="1">
        <f>IF(B167="", "", "rat metagenome")</f>
        <v>0</v>
      </c>
      <c r="D167" s="1">
        <f>IF(B167="", "", "1427740")</f>
        <v>0</v>
      </c>
    </row>
    <row r="168" spans="1:4">
      <c r="A168">
        <f>IF(COUNTBLANK(B168:D168)&lt;&gt;COLUMNS(B168:D168),167,"")</f>
        <v>0</v>
      </c>
      <c r="C168" s="1">
        <f>IF(B168="", "", "rat metagenome")</f>
        <v>0</v>
      </c>
      <c r="D168" s="1">
        <f>IF(B168="", "", "1427740")</f>
        <v>0</v>
      </c>
    </row>
    <row r="169" spans="1:4">
      <c r="A169">
        <f>IF(COUNTBLANK(B169:D169)&lt;&gt;COLUMNS(B169:D169),168,"")</f>
        <v>0</v>
      </c>
      <c r="C169" s="1">
        <f>IF(B169="", "", "rat metagenome")</f>
        <v>0</v>
      </c>
      <c r="D169" s="1">
        <f>IF(B169="", "", "1427740")</f>
        <v>0</v>
      </c>
    </row>
    <row r="170" spans="1:4">
      <c r="A170">
        <f>IF(COUNTBLANK(B170:D170)&lt;&gt;COLUMNS(B170:D170),169,"")</f>
        <v>0</v>
      </c>
      <c r="C170" s="1">
        <f>IF(B170="", "", "rat metagenome")</f>
        <v>0</v>
      </c>
      <c r="D170" s="1">
        <f>IF(B170="", "", "1427740")</f>
        <v>0</v>
      </c>
    </row>
    <row r="171" spans="1:4">
      <c r="A171">
        <f>IF(COUNTBLANK(B171:D171)&lt;&gt;COLUMNS(B171:D171),170,"")</f>
        <v>0</v>
      </c>
      <c r="C171" s="1">
        <f>IF(B171="", "", "rat metagenome")</f>
        <v>0</v>
      </c>
      <c r="D171" s="1">
        <f>IF(B171="", "", "1427740")</f>
        <v>0</v>
      </c>
    </row>
    <row r="172" spans="1:4">
      <c r="A172">
        <f>IF(COUNTBLANK(B172:D172)&lt;&gt;COLUMNS(B172:D172),171,"")</f>
        <v>0</v>
      </c>
      <c r="C172" s="1">
        <f>IF(B172="", "", "rat metagenome")</f>
        <v>0</v>
      </c>
      <c r="D172" s="1">
        <f>IF(B172="", "", "1427740")</f>
        <v>0</v>
      </c>
    </row>
    <row r="173" spans="1:4">
      <c r="A173">
        <f>IF(COUNTBLANK(B173:D173)&lt;&gt;COLUMNS(B173:D173),172,"")</f>
        <v>0</v>
      </c>
      <c r="C173" s="1">
        <f>IF(B173="", "", "rat metagenome")</f>
        <v>0</v>
      </c>
      <c r="D173" s="1">
        <f>IF(B173="", "", "1427740")</f>
        <v>0</v>
      </c>
    </row>
    <row r="174" spans="1:4">
      <c r="A174">
        <f>IF(COUNTBLANK(B174:D174)&lt;&gt;COLUMNS(B174:D174),173,"")</f>
        <v>0</v>
      </c>
      <c r="C174" s="1">
        <f>IF(B174="", "", "rat metagenome")</f>
        <v>0</v>
      </c>
      <c r="D174" s="1">
        <f>IF(B174="", "", "1427740")</f>
        <v>0</v>
      </c>
    </row>
    <row r="175" spans="1:4">
      <c r="A175">
        <f>IF(COUNTBLANK(B175:D175)&lt;&gt;COLUMNS(B175:D175),174,"")</f>
        <v>0</v>
      </c>
      <c r="C175" s="1">
        <f>IF(B175="", "", "rat metagenome")</f>
        <v>0</v>
      </c>
      <c r="D175" s="1">
        <f>IF(B175="", "", "1427740")</f>
        <v>0</v>
      </c>
    </row>
    <row r="176" spans="1:4">
      <c r="A176">
        <f>IF(COUNTBLANK(B176:D176)&lt;&gt;COLUMNS(B176:D176),175,"")</f>
        <v>0</v>
      </c>
      <c r="C176" s="1">
        <f>IF(B176="", "", "rat metagenome")</f>
        <v>0</v>
      </c>
      <c r="D176" s="1">
        <f>IF(B176="", "", "1427740")</f>
        <v>0</v>
      </c>
    </row>
    <row r="177" spans="1:4">
      <c r="A177">
        <f>IF(COUNTBLANK(B177:D177)&lt;&gt;COLUMNS(B177:D177),176,"")</f>
        <v>0</v>
      </c>
      <c r="C177" s="1">
        <f>IF(B177="", "", "rat metagenome")</f>
        <v>0</v>
      </c>
      <c r="D177" s="1">
        <f>IF(B177="", "", "1427740")</f>
        <v>0</v>
      </c>
    </row>
    <row r="178" spans="1:4">
      <c r="A178">
        <f>IF(COUNTBLANK(B178:D178)&lt;&gt;COLUMNS(B178:D178),177,"")</f>
        <v>0</v>
      </c>
      <c r="C178" s="1">
        <f>IF(B178="", "", "rat metagenome")</f>
        <v>0</v>
      </c>
      <c r="D178" s="1">
        <f>IF(B178="", "", "1427740")</f>
        <v>0</v>
      </c>
    </row>
    <row r="179" spans="1:4">
      <c r="A179">
        <f>IF(COUNTBLANK(B179:D179)&lt;&gt;COLUMNS(B179:D179),178,"")</f>
        <v>0</v>
      </c>
      <c r="C179" s="1">
        <f>IF(B179="", "", "rat metagenome")</f>
        <v>0</v>
      </c>
      <c r="D179" s="1">
        <f>IF(B179="", "", "1427740")</f>
        <v>0</v>
      </c>
    </row>
    <row r="180" spans="1:4">
      <c r="A180">
        <f>IF(COUNTBLANK(B180:D180)&lt;&gt;COLUMNS(B180:D180),179,"")</f>
        <v>0</v>
      </c>
      <c r="C180" s="1">
        <f>IF(B180="", "", "rat metagenome")</f>
        <v>0</v>
      </c>
      <c r="D180" s="1">
        <f>IF(B180="", "", "1427740")</f>
        <v>0</v>
      </c>
    </row>
    <row r="181" spans="1:4">
      <c r="A181">
        <f>IF(COUNTBLANK(B181:D181)&lt;&gt;COLUMNS(B181:D181),180,"")</f>
        <v>0</v>
      </c>
      <c r="C181" s="1">
        <f>IF(B181="", "", "rat metagenome")</f>
        <v>0</v>
      </c>
      <c r="D181" s="1">
        <f>IF(B181="", "", "1427740")</f>
        <v>0</v>
      </c>
    </row>
    <row r="182" spans="1:4">
      <c r="A182">
        <f>IF(COUNTBLANK(B182:D182)&lt;&gt;COLUMNS(B182:D182),181,"")</f>
        <v>0</v>
      </c>
      <c r="C182" s="1">
        <f>IF(B182="", "", "rat metagenome")</f>
        <v>0</v>
      </c>
      <c r="D182" s="1">
        <f>IF(B182="", "", "1427740")</f>
        <v>0</v>
      </c>
    </row>
    <row r="183" spans="1:4">
      <c r="A183">
        <f>IF(COUNTBLANK(B183:D183)&lt;&gt;COLUMNS(B183:D183),182,"")</f>
        <v>0</v>
      </c>
      <c r="C183" s="1">
        <f>IF(B183="", "", "rat metagenome")</f>
        <v>0</v>
      </c>
      <c r="D183" s="1">
        <f>IF(B183="", "", "1427740")</f>
        <v>0</v>
      </c>
    </row>
    <row r="184" spans="1:4">
      <c r="A184">
        <f>IF(COUNTBLANK(B184:D184)&lt;&gt;COLUMNS(B184:D184),183,"")</f>
        <v>0</v>
      </c>
      <c r="C184" s="1">
        <f>IF(B184="", "", "rat metagenome")</f>
        <v>0</v>
      </c>
      <c r="D184" s="1">
        <f>IF(B184="", "", "1427740")</f>
        <v>0</v>
      </c>
    </row>
    <row r="185" spans="1:4">
      <c r="A185">
        <f>IF(COUNTBLANK(B185:D185)&lt;&gt;COLUMNS(B185:D185),184,"")</f>
        <v>0</v>
      </c>
      <c r="C185" s="1">
        <f>IF(B185="", "", "rat metagenome")</f>
        <v>0</v>
      </c>
      <c r="D185" s="1">
        <f>IF(B185="", "", "1427740")</f>
        <v>0</v>
      </c>
    </row>
    <row r="186" spans="1:4">
      <c r="A186">
        <f>IF(COUNTBLANK(B186:D186)&lt;&gt;COLUMNS(B186:D186),185,"")</f>
        <v>0</v>
      </c>
      <c r="C186" s="1">
        <f>IF(B186="", "", "rat metagenome")</f>
        <v>0</v>
      </c>
      <c r="D186" s="1">
        <f>IF(B186="", "", "1427740")</f>
        <v>0</v>
      </c>
    </row>
    <row r="187" spans="1:4">
      <c r="A187">
        <f>IF(COUNTBLANK(B187:D187)&lt;&gt;COLUMNS(B187:D187),186,"")</f>
        <v>0</v>
      </c>
      <c r="C187" s="1">
        <f>IF(B187="", "", "rat metagenome")</f>
        <v>0</v>
      </c>
      <c r="D187" s="1">
        <f>IF(B187="", "", "1427740")</f>
        <v>0</v>
      </c>
    </row>
    <row r="188" spans="1:4">
      <c r="A188">
        <f>IF(COUNTBLANK(B188:D188)&lt;&gt;COLUMNS(B188:D188),187,"")</f>
        <v>0</v>
      </c>
      <c r="C188" s="1">
        <f>IF(B188="", "", "rat metagenome")</f>
        <v>0</v>
      </c>
      <c r="D188" s="1">
        <f>IF(B188="", "", "1427740")</f>
        <v>0</v>
      </c>
    </row>
    <row r="189" spans="1:4">
      <c r="A189">
        <f>IF(COUNTBLANK(B189:D189)&lt;&gt;COLUMNS(B189:D189),188,"")</f>
        <v>0</v>
      </c>
      <c r="C189" s="1">
        <f>IF(B189="", "", "rat metagenome")</f>
        <v>0</v>
      </c>
      <c r="D189" s="1">
        <f>IF(B189="", "", "1427740")</f>
        <v>0</v>
      </c>
    </row>
    <row r="190" spans="1:4">
      <c r="A190">
        <f>IF(COUNTBLANK(B190:D190)&lt;&gt;COLUMNS(B190:D190),189,"")</f>
        <v>0</v>
      </c>
      <c r="C190" s="1">
        <f>IF(B190="", "", "rat metagenome")</f>
        <v>0</v>
      </c>
      <c r="D190" s="1">
        <f>IF(B190="", "", "1427740")</f>
        <v>0</v>
      </c>
    </row>
    <row r="191" spans="1:4">
      <c r="A191">
        <f>IF(COUNTBLANK(B191:D191)&lt;&gt;COLUMNS(B191:D191),190,"")</f>
        <v>0</v>
      </c>
      <c r="C191" s="1">
        <f>IF(B191="", "", "rat metagenome")</f>
        <v>0</v>
      </c>
      <c r="D191" s="1">
        <f>IF(B191="", "", "1427740")</f>
        <v>0</v>
      </c>
    </row>
    <row r="192" spans="1:4">
      <c r="A192">
        <f>IF(COUNTBLANK(B192:D192)&lt;&gt;COLUMNS(B192:D192),191,"")</f>
        <v>0</v>
      </c>
      <c r="C192" s="1">
        <f>IF(B192="", "", "rat metagenome")</f>
        <v>0</v>
      </c>
      <c r="D192" s="1">
        <f>IF(B192="", "", "1427740")</f>
        <v>0</v>
      </c>
    </row>
    <row r="193" spans="1:4">
      <c r="A193">
        <f>IF(COUNTBLANK(B193:D193)&lt;&gt;COLUMNS(B193:D193),192,"")</f>
        <v>0</v>
      </c>
      <c r="C193" s="1">
        <f>IF(B193="", "", "rat metagenome")</f>
        <v>0</v>
      </c>
      <c r="D193" s="1">
        <f>IF(B193="", "", "1427740")</f>
        <v>0</v>
      </c>
    </row>
    <row r="194" spans="1:4">
      <c r="A194">
        <f>IF(COUNTBLANK(B194:D194)&lt;&gt;COLUMNS(B194:D194),193,"")</f>
        <v>0</v>
      </c>
      <c r="C194" s="1">
        <f>IF(B194="", "", "rat metagenome")</f>
        <v>0</v>
      </c>
      <c r="D194" s="1">
        <f>IF(B194="", "", "1427740")</f>
        <v>0</v>
      </c>
    </row>
    <row r="195" spans="1:4">
      <c r="A195">
        <f>IF(COUNTBLANK(B195:D195)&lt;&gt;COLUMNS(B195:D195),194,"")</f>
        <v>0</v>
      </c>
      <c r="C195" s="1">
        <f>IF(B195="", "", "rat metagenome")</f>
        <v>0</v>
      </c>
      <c r="D195" s="1">
        <f>IF(B195="", "", "1427740")</f>
        <v>0</v>
      </c>
    </row>
    <row r="196" spans="1:4">
      <c r="A196">
        <f>IF(COUNTBLANK(B196:D196)&lt;&gt;COLUMNS(B196:D196),195,"")</f>
        <v>0</v>
      </c>
      <c r="C196" s="1">
        <f>IF(B196="", "", "rat metagenome")</f>
        <v>0</v>
      </c>
      <c r="D196" s="1">
        <f>IF(B196="", "", "1427740")</f>
        <v>0</v>
      </c>
    </row>
    <row r="197" spans="1:4">
      <c r="A197">
        <f>IF(COUNTBLANK(B197:D197)&lt;&gt;COLUMNS(B197:D197),196,"")</f>
        <v>0</v>
      </c>
      <c r="C197" s="1">
        <f>IF(B197="", "", "rat metagenome")</f>
        <v>0</v>
      </c>
      <c r="D197" s="1">
        <f>IF(B197="", "", "1427740")</f>
        <v>0</v>
      </c>
    </row>
    <row r="198" spans="1:4">
      <c r="A198">
        <f>IF(COUNTBLANK(B198:D198)&lt;&gt;COLUMNS(B198:D198),197,"")</f>
        <v>0</v>
      </c>
      <c r="C198" s="1">
        <f>IF(B198="", "", "rat metagenome")</f>
        <v>0</v>
      </c>
      <c r="D198" s="1">
        <f>IF(B198="", "", "1427740")</f>
        <v>0</v>
      </c>
    </row>
    <row r="199" spans="1:4">
      <c r="A199">
        <f>IF(COUNTBLANK(B199:D199)&lt;&gt;COLUMNS(B199:D199),198,"")</f>
        <v>0</v>
      </c>
      <c r="C199" s="1">
        <f>IF(B199="", "", "rat metagenome")</f>
        <v>0</v>
      </c>
      <c r="D199" s="1">
        <f>IF(B199="", "", "1427740")</f>
        <v>0</v>
      </c>
    </row>
    <row r="200" spans="1:4">
      <c r="A200">
        <f>IF(COUNTBLANK(B200:D200)&lt;&gt;COLUMNS(B200:D200),199,"")</f>
        <v>0</v>
      </c>
      <c r="C200" s="1">
        <f>IF(B200="", "", "rat metagenome")</f>
        <v>0</v>
      </c>
      <c r="D200" s="1">
        <f>IF(B200="", "", "1427740")</f>
        <v>0</v>
      </c>
    </row>
    <row r="201" spans="1:4">
      <c r="A201">
        <f>IF(COUNTBLANK(B201:D201)&lt;&gt;COLUMNS(B201:D201),200,"")</f>
        <v>0</v>
      </c>
      <c r="C201" s="1">
        <f>IF(B201="", "", "rat metagenome")</f>
        <v>0</v>
      </c>
      <c r="D201" s="1">
        <f>IF(B201="", "", "1427740")</f>
        <v>0</v>
      </c>
    </row>
    <row r="202" spans="1:4">
      <c r="A202">
        <f>IF(COUNTBLANK(B202:D202)&lt;&gt;COLUMNS(B202:D202),201,"")</f>
        <v>0</v>
      </c>
      <c r="C202" s="1">
        <f>IF(B202="", "", "rat metagenome")</f>
        <v>0</v>
      </c>
      <c r="D202" s="1">
        <f>IF(B202="", "", "1427740")</f>
        <v>0</v>
      </c>
    </row>
    <row r="203" spans="1:4">
      <c r="A203">
        <f>IF(COUNTBLANK(B203:D203)&lt;&gt;COLUMNS(B203:D203),202,"")</f>
        <v>0</v>
      </c>
      <c r="C203" s="1">
        <f>IF(B203="", "", "rat metagenome")</f>
        <v>0</v>
      </c>
      <c r="D203" s="1">
        <f>IF(B203="", "", "1427740")</f>
        <v>0</v>
      </c>
    </row>
    <row r="204" spans="1:4">
      <c r="A204">
        <f>IF(COUNTBLANK(B204:D204)&lt;&gt;COLUMNS(B204:D204),203,"")</f>
        <v>0</v>
      </c>
      <c r="C204" s="1">
        <f>IF(B204="", "", "rat metagenome")</f>
        <v>0</v>
      </c>
      <c r="D204" s="1">
        <f>IF(B204="", "", "1427740")</f>
        <v>0</v>
      </c>
    </row>
    <row r="205" spans="1:4">
      <c r="A205">
        <f>IF(COUNTBLANK(B205:D205)&lt;&gt;COLUMNS(B205:D205),204,"")</f>
        <v>0</v>
      </c>
      <c r="C205" s="1">
        <f>IF(B205="", "", "rat metagenome")</f>
        <v>0</v>
      </c>
      <c r="D205" s="1">
        <f>IF(B205="", "", "1427740")</f>
        <v>0</v>
      </c>
    </row>
    <row r="206" spans="1:4">
      <c r="A206">
        <f>IF(COUNTBLANK(B206:D206)&lt;&gt;COLUMNS(B206:D206),205,"")</f>
        <v>0</v>
      </c>
      <c r="C206" s="1">
        <f>IF(B206="", "", "rat metagenome")</f>
        <v>0</v>
      </c>
      <c r="D206" s="1">
        <f>IF(B206="", "", "1427740")</f>
        <v>0</v>
      </c>
    </row>
    <row r="207" spans="1:4">
      <c r="A207">
        <f>IF(COUNTBLANK(B207:D207)&lt;&gt;COLUMNS(B207:D207),206,"")</f>
        <v>0</v>
      </c>
      <c r="C207" s="1">
        <f>IF(B207="", "", "rat metagenome")</f>
        <v>0</v>
      </c>
      <c r="D207" s="1">
        <f>IF(B207="", "", "1427740")</f>
        <v>0</v>
      </c>
    </row>
    <row r="208" spans="1:4">
      <c r="A208">
        <f>IF(COUNTBLANK(B208:D208)&lt;&gt;COLUMNS(B208:D208),207,"")</f>
        <v>0</v>
      </c>
      <c r="C208" s="1">
        <f>IF(B208="", "", "rat metagenome")</f>
        <v>0</v>
      </c>
      <c r="D208" s="1">
        <f>IF(B208="", "", "1427740")</f>
        <v>0</v>
      </c>
    </row>
    <row r="209" spans="1:4">
      <c r="A209">
        <f>IF(COUNTBLANK(B209:D209)&lt;&gt;COLUMNS(B209:D209),208,"")</f>
        <v>0</v>
      </c>
      <c r="C209" s="1">
        <f>IF(B209="", "", "rat metagenome")</f>
        <v>0</v>
      </c>
      <c r="D209" s="1">
        <f>IF(B209="", "", "1427740")</f>
        <v>0</v>
      </c>
    </row>
    <row r="210" spans="1:4">
      <c r="A210">
        <f>IF(COUNTBLANK(B210:D210)&lt;&gt;COLUMNS(B210:D210),209,"")</f>
        <v>0</v>
      </c>
      <c r="C210" s="1">
        <f>IF(B210="", "", "rat metagenome")</f>
        <v>0</v>
      </c>
      <c r="D210" s="1">
        <f>IF(B210="", "", "1427740")</f>
        <v>0</v>
      </c>
    </row>
    <row r="211" spans="1:4">
      <c r="A211">
        <f>IF(COUNTBLANK(B211:D211)&lt;&gt;COLUMNS(B211:D211),210,"")</f>
        <v>0</v>
      </c>
      <c r="C211" s="1">
        <f>IF(B211="", "", "rat metagenome")</f>
        <v>0</v>
      </c>
      <c r="D211" s="1">
        <f>IF(B211="", "", "1427740")</f>
        <v>0</v>
      </c>
    </row>
    <row r="212" spans="1:4">
      <c r="A212">
        <f>IF(COUNTBLANK(B212:D212)&lt;&gt;COLUMNS(B212:D212),211,"")</f>
        <v>0</v>
      </c>
      <c r="C212" s="1">
        <f>IF(B212="", "", "rat metagenome")</f>
        <v>0</v>
      </c>
      <c r="D212" s="1">
        <f>IF(B212="", "", "1427740")</f>
        <v>0</v>
      </c>
    </row>
    <row r="213" spans="1:4">
      <c r="A213">
        <f>IF(COUNTBLANK(B213:D213)&lt;&gt;COLUMNS(B213:D213),212,"")</f>
        <v>0</v>
      </c>
      <c r="C213" s="1">
        <f>IF(B213="", "", "rat metagenome")</f>
        <v>0</v>
      </c>
      <c r="D213" s="1">
        <f>IF(B213="", "", "1427740")</f>
        <v>0</v>
      </c>
    </row>
    <row r="214" spans="1:4">
      <c r="A214">
        <f>IF(COUNTBLANK(B214:D214)&lt;&gt;COLUMNS(B214:D214),213,"")</f>
        <v>0</v>
      </c>
      <c r="C214" s="1">
        <f>IF(B214="", "", "rat metagenome")</f>
        <v>0</v>
      </c>
      <c r="D214" s="1">
        <f>IF(B214="", "", "1427740")</f>
        <v>0</v>
      </c>
    </row>
    <row r="215" spans="1:4">
      <c r="A215">
        <f>IF(COUNTBLANK(B215:D215)&lt;&gt;COLUMNS(B215:D215),214,"")</f>
        <v>0</v>
      </c>
      <c r="C215" s="1">
        <f>IF(B215="", "", "rat metagenome")</f>
        <v>0</v>
      </c>
      <c r="D215" s="1">
        <f>IF(B215="", "", "1427740")</f>
        <v>0</v>
      </c>
    </row>
    <row r="216" spans="1:4">
      <c r="A216">
        <f>IF(COUNTBLANK(B216:D216)&lt;&gt;COLUMNS(B216:D216),215,"")</f>
        <v>0</v>
      </c>
      <c r="C216" s="1">
        <f>IF(B216="", "", "rat metagenome")</f>
        <v>0</v>
      </c>
      <c r="D216" s="1">
        <f>IF(B216="", "", "1427740")</f>
        <v>0</v>
      </c>
    </row>
    <row r="217" spans="1:4">
      <c r="A217">
        <f>IF(COUNTBLANK(B217:D217)&lt;&gt;COLUMNS(B217:D217),216,"")</f>
        <v>0</v>
      </c>
      <c r="C217" s="1">
        <f>IF(B217="", "", "rat metagenome")</f>
        <v>0</v>
      </c>
      <c r="D217" s="1">
        <f>IF(B217="", "", "1427740")</f>
        <v>0</v>
      </c>
    </row>
    <row r="218" spans="1:4">
      <c r="A218">
        <f>IF(COUNTBLANK(B218:D218)&lt;&gt;COLUMNS(B218:D218),217,"")</f>
        <v>0</v>
      </c>
      <c r="C218" s="1">
        <f>IF(B218="", "", "rat metagenome")</f>
        <v>0</v>
      </c>
      <c r="D218" s="1">
        <f>IF(B218="", "", "1427740")</f>
        <v>0</v>
      </c>
    </row>
    <row r="219" spans="1:4">
      <c r="A219">
        <f>IF(COUNTBLANK(B219:D219)&lt;&gt;COLUMNS(B219:D219),218,"")</f>
        <v>0</v>
      </c>
      <c r="C219" s="1">
        <f>IF(B219="", "", "rat metagenome")</f>
        <v>0</v>
      </c>
      <c r="D219" s="1">
        <f>IF(B219="", "", "1427740")</f>
        <v>0</v>
      </c>
    </row>
    <row r="220" spans="1:4">
      <c r="A220">
        <f>IF(COUNTBLANK(B220:D220)&lt;&gt;COLUMNS(B220:D220),219,"")</f>
        <v>0</v>
      </c>
      <c r="C220" s="1">
        <f>IF(B220="", "", "rat metagenome")</f>
        <v>0</v>
      </c>
      <c r="D220" s="1">
        <f>IF(B220="", "", "1427740")</f>
        <v>0</v>
      </c>
    </row>
    <row r="221" spans="1:4">
      <c r="A221">
        <f>IF(COUNTBLANK(B221:D221)&lt;&gt;COLUMNS(B221:D221),220,"")</f>
        <v>0</v>
      </c>
      <c r="C221" s="1">
        <f>IF(B221="", "", "rat metagenome")</f>
        <v>0</v>
      </c>
      <c r="D221" s="1">
        <f>IF(B221="", "", "1427740")</f>
        <v>0</v>
      </c>
    </row>
    <row r="222" spans="1:4">
      <c r="A222">
        <f>IF(COUNTBLANK(B222:D222)&lt;&gt;COLUMNS(B222:D222),221,"")</f>
        <v>0</v>
      </c>
      <c r="C222" s="1">
        <f>IF(B222="", "", "rat metagenome")</f>
        <v>0</v>
      </c>
      <c r="D222" s="1">
        <f>IF(B222="", "", "1427740")</f>
        <v>0</v>
      </c>
    </row>
    <row r="223" spans="1:4">
      <c r="A223">
        <f>IF(COUNTBLANK(B223:D223)&lt;&gt;COLUMNS(B223:D223),222,"")</f>
        <v>0</v>
      </c>
      <c r="C223" s="1">
        <f>IF(B223="", "", "rat metagenome")</f>
        <v>0</v>
      </c>
      <c r="D223" s="1">
        <f>IF(B223="", "", "1427740")</f>
        <v>0</v>
      </c>
    </row>
    <row r="224" spans="1:4">
      <c r="A224">
        <f>IF(COUNTBLANK(B224:D224)&lt;&gt;COLUMNS(B224:D224),223,"")</f>
        <v>0</v>
      </c>
      <c r="C224" s="1">
        <f>IF(B224="", "", "rat metagenome")</f>
        <v>0</v>
      </c>
      <c r="D224" s="1">
        <f>IF(B224="", "", "1427740")</f>
        <v>0</v>
      </c>
    </row>
    <row r="225" spans="1:4">
      <c r="A225">
        <f>IF(COUNTBLANK(B225:D225)&lt;&gt;COLUMNS(B225:D225),224,"")</f>
        <v>0</v>
      </c>
      <c r="C225" s="1">
        <f>IF(B225="", "", "rat metagenome")</f>
        <v>0</v>
      </c>
      <c r="D225" s="1">
        <f>IF(B225="", "", "1427740")</f>
        <v>0</v>
      </c>
    </row>
    <row r="226" spans="1:4">
      <c r="A226">
        <f>IF(COUNTBLANK(B226:D226)&lt;&gt;COLUMNS(B226:D226),225,"")</f>
        <v>0</v>
      </c>
      <c r="C226" s="1">
        <f>IF(B226="", "", "rat metagenome")</f>
        <v>0</v>
      </c>
      <c r="D226" s="1">
        <f>IF(B226="", "", "1427740")</f>
        <v>0</v>
      </c>
    </row>
    <row r="227" spans="1:4">
      <c r="A227">
        <f>IF(COUNTBLANK(B227:D227)&lt;&gt;COLUMNS(B227:D227),226,"")</f>
        <v>0</v>
      </c>
      <c r="C227" s="1">
        <f>IF(B227="", "", "rat metagenome")</f>
        <v>0</v>
      </c>
      <c r="D227" s="1">
        <f>IF(B227="", "", "1427740")</f>
        <v>0</v>
      </c>
    </row>
    <row r="228" spans="1:4">
      <c r="A228">
        <f>IF(COUNTBLANK(B228:D228)&lt;&gt;COLUMNS(B228:D228),227,"")</f>
        <v>0</v>
      </c>
      <c r="C228" s="1">
        <f>IF(B228="", "", "rat metagenome")</f>
        <v>0</v>
      </c>
      <c r="D228" s="1">
        <f>IF(B228="", "", "1427740")</f>
        <v>0</v>
      </c>
    </row>
    <row r="229" spans="1:4">
      <c r="A229">
        <f>IF(COUNTBLANK(B229:D229)&lt;&gt;COLUMNS(B229:D229),228,"")</f>
        <v>0</v>
      </c>
      <c r="C229" s="1">
        <f>IF(B229="", "", "rat metagenome")</f>
        <v>0</v>
      </c>
      <c r="D229" s="1">
        <f>IF(B229="", "", "1427740")</f>
        <v>0</v>
      </c>
    </row>
    <row r="230" spans="1:4">
      <c r="A230">
        <f>IF(COUNTBLANK(B230:D230)&lt;&gt;COLUMNS(B230:D230),229,"")</f>
        <v>0</v>
      </c>
      <c r="C230" s="1">
        <f>IF(B230="", "", "rat metagenome")</f>
        <v>0</v>
      </c>
      <c r="D230" s="1">
        <f>IF(B230="", "", "1427740")</f>
        <v>0</v>
      </c>
    </row>
    <row r="231" spans="1:4">
      <c r="A231">
        <f>IF(COUNTBLANK(B231:D231)&lt;&gt;COLUMNS(B231:D231),230,"")</f>
        <v>0</v>
      </c>
      <c r="C231" s="1">
        <f>IF(B231="", "", "rat metagenome")</f>
        <v>0</v>
      </c>
      <c r="D231" s="1">
        <f>IF(B231="", "", "1427740")</f>
        <v>0</v>
      </c>
    </row>
    <row r="232" spans="1:4">
      <c r="A232">
        <f>IF(COUNTBLANK(B232:D232)&lt;&gt;COLUMNS(B232:D232),231,"")</f>
        <v>0</v>
      </c>
      <c r="C232" s="1">
        <f>IF(B232="", "", "rat metagenome")</f>
        <v>0</v>
      </c>
      <c r="D232" s="1">
        <f>IF(B232="", "", "1427740")</f>
        <v>0</v>
      </c>
    </row>
    <row r="233" spans="1:4">
      <c r="A233">
        <f>IF(COUNTBLANK(B233:D233)&lt;&gt;COLUMNS(B233:D233),232,"")</f>
        <v>0</v>
      </c>
      <c r="C233" s="1">
        <f>IF(B233="", "", "rat metagenome")</f>
        <v>0</v>
      </c>
      <c r="D233" s="1">
        <f>IF(B233="", "", "1427740")</f>
        <v>0</v>
      </c>
    </row>
    <row r="234" spans="1:4">
      <c r="A234">
        <f>IF(COUNTBLANK(B234:D234)&lt;&gt;COLUMNS(B234:D234),233,"")</f>
        <v>0</v>
      </c>
      <c r="C234" s="1">
        <f>IF(B234="", "", "rat metagenome")</f>
        <v>0</v>
      </c>
      <c r="D234" s="1">
        <f>IF(B234="", "", "1427740")</f>
        <v>0</v>
      </c>
    </row>
    <row r="235" spans="1:4">
      <c r="A235">
        <f>IF(COUNTBLANK(B235:D235)&lt;&gt;COLUMNS(B235:D235),234,"")</f>
        <v>0</v>
      </c>
      <c r="C235" s="1">
        <f>IF(B235="", "", "rat metagenome")</f>
        <v>0</v>
      </c>
      <c r="D235" s="1">
        <f>IF(B235="", "", "1427740")</f>
        <v>0</v>
      </c>
    </row>
    <row r="236" spans="1:4">
      <c r="A236">
        <f>IF(COUNTBLANK(B236:D236)&lt;&gt;COLUMNS(B236:D236),235,"")</f>
        <v>0</v>
      </c>
      <c r="C236" s="1">
        <f>IF(B236="", "", "rat metagenome")</f>
        <v>0</v>
      </c>
      <c r="D236" s="1">
        <f>IF(B236="", "", "1427740")</f>
        <v>0</v>
      </c>
    </row>
    <row r="237" spans="1:4">
      <c r="A237">
        <f>IF(COUNTBLANK(B237:D237)&lt;&gt;COLUMNS(B237:D237),236,"")</f>
        <v>0</v>
      </c>
      <c r="C237" s="1">
        <f>IF(B237="", "", "rat metagenome")</f>
        <v>0</v>
      </c>
      <c r="D237" s="1">
        <f>IF(B237="", "", "1427740")</f>
        <v>0</v>
      </c>
    </row>
    <row r="238" spans="1:4">
      <c r="A238">
        <f>IF(COUNTBLANK(B238:D238)&lt;&gt;COLUMNS(B238:D238),237,"")</f>
        <v>0</v>
      </c>
      <c r="C238" s="1">
        <f>IF(B238="", "", "rat metagenome")</f>
        <v>0</v>
      </c>
      <c r="D238" s="1">
        <f>IF(B238="", "", "1427740")</f>
        <v>0</v>
      </c>
    </row>
    <row r="239" spans="1:4">
      <c r="A239">
        <f>IF(COUNTBLANK(B239:D239)&lt;&gt;COLUMNS(B239:D239),238,"")</f>
        <v>0</v>
      </c>
      <c r="C239" s="1">
        <f>IF(B239="", "", "rat metagenome")</f>
        <v>0</v>
      </c>
      <c r="D239" s="1">
        <f>IF(B239="", "", "1427740")</f>
        <v>0</v>
      </c>
    </row>
    <row r="240" spans="1:4">
      <c r="A240">
        <f>IF(COUNTBLANK(B240:D240)&lt;&gt;COLUMNS(B240:D240),239,"")</f>
        <v>0</v>
      </c>
      <c r="C240" s="1">
        <f>IF(B240="", "", "rat metagenome")</f>
        <v>0</v>
      </c>
      <c r="D240" s="1">
        <f>IF(B240="", "", "1427740")</f>
        <v>0</v>
      </c>
    </row>
    <row r="241" spans="1:4">
      <c r="A241">
        <f>IF(COUNTBLANK(B241:D241)&lt;&gt;COLUMNS(B241:D241),240,"")</f>
        <v>0</v>
      </c>
      <c r="C241" s="1">
        <f>IF(B241="", "", "rat metagenome")</f>
        <v>0</v>
      </c>
      <c r="D241" s="1">
        <f>IF(B241="", "", "1427740")</f>
        <v>0</v>
      </c>
    </row>
    <row r="242" spans="1:4">
      <c r="A242">
        <f>IF(COUNTBLANK(B242:D242)&lt;&gt;COLUMNS(B242:D242),241,"")</f>
        <v>0</v>
      </c>
      <c r="C242" s="1">
        <f>IF(B242="", "", "rat metagenome")</f>
        <v>0</v>
      </c>
      <c r="D242" s="1">
        <f>IF(B242="", "", "1427740")</f>
        <v>0</v>
      </c>
    </row>
    <row r="243" spans="1:4">
      <c r="A243">
        <f>IF(COUNTBLANK(B243:D243)&lt;&gt;COLUMNS(B243:D243),242,"")</f>
        <v>0</v>
      </c>
      <c r="C243" s="1">
        <f>IF(B243="", "", "rat metagenome")</f>
        <v>0</v>
      </c>
      <c r="D243" s="1">
        <f>IF(B243="", "", "1427740")</f>
        <v>0</v>
      </c>
    </row>
    <row r="244" spans="1:4">
      <c r="A244">
        <f>IF(COUNTBLANK(B244:D244)&lt;&gt;COLUMNS(B244:D244),243,"")</f>
        <v>0</v>
      </c>
      <c r="C244" s="1">
        <f>IF(B244="", "", "rat metagenome")</f>
        <v>0</v>
      </c>
      <c r="D244" s="1">
        <f>IF(B244="", "", "1427740")</f>
        <v>0</v>
      </c>
    </row>
    <row r="245" spans="1:4">
      <c r="A245">
        <f>IF(COUNTBLANK(B245:D245)&lt;&gt;COLUMNS(B245:D245),244,"")</f>
        <v>0</v>
      </c>
      <c r="C245" s="1">
        <f>IF(B245="", "", "rat metagenome")</f>
        <v>0</v>
      </c>
      <c r="D245" s="1">
        <f>IF(B245="", "", "1427740")</f>
        <v>0</v>
      </c>
    </row>
    <row r="246" spans="1:4">
      <c r="A246">
        <f>IF(COUNTBLANK(B246:D246)&lt;&gt;COLUMNS(B246:D246),245,"")</f>
        <v>0</v>
      </c>
      <c r="C246" s="1">
        <f>IF(B246="", "", "rat metagenome")</f>
        <v>0</v>
      </c>
      <c r="D246" s="1">
        <f>IF(B246="", "", "1427740")</f>
        <v>0</v>
      </c>
    </row>
    <row r="247" spans="1:4">
      <c r="A247">
        <f>IF(COUNTBLANK(B247:D247)&lt;&gt;COLUMNS(B247:D247),246,"")</f>
        <v>0</v>
      </c>
      <c r="C247" s="1">
        <f>IF(B247="", "", "rat metagenome")</f>
        <v>0</v>
      </c>
      <c r="D247" s="1">
        <f>IF(B247="", "", "1427740")</f>
        <v>0</v>
      </c>
    </row>
    <row r="248" spans="1:4">
      <c r="A248">
        <f>IF(COUNTBLANK(B248:D248)&lt;&gt;COLUMNS(B248:D248),247,"")</f>
        <v>0</v>
      </c>
      <c r="C248" s="1">
        <f>IF(B248="", "", "rat metagenome")</f>
        <v>0</v>
      </c>
      <c r="D248" s="1">
        <f>IF(B248="", "", "1427740")</f>
        <v>0</v>
      </c>
    </row>
    <row r="249" spans="1:4">
      <c r="A249">
        <f>IF(COUNTBLANK(B249:D249)&lt;&gt;COLUMNS(B249:D249),248,"")</f>
        <v>0</v>
      </c>
      <c r="C249" s="1">
        <f>IF(B249="", "", "rat metagenome")</f>
        <v>0</v>
      </c>
      <c r="D249" s="1">
        <f>IF(B249="", "", "1427740")</f>
        <v>0</v>
      </c>
    </row>
    <row r="250" spans="1:4">
      <c r="A250">
        <f>IF(COUNTBLANK(B250:D250)&lt;&gt;COLUMNS(B250:D250),249,"")</f>
        <v>0</v>
      </c>
      <c r="C250" s="1">
        <f>IF(B250="", "", "rat metagenome")</f>
        <v>0</v>
      </c>
      <c r="D250" s="1">
        <f>IF(B250="", "", "1427740")</f>
        <v>0</v>
      </c>
    </row>
    <row r="251" spans="1:4">
      <c r="A251">
        <f>IF(COUNTBLANK(B251:D251)&lt;&gt;COLUMNS(B251:D251),250,"")</f>
        <v>0</v>
      </c>
      <c r="C251" s="1">
        <f>IF(B251="", "", "rat metagenome")</f>
        <v>0</v>
      </c>
      <c r="D251" s="1">
        <f>IF(B251="", "", "1427740")</f>
        <v>0</v>
      </c>
    </row>
    <row r="252" spans="1:4">
      <c r="A252">
        <f>IF(COUNTBLANK(B252:D252)&lt;&gt;COLUMNS(B252:D252),251,"")</f>
        <v>0</v>
      </c>
      <c r="C252" s="1">
        <f>IF(B252="", "", "rat metagenome")</f>
        <v>0</v>
      </c>
      <c r="D252" s="1">
        <f>IF(B252="", "", "1427740")</f>
        <v>0</v>
      </c>
    </row>
    <row r="253" spans="1:4">
      <c r="A253">
        <f>IF(COUNTBLANK(B253:D253)&lt;&gt;COLUMNS(B253:D253),252,"")</f>
        <v>0</v>
      </c>
      <c r="C253" s="1">
        <f>IF(B253="", "", "rat metagenome")</f>
        <v>0</v>
      </c>
      <c r="D253" s="1">
        <f>IF(B253="", "", "1427740")</f>
        <v>0</v>
      </c>
    </row>
    <row r="254" spans="1:4">
      <c r="A254">
        <f>IF(COUNTBLANK(B254:D254)&lt;&gt;COLUMNS(B254:D254),253,"")</f>
        <v>0</v>
      </c>
      <c r="C254" s="1">
        <f>IF(B254="", "", "rat metagenome")</f>
        <v>0</v>
      </c>
      <c r="D254" s="1">
        <f>IF(B254="", "", "1427740")</f>
        <v>0</v>
      </c>
    </row>
    <row r="255" spans="1:4">
      <c r="A255">
        <f>IF(COUNTBLANK(B255:D255)&lt;&gt;COLUMNS(B255:D255),254,"")</f>
        <v>0</v>
      </c>
      <c r="C255" s="1">
        <f>IF(B255="", "", "rat metagenome")</f>
        <v>0</v>
      </c>
      <c r="D255" s="1">
        <f>IF(B255="", "", "1427740")</f>
        <v>0</v>
      </c>
    </row>
    <row r="256" spans="1:4">
      <c r="A256">
        <f>IF(COUNTBLANK(B256:D256)&lt;&gt;COLUMNS(B256:D256),255,"")</f>
        <v>0</v>
      </c>
      <c r="C256" s="1">
        <f>IF(B256="", "", "rat metagenome")</f>
        <v>0</v>
      </c>
      <c r="D256" s="1">
        <f>IF(B256="", "", "1427740")</f>
        <v>0</v>
      </c>
    </row>
    <row r="257" spans="1:4">
      <c r="A257">
        <f>IF(COUNTBLANK(B257:D257)&lt;&gt;COLUMNS(B257:D257),256,"")</f>
        <v>0</v>
      </c>
      <c r="C257" s="1">
        <f>IF(B257="", "", "rat metagenome")</f>
        <v>0</v>
      </c>
      <c r="D257" s="1">
        <f>IF(B257="", "", "1427740")</f>
        <v>0</v>
      </c>
    </row>
    <row r="258" spans="1:4">
      <c r="A258">
        <f>IF(COUNTBLANK(B258:D258)&lt;&gt;COLUMNS(B258:D258),257,"")</f>
        <v>0</v>
      </c>
      <c r="C258" s="1">
        <f>IF(B258="", "", "rat metagenome")</f>
        <v>0</v>
      </c>
      <c r="D258" s="1">
        <f>IF(B258="", "", "1427740")</f>
        <v>0</v>
      </c>
    </row>
    <row r="259" spans="1:4">
      <c r="A259">
        <f>IF(COUNTBLANK(B259:D259)&lt;&gt;COLUMNS(B259:D259),258,"")</f>
        <v>0</v>
      </c>
      <c r="C259" s="1">
        <f>IF(B259="", "", "rat metagenome")</f>
        <v>0</v>
      </c>
      <c r="D259" s="1">
        <f>IF(B259="", "", "1427740")</f>
        <v>0</v>
      </c>
    </row>
    <row r="260" spans="1:4">
      <c r="A260">
        <f>IF(COUNTBLANK(B260:D260)&lt;&gt;COLUMNS(B260:D260),259,"")</f>
        <v>0</v>
      </c>
      <c r="C260" s="1">
        <f>IF(B260="", "", "rat metagenome")</f>
        <v>0</v>
      </c>
      <c r="D260" s="1">
        <f>IF(B260="", "", "1427740")</f>
        <v>0</v>
      </c>
    </row>
    <row r="261" spans="1:4">
      <c r="A261">
        <f>IF(COUNTBLANK(B261:D261)&lt;&gt;COLUMNS(B261:D261),260,"")</f>
        <v>0</v>
      </c>
      <c r="C261" s="1">
        <f>IF(B261="", "", "rat metagenome")</f>
        <v>0</v>
      </c>
      <c r="D261" s="1">
        <f>IF(B261="", "", "1427740")</f>
        <v>0</v>
      </c>
    </row>
    <row r="262" spans="1:4">
      <c r="A262">
        <f>IF(COUNTBLANK(B262:D262)&lt;&gt;COLUMNS(B262:D262),261,"")</f>
        <v>0</v>
      </c>
      <c r="C262" s="1">
        <f>IF(B262="", "", "rat metagenome")</f>
        <v>0</v>
      </c>
      <c r="D262" s="1">
        <f>IF(B262="", "", "1427740")</f>
        <v>0</v>
      </c>
    </row>
    <row r="263" spans="1:4">
      <c r="A263">
        <f>IF(COUNTBLANK(B263:D263)&lt;&gt;COLUMNS(B263:D263),262,"")</f>
        <v>0</v>
      </c>
      <c r="C263" s="1">
        <f>IF(B263="", "", "rat metagenome")</f>
        <v>0</v>
      </c>
      <c r="D263" s="1">
        <f>IF(B263="", "", "1427740")</f>
        <v>0</v>
      </c>
    </row>
    <row r="264" spans="1:4">
      <c r="A264">
        <f>IF(COUNTBLANK(B264:D264)&lt;&gt;COLUMNS(B264:D264),263,"")</f>
        <v>0</v>
      </c>
      <c r="C264" s="1">
        <f>IF(B264="", "", "rat metagenome")</f>
        <v>0</v>
      </c>
      <c r="D264" s="1">
        <f>IF(B264="", "", "1427740")</f>
        <v>0</v>
      </c>
    </row>
    <row r="265" spans="1:4">
      <c r="A265">
        <f>IF(COUNTBLANK(B265:D265)&lt;&gt;COLUMNS(B265:D265),264,"")</f>
        <v>0</v>
      </c>
      <c r="C265" s="1">
        <f>IF(B265="", "", "rat metagenome")</f>
        <v>0</v>
      </c>
      <c r="D265" s="1">
        <f>IF(B265="", "", "1427740")</f>
        <v>0</v>
      </c>
    </row>
    <row r="266" spans="1:4">
      <c r="A266">
        <f>IF(COUNTBLANK(B266:D266)&lt;&gt;COLUMNS(B266:D266),265,"")</f>
        <v>0</v>
      </c>
      <c r="C266" s="1">
        <f>IF(B266="", "", "rat metagenome")</f>
        <v>0</v>
      </c>
      <c r="D266" s="1">
        <f>IF(B266="", "", "1427740")</f>
        <v>0</v>
      </c>
    </row>
    <row r="267" spans="1:4">
      <c r="A267">
        <f>IF(COUNTBLANK(B267:D267)&lt;&gt;COLUMNS(B267:D267),266,"")</f>
        <v>0</v>
      </c>
      <c r="C267" s="1">
        <f>IF(B267="", "", "rat metagenome")</f>
        <v>0</v>
      </c>
      <c r="D267" s="1">
        <f>IF(B267="", "", "1427740")</f>
        <v>0</v>
      </c>
    </row>
    <row r="268" spans="1:4">
      <c r="A268">
        <f>IF(COUNTBLANK(B268:D268)&lt;&gt;COLUMNS(B268:D268),267,"")</f>
        <v>0</v>
      </c>
      <c r="C268" s="1">
        <f>IF(B268="", "", "rat metagenome")</f>
        <v>0</v>
      </c>
      <c r="D268" s="1">
        <f>IF(B268="", "", "1427740")</f>
        <v>0</v>
      </c>
    </row>
    <row r="269" spans="1:4">
      <c r="A269">
        <f>IF(COUNTBLANK(B269:D269)&lt;&gt;COLUMNS(B269:D269),268,"")</f>
        <v>0</v>
      </c>
      <c r="C269" s="1">
        <f>IF(B269="", "", "rat metagenome")</f>
        <v>0</v>
      </c>
      <c r="D269" s="1">
        <f>IF(B269="", "", "1427740")</f>
        <v>0</v>
      </c>
    </row>
    <row r="270" spans="1:4">
      <c r="A270">
        <f>IF(COUNTBLANK(B270:D270)&lt;&gt;COLUMNS(B270:D270),269,"")</f>
        <v>0</v>
      </c>
      <c r="C270" s="1">
        <f>IF(B270="", "", "rat metagenome")</f>
        <v>0</v>
      </c>
      <c r="D270" s="1">
        <f>IF(B270="", "", "1427740")</f>
        <v>0</v>
      </c>
    </row>
    <row r="271" spans="1:4">
      <c r="A271">
        <f>IF(COUNTBLANK(B271:D271)&lt;&gt;COLUMNS(B271:D271),270,"")</f>
        <v>0</v>
      </c>
      <c r="C271" s="1">
        <f>IF(B271="", "", "rat metagenome")</f>
        <v>0</v>
      </c>
      <c r="D271" s="1">
        <f>IF(B271="", "", "1427740")</f>
        <v>0</v>
      </c>
    </row>
    <row r="272" spans="1:4">
      <c r="A272">
        <f>IF(COUNTBLANK(B272:D272)&lt;&gt;COLUMNS(B272:D272),271,"")</f>
        <v>0</v>
      </c>
      <c r="C272" s="1">
        <f>IF(B272="", "", "rat metagenome")</f>
        <v>0</v>
      </c>
      <c r="D272" s="1">
        <f>IF(B272="", "", "1427740")</f>
        <v>0</v>
      </c>
    </row>
    <row r="273" spans="1:4">
      <c r="A273">
        <f>IF(COUNTBLANK(B273:D273)&lt;&gt;COLUMNS(B273:D273),272,"")</f>
        <v>0</v>
      </c>
      <c r="C273" s="1">
        <f>IF(B273="", "", "rat metagenome")</f>
        <v>0</v>
      </c>
      <c r="D273" s="1">
        <f>IF(B273="", "", "1427740")</f>
        <v>0</v>
      </c>
    </row>
    <row r="274" spans="1:4">
      <c r="A274">
        <f>IF(COUNTBLANK(B274:D274)&lt;&gt;COLUMNS(B274:D274),273,"")</f>
        <v>0</v>
      </c>
      <c r="C274" s="1">
        <f>IF(B274="", "", "rat metagenome")</f>
        <v>0</v>
      </c>
      <c r="D274" s="1">
        <f>IF(B274="", "", "1427740")</f>
        <v>0</v>
      </c>
    </row>
    <row r="275" spans="1:4">
      <c r="A275">
        <f>IF(COUNTBLANK(B275:D275)&lt;&gt;COLUMNS(B275:D275),274,"")</f>
        <v>0</v>
      </c>
      <c r="C275" s="1">
        <f>IF(B275="", "", "rat metagenome")</f>
        <v>0</v>
      </c>
      <c r="D275" s="1">
        <f>IF(B275="", "", "1427740")</f>
        <v>0</v>
      </c>
    </row>
    <row r="276" spans="1:4">
      <c r="A276">
        <f>IF(COUNTBLANK(B276:D276)&lt;&gt;COLUMNS(B276:D276),275,"")</f>
        <v>0</v>
      </c>
      <c r="C276" s="1">
        <f>IF(B276="", "", "rat metagenome")</f>
        <v>0</v>
      </c>
      <c r="D276" s="1">
        <f>IF(B276="", "", "1427740")</f>
        <v>0</v>
      </c>
    </row>
    <row r="277" spans="1:4">
      <c r="A277">
        <f>IF(COUNTBLANK(B277:D277)&lt;&gt;COLUMNS(B277:D277),276,"")</f>
        <v>0</v>
      </c>
      <c r="C277" s="1">
        <f>IF(B277="", "", "rat metagenome")</f>
        <v>0</v>
      </c>
      <c r="D277" s="1">
        <f>IF(B277="", "", "1427740")</f>
        <v>0</v>
      </c>
    </row>
    <row r="278" spans="1:4">
      <c r="A278">
        <f>IF(COUNTBLANK(B278:D278)&lt;&gt;COLUMNS(B278:D278),277,"")</f>
        <v>0</v>
      </c>
      <c r="C278" s="1">
        <f>IF(B278="", "", "rat metagenome")</f>
        <v>0</v>
      </c>
      <c r="D278" s="1">
        <f>IF(B278="", "", "1427740")</f>
        <v>0</v>
      </c>
    </row>
    <row r="279" spans="1:4">
      <c r="A279">
        <f>IF(COUNTBLANK(B279:D279)&lt;&gt;COLUMNS(B279:D279),278,"")</f>
        <v>0</v>
      </c>
      <c r="C279" s="1">
        <f>IF(B279="", "", "rat metagenome")</f>
        <v>0</v>
      </c>
      <c r="D279" s="1">
        <f>IF(B279="", "", "1427740")</f>
        <v>0</v>
      </c>
    </row>
    <row r="280" spans="1:4">
      <c r="A280">
        <f>IF(COUNTBLANK(B280:D280)&lt;&gt;COLUMNS(B280:D280),279,"")</f>
        <v>0</v>
      </c>
      <c r="C280" s="1">
        <f>IF(B280="", "", "rat metagenome")</f>
        <v>0</v>
      </c>
      <c r="D280" s="1">
        <f>IF(B280="", "", "1427740")</f>
        <v>0</v>
      </c>
    </row>
    <row r="281" spans="1:4">
      <c r="A281">
        <f>IF(COUNTBLANK(B281:D281)&lt;&gt;COLUMNS(B281:D281),280,"")</f>
        <v>0</v>
      </c>
      <c r="C281" s="1">
        <f>IF(B281="", "", "rat metagenome")</f>
        <v>0</v>
      </c>
      <c r="D281" s="1">
        <f>IF(B281="", "", "1427740")</f>
        <v>0</v>
      </c>
    </row>
    <row r="282" spans="1:4">
      <c r="A282">
        <f>IF(COUNTBLANK(B282:D282)&lt;&gt;COLUMNS(B282:D282),281,"")</f>
        <v>0</v>
      </c>
      <c r="C282" s="1">
        <f>IF(B282="", "", "rat metagenome")</f>
        <v>0</v>
      </c>
      <c r="D282" s="1">
        <f>IF(B282="", "", "1427740")</f>
        <v>0</v>
      </c>
    </row>
    <row r="283" spans="1:4">
      <c r="A283">
        <f>IF(COUNTBLANK(B283:D283)&lt;&gt;COLUMNS(B283:D283),282,"")</f>
        <v>0</v>
      </c>
      <c r="C283" s="1">
        <f>IF(B283="", "", "rat metagenome")</f>
        <v>0</v>
      </c>
      <c r="D283" s="1">
        <f>IF(B283="", "", "1427740")</f>
        <v>0</v>
      </c>
    </row>
    <row r="284" spans="1:4">
      <c r="A284">
        <f>IF(COUNTBLANK(B284:D284)&lt;&gt;COLUMNS(B284:D284),283,"")</f>
        <v>0</v>
      </c>
      <c r="C284" s="1">
        <f>IF(B284="", "", "rat metagenome")</f>
        <v>0</v>
      </c>
      <c r="D284" s="1">
        <f>IF(B284="", "", "1427740")</f>
        <v>0</v>
      </c>
    </row>
    <row r="285" spans="1:4">
      <c r="A285">
        <f>IF(COUNTBLANK(B285:D285)&lt;&gt;COLUMNS(B285:D285),284,"")</f>
        <v>0</v>
      </c>
      <c r="C285" s="1">
        <f>IF(B285="", "", "rat metagenome")</f>
        <v>0</v>
      </c>
      <c r="D285" s="1">
        <f>IF(B285="", "", "1427740")</f>
        <v>0</v>
      </c>
    </row>
    <row r="286" spans="1:4">
      <c r="A286">
        <f>IF(COUNTBLANK(B286:D286)&lt;&gt;COLUMNS(B286:D286),285,"")</f>
        <v>0</v>
      </c>
      <c r="C286" s="1">
        <f>IF(B286="", "", "rat metagenome")</f>
        <v>0</v>
      </c>
      <c r="D286" s="1">
        <f>IF(B286="", "", "1427740")</f>
        <v>0</v>
      </c>
    </row>
    <row r="287" spans="1:4">
      <c r="A287">
        <f>IF(COUNTBLANK(B287:D287)&lt;&gt;COLUMNS(B287:D287),286,"")</f>
        <v>0</v>
      </c>
      <c r="C287" s="1">
        <f>IF(B287="", "", "rat metagenome")</f>
        <v>0</v>
      </c>
      <c r="D287" s="1">
        <f>IF(B287="", "", "1427740")</f>
        <v>0</v>
      </c>
    </row>
    <row r="288" spans="1:4">
      <c r="A288">
        <f>IF(COUNTBLANK(B288:D288)&lt;&gt;COLUMNS(B288:D288),287,"")</f>
        <v>0</v>
      </c>
      <c r="C288" s="1">
        <f>IF(B288="", "", "rat metagenome")</f>
        <v>0</v>
      </c>
      <c r="D288" s="1">
        <f>IF(B288="", "", "1427740")</f>
        <v>0</v>
      </c>
    </row>
    <row r="289" spans="1:4">
      <c r="A289">
        <f>IF(COUNTBLANK(B289:D289)&lt;&gt;COLUMNS(B289:D289),288,"")</f>
        <v>0</v>
      </c>
      <c r="C289" s="1">
        <f>IF(B289="", "", "rat metagenome")</f>
        <v>0</v>
      </c>
      <c r="D289" s="1">
        <f>IF(B289="", "", "1427740")</f>
        <v>0</v>
      </c>
    </row>
    <row r="290" spans="1:4">
      <c r="A290">
        <f>IF(COUNTBLANK(B290:D290)&lt;&gt;COLUMNS(B290:D290),289,"")</f>
        <v>0</v>
      </c>
      <c r="C290" s="1">
        <f>IF(B290="", "", "rat metagenome")</f>
        <v>0</v>
      </c>
      <c r="D290" s="1">
        <f>IF(B290="", "", "1427740")</f>
        <v>0</v>
      </c>
    </row>
    <row r="291" spans="1:4">
      <c r="A291">
        <f>IF(COUNTBLANK(B291:D291)&lt;&gt;COLUMNS(B291:D291),290,"")</f>
        <v>0</v>
      </c>
      <c r="C291" s="1">
        <f>IF(B291="", "", "rat metagenome")</f>
        <v>0</v>
      </c>
      <c r="D291" s="1">
        <f>IF(B291="", "", "1427740")</f>
        <v>0</v>
      </c>
    </row>
    <row r="292" spans="1:4">
      <c r="A292">
        <f>IF(COUNTBLANK(B292:D292)&lt;&gt;COLUMNS(B292:D292),291,"")</f>
        <v>0</v>
      </c>
      <c r="C292" s="1">
        <f>IF(B292="", "", "rat metagenome")</f>
        <v>0</v>
      </c>
      <c r="D292" s="1">
        <f>IF(B292="", "", "1427740")</f>
        <v>0</v>
      </c>
    </row>
    <row r="293" spans="1:4">
      <c r="A293">
        <f>IF(COUNTBLANK(B293:D293)&lt;&gt;COLUMNS(B293:D293),292,"")</f>
        <v>0</v>
      </c>
      <c r="C293" s="1">
        <f>IF(B293="", "", "rat metagenome")</f>
        <v>0</v>
      </c>
      <c r="D293" s="1">
        <f>IF(B293="", "", "1427740")</f>
        <v>0</v>
      </c>
    </row>
    <row r="294" spans="1:4">
      <c r="A294">
        <f>IF(COUNTBLANK(B294:D294)&lt;&gt;COLUMNS(B294:D294),293,"")</f>
        <v>0</v>
      </c>
      <c r="C294" s="1">
        <f>IF(B294="", "", "rat metagenome")</f>
        <v>0</v>
      </c>
      <c r="D294" s="1">
        <f>IF(B294="", "", "1427740")</f>
        <v>0</v>
      </c>
    </row>
    <row r="295" spans="1:4">
      <c r="A295">
        <f>IF(COUNTBLANK(B295:D295)&lt;&gt;COLUMNS(B295:D295),294,"")</f>
        <v>0</v>
      </c>
      <c r="C295" s="1">
        <f>IF(B295="", "", "rat metagenome")</f>
        <v>0</v>
      </c>
      <c r="D295" s="1">
        <f>IF(B295="", "", "1427740")</f>
        <v>0</v>
      </c>
    </row>
    <row r="296" spans="1:4">
      <c r="A296">
        <f>IF(COUNTBLANK(B296:D296)&lt;&gt;COLUMNS(B296:D296),295,"")</f>
        <v>0</v>
      </c>
      <c r="C296" s="1">
        <f>IF(B296="", "", "rat metagenome")</f>
        <v>0</v>
      </c>
      <c r="D296" s="1">
        <f>IF(B296="", "", "1427740")</f>
        <v>0</v>
      </c>
    </row>
    <row r="297" spans="1:4">
      <c r="A297">
        <f>IF(COUNTBLANK(B297:D297)&lt;&gt;COLUMNS(B297:D297),296,"")</f>
        <v>0</v>
      </c>
      <c r="C297" s="1">
        <f>IF(B297="", "", "rat metagenome")</f>
        <v>0</v>
      </c>
      <c r="D297" s="1">
        <f>IF(B297="", "", "1427740")</f>
        <v>0</v>
      </c>
    </row>
    <row r="298" spans="1:4">
      <c r="A298">
        <f>IF(COUNTBLANK(B298:D298)&lt;&gt;COLUMNS(B298:D298),297,"")</f>
        <v>0</v>
      </c>
      <c r="C298" s="1">
        <f>IF(B298="", "", "rat metagenome")</f>
        <v>0</v>
      </c>
      <c r="D298" s="1">
        <f>IF(B298="", "", "1427740")</f>
        <v>0</v>
      </c>
    </row>
    <row r="299" spans="1:4">
      <c r="A299">
        <f>IF(COUNTBLANK(B299:D299)&lt;&gt;COLUMNS(B299:D299),298,"")</f>
        <v>0</v>
      </c>
      <c r="C299" s="1">
        <f>IF(B299="", "", "rat metagenome")</f>
        <v>0</v>
      </c>
      <c r="D299" s="1">
        <f>IF(B299="", "", "1427740")</f>
        <v>0</v>
      </c>
    </row>
    <row r="300" spans="1:4">
      <c r="A300">
        <f>IF(COUNTBLANK(B300:D300)&lt;&gt;COLUMNS(B300:D300),299,"")</f>
        <v>0</v>
      </c>
      <c r="C300" s="1">
        <f>IF(B300="", "", "rat metagenome")</f>
        <v>0</v>
      </c>
      <c r="D300" s="1">
        <f>IF(B300="", "", "1427740")</f>
        <v>0</v>
      </c>
    </row>
    <row r="301" spans="1:4">
      <c r="A301">
        <f>IF(COUNTBLANK(B301:D301)&lt;&gt;COLUMNS(B301:D301),300,"")</f>
        <v>0</v>
      </c>
      <c r="C301" s="1">
        <f>IF(B301="", "", "rat metagenome")</f>
        <v>0</v>
      </c>
      <c r="D301" s="1">
        <f>IF(B301="", "", "1427740")</f>
        <v>0</v>
      </c>
    </row>
    <row r="302" spans="1:4">
      <c r="A302">
        <f>IF(COUNTBLANK(B302:D302)&lt;&gt;COLUMNS(B302:D302),301,"")</f>
        <v>0</v>
      </c>
      <c r="C302" s="1">
        <f>IF(B302="", "", "rat metagenome")</f>
        <v>0</v>
      </c>
      <c r="D302" s="1">
        <f>IF(B302="", "", "1427740")</f>
        <v>0</v>
      </c>
    </row>
    <row r="303" spans="1:4">
      <c r="A303">
        <f>IF(COUNTBLANK(B303:D303)&lt;&gt;COLUMNS(B303:D303),302,"")</f>
        <v>0</v>
      </c>
      <c r="C303" s="1">
        <f>IF(B303="", "", "rat metagenome")</f>
        <v>0</v>
      </c>
      <c r="D303" s="1">
        <f>IF(B303="", "", "1427740")</f>
        <v>0</v>
      </c>
    </row>
    <row r="304" spans="1:4">
      <c r="A304">
        <f>IF(COUNTBLANK(B304:D304)&lt;&gt;COLUMNS(B304:D304),303,"")</f>
        <v>0</v>
      </c>
      <c r="C304" s="1">
        <f>IF(B304="", "", "rat metagenome")</f>
        <v>0</v>
      </c>
      <c r="D304" s="1">
        <f>IF(B304="", "", "1427740")</f>
        <v>0</v>
      </c>
    </row>
    <row r="305" spans="1:4">
      <c r="A305">
        <f>IF(COUNTBLANK(B305:D305)&lt;&gt;COLUMNS(B305:D305),304,"")</f>
        <v>0</v>
      </c>
      <c r="C305" s="1">
        <f>IF(B305="", "", "rat metagenome")</f>
        <v>0</v>
      </c>
      <c r="D305" s="1">
        <f>IF(B305="", "", "1427740")</f>
        <v>0</v>
      </c>
    </row>
    <row r="306" spans="1:4">
      <c r="A306">
        <f>IF(COUNTBLANK(B306:D306)&lt;&gt;COLUMNS(B306:D306),305,"")</f>
        <v>0</v>
      </c>
      <c r="C306" s="1">
        <f>IF(B306="", "", "rat metagenome")</f>
        <v>0</v>
      </c>
      <c r="D306" s="1">
        <f>IF(B306="", "", "1427740")</f>
        <v>0</v>
      </c>
    </row>
    <row r="307" spans="1:4">
      <c r="A307">
        <f>IF(COUNTBLANK(B307:D307)&lt;&gt;COLUMNS(B307:D307),306,"")</f>
        <v>0</v>
      </c>
      <c r="C307" s="1">
        <f>IF(B307="", "", "rat metagenome")</f>
        <v>0</v>
      </c>
      <c r="D307" s="1">
        <f>IF(B307="", "", "1427740")</f>
        <v>0</v>
      </c>
    </row>
    <row r="308" spans="1:4">
      <c r="A308">
        <f>IF(COUNTBLANK(B308:D308)&lt;&gt;COLUMNS(B308:D308),307,"")</f>
        <v>0</v>
      </c>
      <c r="C308" s="1">
        <f>IF(B308="", "", "rat metagenome")</f>
        <v>0</v>
      </c>
      <c r="D308" s="1">
        <f>IF(B308="", "", "1427740")</f>
        <v>0</v>
      </c>
    </row>
    <row r="309" spans="1:4">
      <c r="A309">
        <f>IF(COUNTBLANK(B309:D309)&lt;&gt;COLUMNS(B309:D309),308,"")</f>
        <v>0</v>
      </c>
      <c r="C309" s="1">
        <f>IF(B309="", "", "rat metagenome")</f>
        <v>0</v>
      </c>
      <c r="D309" s="1">
        <f>IF(B309="", "", "1427740")</f>
        <v>0</v>
      </c>
    </row>
    <row r="310" spans="1:4">
      <c r="A310">
        <f>IF(COUNTBLANK(B310:D310)&lt;&gt;COLUMNS(B310:D310),309,"")</f>
        <v>0</v>
      </c>
      <c r="C310" s="1">
        <f>IF(B310="", "", "rat metagenome")</f>
        <v>0</v>
      </c>
      <c r="D310" s="1">
        <f>IF(B310="", "", "1427740")</f>
        <v>0</v>
      </c>
    </row>
    <row r="311" spans="1:4">
      <c r="A311">
        <f>IF(COUNTBLANK(B311:D311)&lt;&gt;COLUMNS(B311:D311),310,"")</f>
        <v>0</v>
      </c>
      <c r="C311" s="1">
        <f>IF(B311="", "", "rat metagenome")</f>
        <v>0</v>
      </c>
      <c r="D311" s="1">
        <f>IF(B311="", "", "1427740")</f>
        <v>0</v>
      </c>
    </row>
    <row r="312" spans="1:4">
      <c r="A312">
        <f>IF(COUNTBLANK(B312:D312)&lt;&gt;COLUMNS(B312:D312),311,"")</f>
        <v>0</v>
      </c>
      <c r="C312" s="1">
        <f>IF(B312="", "", "rat metagenome")</f>
        <v>0</v>
      </c>
      <c r="D312" s="1">
        <f>IF(B312="", "", "1427740")</f>
        <v>0</v>
      </c>
    </row>
    <row r="313" spans="1:4">
      <c r="A313">
        <f>IF(COUNTBLANK(B313:D313)&lt;&gt;COLUMNS(B313:D313),312,"")</f>
        <v>0</v>
      </c>
      <c r="C313" s="1">
        <f>IF(B313="", "", "rat metagenome")</f>
        <v>0</v>
      </c>
      <c r="D313" s="1">
        <f>IF(B313="", "", "1427740")</f>
        <v>0</v>
      </c>
    </row>
    <row r="314" spans="1:4">
      <c r="A314">
        <f>IF(COUNTBLANK(B314:D314)&lt;&gt;COLUMNS(B314:D314),313,"")</f>
        <v>0</v>
      </c>
      <c r="C314" s="1">
        <f>IF(B314="", "", "rat metagenome")</f>
        <v>0</v>
      </c>
      <c r="D314" s="1">
        <f>IF(B314="", "", "1427740")</f>
        <v>0</v>
      </c>
    </row>
    <row r="315" spans="1:4">
      <c r="A315">
        <f>IF(COUNTBLANK(B315:D315)&lt;&gt;COLUMNS(B315:D315),314,"")</f>
        <v>0</v>
      </c>
      <c r="C315" s="1">
        <f>IF(B315="", "", "rat metagenome")</f>
        <v>0</v>
      </c>
      <c r="D315" s="1">
        <f>IF(B315="", "", "1427740")</f>
        <v>0</v>
      </c>
    </row>
    <row r="316" spans="1:4">
      <c r="A316">
        <f>IF(COUNTBLANK(B316:D316)&lt;&gt;COLUMNS(B316:D316),315,"")</f>
        <v>0</v>
      </c>
      <c r="C316" s="1">
        <f>IF(B316="", "", "rat metagenome")</f>
        <v>0</v>
      </c>
      <c r="D316" s="1">
        <f>IF(B316="", "", "1427740")</f>
        <v>0</v>
      </c>
    </row>
    <row r="317" spans="1:4">
      <c r="A317">
        <f>IF(COUNTBLANK(B317:D317)&lt;&gt;COLUMNS(B317:D317),316,"")</f>
        <v>0</v>
      </c>
      <c r="C317" s="1">
        <f>IF(B317="", "", "rat metagenome")</f>
        <v>0</v>
      </c>
      <c r="D317" s="1">
        <f>IF(B317="", "", "1427740")</f>
        <v>0</v>
      </c>
    </row>
    <row r="318" spans="1:4">
      <c r="A318">
        <f>IF(COUNTBLANK(B318:D318)&lt;&gt;COLUMNS(B318:D318),317,"")</f>
        <v>0</v>
      </c>
      <c r="C318" s="1">
        <f>IF(B318="", "", "rat metagenome")</f>
        <v>0</v>
      </c>
      <c r="D318" s="1">
        <f>IF(B318="", "", "1427740")</f>
        <v>0</v>
      </c>
    </row>
    <row r="319" spans="1:4">
      <c r="A319">
        <f>IF(COUNTBLANK(B319:D319)&lt;&gt;COLUMNS(B319:D319),318,"")</f>
        <v>0</v>
      </c>
      <c r="C319" s="1">
        <f>IF(B319="", "", "rat metagenome")</f>
        <v>0</v>
      </c>
      <c r="D319" s="1">
        <f>IF(B319="", "", "1427740")</f>
        <v>0</v>
      </c>
    </row>
    <row r="320" spans="1:4">
      <c r="A320">
        <f>IF(COUNTBLANK(B320:D320)&lt;&gt;COLUMNS(B320:D320),319,"")</f>
        <v>0</v>
      </c>
      <c r="C320" s="1">
        <f>IF(B320="", "", "rat metagenome")</f>
        <v>0</v>
      </c>
      <c r="D320" s="1">
        <f>IF(B320="", "", "1427740")</f>
        <v>0</v>
      </c>
    </row>
    <row r="321" spans="1:4">
      <c r="A321">
        <f>IF(COUNTBLANK(B321:D321)&lt;&gt;COLUMNS(B321:D321),320,"")</f>
        <v>0</v>
      </c>
      <c r="C321" s="1">
        <f>IF(B321="", "", "rat metagenome")</f>
        <v>0</v>
      </c>
      <c r="D321" s="1">
        <f>IF(B321="", "", "1427740")</f>
        <v>0</v>
      </c>
    </row>
    <row r="322" spans="1:4">
      <c r="A322">
        <f>IF(COUNTBLANK(B322:D322)&lt;&gt;COLUMNS(B322:D322),321,"")</f>
        <v>0</v>
      </c>
      <c r="C322" s="1">
        <f>IF(B322="", "", "rat metagenome")</f>
        <v>0</v>
      </c>
      <c r="D322" s="1">
        <f>IF(B322="", "", "1427740")</f>
        <v>0</v>
      </c>
    </row>
    <row r="323" spans="1:4">
      <c r="A323">
        <f>IF(COUNTBLANK(B323:D323)&lt;&gt;COLUMNS(B323:D323),322,"")</f>
        <v>0</v>
      </c>
      <c r="C323" s="1">
        <f>IF(B323="", "", "rat metagenome")</f>
        <v>0</v>
      </c>
      <c r="D323" s="1">
        <f>IF(B323="", "", "1427740")</f>
        <v>0</v>
      </c>
    </row>
    <row r="324" spans="1:4">
      <c r="A324">
        <f>IF(COUNTBLANK(B324:D324)&lt;&gt;COLUMNS(B324:D324),323,"")</f>
        <v>0</v>
      </c>
      <c r="C324" s="1">
        <f>IF(B324="", "", "rat metagenome")</f>
        <v>0</v>
      </c>
      <c r="D324" s="1">
        <f>IF(B324="", "", "1427740")</f>
        <v>0</v>
      </c>
    </row>
    <row r="325" spans="1:4">
      <c r="A325">
        <f>IF(COUNTBLANK(B325:D325)&lt;&gt;COLUMNS(B325:D325),324,"")</f>
        <v>0</v>
      </c>
      <c r="C325" s="1">
        <f>IF(B325="", "", "rat metagenome")</f>
        <v>0</v>
      </c>
      <c r="D325" s="1">
        <f>IF(B325="", "", "1427740")</f>
        <v>0</v>
      </c>
    </row>
    <row r="326" spans="1:4">
      <c r="A326">
        <f>IF(COUNTBLANK(B326:D326)&lt;&gt;COLUMNS(B326:D326),325,"")</f>
        <v>0</v>
      </c>
      <c r="C326" s="1">
        <f>IF(B326="", "", "rat metagenome")</f>
        <v>0</v>
      </c>
      <c r="D326" s="1">
        <f>IF(B326="", "", "1427740")</f>
        <v>0</v>
      </c>
    </row>
    <row r="327" spans="1:4">
      <c r="A327">
        <f>IF(COUNTBLANK(B327:D327)&lt;&gt;COLUMNS(B327:D327),326,"")</f>
        <v>0</v>
      </c>
      <c r="C327" s="1">
        <f>IF(B327="", "", "rat metagenome")</f>
        <v>0</v>
      </c>
      <c r="D327" s="1">
        <f>IF(B327="", "", "1427740")</f>
        <v>0</v>
      </c>
    </row>
    <row r="328" spans="1:4">
      <c r="A328">
        <f>IF(COUNTBLANK(B328:D328)&lt;&gt;COLUMNS(B328:D328),327,"")</f>
        <v>0</v>
      </c>
      <c r="C328" s="1">
        <f>IF(B328="", "", "rat metagenome")</f>
        <v>0</v>
      </c>
      <c r="D328" s="1">
        <f>IF(B328="", "", "1427740")</f>
        <v>0</v>
      </c>
    </row>
    <row r="329" spans="1:4">
      <c r="A329">
        <f>IF(COUNTBLANK(B329:D329)&lt;&gt;COLUMNS(B329:D329),328,"")</f>
        <v>0</v>
      </c>
      <c r="C329" s="1">
        <f>IF(B329="", "", "rat metagenome")</f>
        <v>0</v>
      </c>
      <c r="D329" s="1">
        <f>IF(B329="", "", "1427740")</f>
        <v>0</v>
      </c>
    </row>
    <row r="330" spans="1:4">
      <c r="A330">
        <f>IF(COUNTBLANK(B330:D330)&lt;&gt;COLUMNS(B330:D330),329,"")</f>
        <v>0</v>
      </c>
      <c r="C330" s="1">
        <f>IF(B330="", "", "rat metagenome")</f>
        <v>0</v>
      </c>
      <c r="D330" s="1">
        <f>IF(B330="", "", "1427740")</f>
        <v>0</v>
      </c>
    </row>
    <row r="331" spans="1:4">
      <c r="A331">
        <f>IF(COUNTBLANK(B331:D331)&lt;&gt;COLUMNS(B331:D331),330,"")</f>
        <v>0</v>
      </c>
      <c r="C331" s="1">
        <f>IF(B331="", "", "rat metagenome")</f>
        <v>0</v>
      </c>
      <c r="D331" s="1">
        <f>IF(B331="", "", "1427740")</f>
        <v>0</v>
      </c>
    </row>
    <row r="332" spans="1:4">
      <c r="A332">
        <f>IF(COUNTBLANK(B332:D332)&lt;&gt;COLUMNS(B332:D332),331,"")</f>
        <v>0</v>
      </c>
      <c r="C332" s="1">
        <f>IF(B332="", "", "rat metagenome")</f>
        <v>0</v>
      </c>
      <c r="D332" s="1">
        <f>IF(B332="", "", "1427740")</f>
        <v>0</v>
      </c>
    </row>
    <row r="333" spans="1:4">
      <c r="A333">
        <f>IF(COUNTBLANK(B333:D333)&lt;&gt;COLUMNS(B333:D333),332,"")</f>
        <v>0</v>
      </c>
      <c r="C333" s="1">
        <f>IF(B333="", "", "rat metagenome")</f>
        <v>0</v>
      </c>
      <c r="D333" s="1">
        <f>IF(B333="", "", "1427740")</f>
        <v>0</v>
      </c>
    </row>
    <row r="334" spans="1:4">
      <c r="A334">
        <f>IF(COUNTBLANK(B334:D334)&lt;&gt;COLUMNS(B334:D334),333,"")</f>
        <v>0</v>
      </c>
      <c r="C334" s="1">
        <f>IF(B334="", "", "rat metagenome")</f>
        <v>0</v>
      </c>
      <c r="D334" s="1">
        <f>IF(B334="", "", "1427740")</f>
        <v>0</v>
      </c>
    </row>
    <row r="335" spans="1:4">
      <c r="A335">
        <f>IF(COUNTBLANK(B335:D335)&lt;&gt;COLUMNS(B335:D335),334,"")</f>
        <v>0</v>
      </c>
      <c r="C335" s="1">
        <f>IF(B335="", "", "rat metagenome")</f>
        <v>0</v>
      </c>
      <c r="D335" s="1">
        <f>IF(B335="", "", "1427740")</f>
        <v>0</v>
      </c>
    </row>
    <row r="336" spans="1:4">
      <c r="A336">
        <f>IF(COUNTBLANK(B336:D336)&lt;&gt;COLUMNS(B336:D336),335,"")</f>
        <v>0</v>
      </c>
      <c r="C336" s="1">
        <f>IF(B336="", "", "rat metagenome")</f>
        <v>0</v>
      </c>
      <c r="D336" s="1">
        <f>IF(B336="", "", "1427740")</f>
        <v>0</v>
      </c>
    </row>
    <row r="337" spans="1:4">
      <c r="A337">
        <f>IF(COUNTBLANK(B337:D337)&lt;&gt;COLUMNS(B337:D337),336,"")</f>
        <v>0</v>
      </c>
      <c r="C337" s="1">
        <f>IF(B337="", "", "rat metagenome")</f>
        <v>0</v>
      </c>
      <c r="D337" s="1">
        <f>IF(B337="", "", "1427740")</f>
        <v>0</v>
      </c>
    </row>
    <row r="338" spans="1:4">
      <c r="A338">
        <f>IF(COUNTBLANK(B338:D338)&lt;&gt;COLUMNS(B338:D338),337,"")</f>
        <v>0</v>
      </c>
      <c r="C338" s="1">
        <f>IF(B338="", "", "rat metagenome")</f>
        <v>0</v>
      </c>
      <c r="D338" s="1">
        <f>IF(B338="", "", "1427740")</f>
        <v>0</v>
      </c>
    </row>
    <row r="339" spans="1:4">
      <c r="A339">
        <f>IF(COUNTBLANK(B339:D339)&lt;&gt;COLUMNS(B339:D339),338,"")</f>
        <v>0</v>
      </c>
      <c r="C339" s="1">
        <f>IF(B339="", "", "rat metagenome")</f>
        <v>0</v>
      </c>
      <c r="D339" s="1">
        <f>IF(B339="", "", "1427740")</f>
        <v>0</v>
      </c>
    </row>
    <row r="340" spans="1:4">
      <c r="A340">
        <f>IF(COUNTBLANK(B340:D340)&lt;&gt;COLUMNS(B340:D340),339,"")</f>
        <v>0</v>
      </c>
      <c r="C340" s="1">
        <f>IF(B340="", "", "rat metagenome")</f>
        <v>0</v>
      </c>
      <c r="D340" s="1">
        <f>IF(B340="", "", "1427740")</f>
        <v>0</v>
      </c>
    </row>
    <row r="341" spans="1:4">
      <c r="A341">
        <f>IF(COUNTBLANK(B341:D341)&lt;&gt;COLUMNS(B341:D341),340,"")</f>
        <v>0</v>
      </c>
      <c r="C341" s="1">
        <f>IF(B341="", "", "rat metagenome")</f>
        <v>0</v>
      </c>
      <c r="D341" s="1">
        <f>IF(B341="", "", "1427740")</f>
        <v>0</v>
      </c>
    </row>
    <row r="342" spans="1:4">
      <c r="A342">
        <f>IF(COUNTBLANK(B342:D342)&lt;&gt;COLUMNS(B342:D342),341,"")</f>
        <v>0</v>
      </c>
      <c r="C342" s="1">
        <f>IF(B342="", "", "rat metagenome")</f>
        <v>0</v>
      </c>
      <c r="D342" s="1">
        <f>IF(B342="", "", "1427740")</f>
        <v>0</v>
      </c>
    </row>
    <row r="343" spans="1:4">
      <c r="A343">
        <f>IF(COUNTBLANK(B343:D343)&lt;&gt;COLUMNS(B343:D343),342,"")</f>
        <v>0</v>
      </c>
      <c r="C343" s="1">
        <f>IF(B343="", "", "rat metagenome")</f>
        <v>0</v>
      </c>
      <c r="D343" s="1">
        <f>IF(B343="", "", "1427740")</f>
        <v>0</v>
      </c>
    </row>
    <row r="344" spans="1:4">
      <c r="A344">
        <f>IF(COUNTBLANK(B344:D344)&lt;&gt;COLUMNS(B344:D344),343,"")</f>
        <v>0</v>
      </c>
      <c r="C344" s="1">
        <f>IF(B344="", "", "rat metagenome")</f>
        <v>0</v>
      </c>
      <c r="D344" s="1">
        <f>IF(B344="", "", "1427740")</f>
        <v>0</v>
      </c>
    </row>
    <row r="345" spans="1:4">
      <c r="A345">
        <f>IF(COUNTBLANK(B345:D345)&lt;&gt;COLUMNS(B345:D345),344,"")</f>
        <v>0</v>
      </c>
      <c r="C345" s="1">
        <f>IF(B345="", "", "rat metagenome")</f>
        <v>0</v>
      </c>
      <c r="D345" s="1">
        <f>IF(B345="", "", "1427740")</f>
        <v>0</v>
      </c>
    </row>
    <row r="346" spans="1:4">
      <c r="A346">
        <f>IF(COUNTBLANK(B346:D346)&lt;&gt;COLUMNS(B346:D346),345,"")</f>
        <v>0</v>
      </c>
      <c r="C346" s="1">
        <f>IF(B346="", "", "rat metagenome")</f>
        <v>0</v>
      </c>
      <c r="D346" s="1">
        <f>IF(B346="", "", "1427740")</f>
        <v>0</v>
      </c>
    </row>
    <row r="347" spans="1:4">
      <c r="A347">
        <f>IF(COUNTBLANK(B347:D347)&lt;&gt;COLUMNS(B347:D347),346,"")</f>
        <v>0</v>
      </c>
      <c r="C347" s="1">
        <f>IF(B347="", "", "rat metagenome")</f>
        <v>0</v>
      </c>
      <c r="D347" s="1">
        <f>IF(B347="", "", "1427740")</f>
        <v>0</v>
      </c>
    </row>
    <row r="348" spans="1:4">
      <c r="A348">
        <f>IF(COUNTBLANK(B348:D348)&lt;&gt;COLUMNS(B348:D348),347,"")</f>
        <v>0</v>
      </c>
      <c r="C348" s="1">
        <f>IF(B348="", "", "rat metagenome")</f>
        <v>0</v>
      </c>
      <c r="D348" s="1">
        <f>IF(B348="", "", "1427740")</f>
        <v>0</v>
      </c>
    </row>
    <row r="349" spans="1:4">
      <c r="A349">
        <f>IF(COUNTBLANK(B349:D349)&lt;&gt;COLUMNS(B349:D349),348,"")</f>
        <v>0</v>
      </c>
      <c r="C349" s="1">
        <f>IF(B349="", "", "rat metagenome")</f>
        <v>0</v>
      </c>
      <c r="D349" s="1">
        <f>IF(B349="", "", "1427740")</f>
        <v>0</v>
      </c>
    </row>
    <row r="350" spans="1:4">
      <c r="A350">
        <f>IF(COUNTBLANK(B350:D350)&lt;&gt;COLUMNS(B350:D350),349,"")</f>
        <v>0</v>
      </c>
      <c r="C350" s="1">
        <f>IF(B350="", "", "rat metagenome")</f>
        <v>0</v>
      </c>
      <c r="D350" s="1">
        <f>IF(B350="", "", "1427740")</f>
        <v>0</v>
      </c>
    </row>
    <row r="351" spans="1:4">
      <c r="A351">
        <f>IF(COUNTBLANK(B351:D351)&lt;&gt;COLUMNS(B351:D351),350,"")</f>
        <v>0</v>
      </c>
      <c r="C351" s="1">
        <f>IF(B351="", "", "rat metagenome")</f>
        <v>0</v>
      </c>
      <c r="D351" s="1">
        <f>IF(B351="", "", "1427740")</f>
        <v>0</v>
      </c>
    </row>
    <row r="352" spans="1:4">
      <c r="A352">
        <f>IF(COUNTBLANK(B352:D352)&lt;&gt;COLUMNS(B352:D352),351,"")</f>
        <v>0</v>
      </c>
      <c r="C352" s="1">
        <f>IF(B352="", "", "rat metagenome")</f>
        <v>0</v>
      </c>
      <c r="D352" s="1">
        <f>IF(B352="", "", "1427740")</f>
        <v>0</v>
      </c>
    </row>
    <row r="353" spans="1:4">
      <c r="A353">
        <f>IF(COUNTBLANK(B353:D353)&lt;&gt;COLUMNS(B353:D353),352,"")</f>
        <v>0</v>
      </c>
      <c r="C353" s="1">
        <f>IF(B353="", "", "rat metagenome")</f>
        <v>0</v>
      </c>
      <c r="D353" s="1">
        <f>IF(B353="", "", "1427740")</f>
        <v>0</v>
      </c>
    </row>
    <row r="354" spans="1:4">
      <c r="A354">
        <f>IF(COUNTBLANK(B354:D354)&lt;&gt;COLUMNS(B354:D354),353,"")</f>
        <v>0</v>
      </c>
      <c r="C354" s="1">
        <f>IF(B354="", "", "rat metagenome")</f>
        <v>0</v>
      </c>
      <c r="D354" s="1">
        <f>IF(B354="", "", "1427740")</f>
        <v>0</v>
      </c>
    </row>
    <row r="355" spans="1:4">
      <c r="A355">
        <f>IF(COUNTBLANK(B355:D355)&lt;&gt;COLUMNS(B355:D355),354,"")</f>
        <v>0</v>
      </c>
      <c r="C355" s="1">
        <f>IF(B355="", "", "rat metagenome")</f>
        <v>0</v>
      </c>
      <c r="D355" s="1">
        <f>IF(B355="", "", "1427740")</f>
        <v>0</v>
      </c>
    </row>
    <row r="356" spans="1:4">
      <c r="A356">
        <f>IF(COUNTBLANK(B356:D356)&lt;&gt;COLUMNS(B356:D356),355,"")</f>
        <v>0</v>
      </c>
      <c r="C356" s="1">
        <f>IF(B356="", "", "rat metagenome")</f>
        <v>0</v>
      </c>
      <c r="D356" s="1">
        <f>IF(B356="", "", "1427740")</f>
        <v>0</v>
      </c>
    </row>
    <row r="357" spans="1:4">
      <c r="A357">
        <f>IF(COUNTBLANK(B357:D357)&lt;&gt;COLUMNS(B357:D357),356,"")</f>
        <v>0</v>
      </c>
      <c r="C357" s="1">
        <f>IF(B357="", "", "rat metagenome")</f>
        <v>0</v>
      </c>
      <c r="D357" s="1">
        <f>IF(B357="", "", "1427740")</f>
        <v>0</v>
      </c>
    </row>
    <row r="358" spans="1:4">
      <c r="A358">
        <f>IF(COUNTBLANK(B358:D358)&lt;&gt;COLUMNS(B358:D358),357,"")</f>
        <v>0</v>
      </c>
      <c r="C358" s="1">
        <f>IF(B358="", "", "rat metagenome")</f>
        <v>0</v>
      </c>
      <c r="D358" s="1">
        <f>IF(B358="", "", "1427740")</f>
        <v>0</v>
      </c>
    </row>
    <row r="359" spans="1:4">
      <c r="A359">
        <f>IF(COUNTBLANK(B359:D359)&lt;&gt;COLUMNS(B359:D359),358,"")</f>
        <v>0</v>
      </c>
      <c r="C359" s="1">
        <f>IF(B359="", "", "rat metagenome")</f>
        <v>0</v>
      </c>
      <c r="D359" s="1">
        <f>IF(B359="", "", "1427740")</f>
        <v>0</v>
      </c>
    </row>
    <row r="360" spans="1:4">
      <c r="A360">
        <f>IF(COUNTBLANK(B360:D360)&lt;&gt;COLUMNS(B360:D360),359,"")</f>
        <v>0</v>
      </c>
      <c r="C360" s="1">
        <f>IF(B360="", "", "rat metagenome")</f>
        <v>0</v>
      </c>
      <c r="D360" s="1">
        <f>IF(B360="", "", "1427740")</f>
        <v>0</v>
      </c>
    </row>
    <row r="361" spans="1:4">
      <c r="A361">
        <f>IF(COUNTBLANK(B361:D361)&lt;&gt;COLUMNS(B361:D361),360,"")</f>
        <v>0</v>
      </c>
      <c r="C361" s="1">
        <f>IF(B361="", "", "rat metagenome")</f>
        <v>0</v>
      </c>
      <c r="D361" s="1">
        <f>IF(B361="", "", "1427740")</f>
        <v>0</v>
      </c>
    </row>
    <row r="362" spans="1:4">
      <c r="A362">
        <f>IF(COUNTBLANK(B362:D362)&lt;&gt;COLUMNS(B362:D362),361,"")</f>
        <v>0</v>
      </c>
      <c r="C362" s="1">
        <f>IF(B362="", "", "rat metagenome")</f>
        <v>0</v>
      </c>
      <c r="D362" s="1">
        <f>IF(B362="", "", "1427740")</f>
        <v>0</v>
      </c>
    </row>
    <row r="363" spans="1:4">
      <c r="A363">
        <f>IF(COUNTBLANK(B363:D363)&lt;&gt;COLUMNS(B363:D363),362,"")</f>
        <v>0</v>
      </c>
      <c r="C363" s="1">
        <f>IF(B363="", "", "rat metagenome")</f>
        <v>0</v>
      </c>
      <c r="D363" s="1">
        <f>IF(B363="", "", "1427740")</f>
        <v>0</v>
      </c>
    </row>
    <row r="364" spans="1:4">
      <c r="A364">
        <f>IF(COUNTBLANK(B364:D364)&lt;&gt;COLUMNS(B364:D364),363,"")</f>
        <v>0</v>
      </c>
      <c r="C364" s="1">
        <f>IF(B364="", "", "rat metagenome")</f>
        <v>0</v>
      </c>
      <c r="D364" s="1">
        <f>IF(B364="", "", "1427740")</f>
        <v>0</v>
      </c>
    </row>
    <row r="365" spans="1:4">
      <c r="A365">
        <f>IF(COUNTBLANK(B365:D365)&lt;&gt;COLUMNS(B365:D365),364,"")</f>
        <v>0</v>
      </c>
      <c r="C365" s="1">
        <f>IF(B365="", "", "rat metagenome")</f>
        <v>0</v>
      </c>
      <c r="D365" s="1">
        <f>IF(B365="", "", "1427740")</f>
        <v>0</v>
      </c>
    </row>
    <row r="366" spans="1:4">
      <c r="A366">
        <f>IF(COUNTBLANK(B366:D366)&lt;&gt;COLUMNS(B366:D366),365,"")</f>
        <v>0</v>
      </c>
      <c r="C366" s="1">
        <f>IF(B366="", "", "rat metagenome")</f>
        <v>0</v>
      </c>
      <c r="D366" s="1">
        <f>IF(B366="", "", "1427740")</f>
        <v>0</v>
      </c>
    </row>
    <row r="367" spans="1:4">
      <c r="A367">
        <f>IF(COUNTBLANK(B367:D367)&lt;&gt;COLUMNS(B367:D367),366,"")</f>
        <v>0</v>
      </c>
      <c r="C367" s="1">
        <f>IF(B367="", "", "rat metagenome")</f>
        <v>0</v>
      </c>
      <c r="D367" s="1">
        <f>IF(B367="", "", "1427740")</f>
        <v>0</v>
      </c>
    </row>
    <row r="368" spans="1:4">
      <c r="A368">
        <f>IF(COUNTBLANK(B368:D368)&lt;&gt;COLUMNS(B368:D368),367,"")</f>
        <v>0</v>
      </c>
      <c r="C368" s="1">
        <f>IF(B368="", "", "rat metagenome")</f>
        <v>0</v>
      </c>
      <c r="D368" s="1">
        <f>IF(B368="", "", "1427740")</f>
        <v>0</v>
      </c>
    </row>
    <row r="369" spans="1:4">
      <c r="A369">
        <f>IF(COUNTBLANK(B369:D369)&lt;&gt;COLUMNS(B369:D369),368,"")</f>
        <v>0</v>
      </c>
      <c r="C369" s="1">
        <f>IF(B369="", "", "rat metagenome")</f>
        <v>0</v>
      </c>
      <c r="D369" s="1">
        <f>IF(B369="", "", "1427740")</f>
        <v>0</v>
      </c>
    </row>
    <row r="370" spans="1:4">
      <c r="A370">
        <f>IF(COUNTBLANK(B370:D370)&lt;&gt;COLUMNS(B370:D370),369,"")</f>
        <v>0</v>
      </c>
      <c r="C370" s="1">
        <f>IF(B370="", "", "rat metagenome")</f>
        <v>0</v>
      </c>
      <c r="D370" s="1">
        <f>IF(B370="", "", "1427740")</f>
        <v>0</v>
      </c>
    </row>
    <row r="371" spans="1:4">
      <c r="A371">
        <f>IF(COUNTBLANK(B371:D371)&lt;&gt;COLUMNS(B371:D371),370,"")</f>
        <v>0</v>
      </c>
      <c r="C371" s="1">
        <f>IF(B371="", "", "rat metagenome")</f>
        <v>0</v>
      </c>
      <c r="D371" s="1">
        <f>IF(B371="", "", "1427740")</f>
        <v>0</v>
      </c>
    </row>
    <row r="372" spans="1:4">
      <c r="A372">
        <f>IF(COUNTBLANK(B372:D372)&lt;&gt;COLUMNS(B372:D372),371,"")</f>
        <v>0</v>
      </c>
      <c r="C372" s="1">
        <f>IF(B372="", "", "rat metagenome")</f>
        <v>0</v>
      </c>
      <c r="D372" s="1">
        <f>IF(B372="", "", "1427740")</f>
        <v>0</v>
      </c>
    </row>
    <row r="373" spans="1:4">
      <c r="A373">
        <f>IF(COUNTBLANK(B373:D373)&lt;&gt;COLUMNS(B373:D373),372,"")</f>
        <v>0</v>
      </c>
      <c r="C373" s="1">
        <f>IF(B373="", "", "rat metagenome")</f>
        <v>0</v>
      </c>
      <c r="D373" s="1">
        <f>IF(B373="", "", "1427740")</f>
        <v>0</v>
      </c>
    </row>
    <row r="374" spans="1:4">
      <c r="A374">
        <f>IF(COUNTBLANK(B374:D374)&lt;&gt;COLUMNS(B374:D374),373,"")</f>
        <v>0</v>
      </c>
      <c r="C374" s="1">
        <f>IF(B374="", "", "rat metagenome")</f>
        <v>0</v>
      </c>
      <c r="D374" s="1">
        <f>IF(B374="", "", "1427740")</f>
        <v>0</v>
      </c>
    </row>
    <row r="375" spans="1:4">
      <c r="A375">
        <f>IF(COUNTBLANK(B375:D375)&lt;&gt;COLUMNS(B375:D375),374,"")</f>
        <v>0</v>
      </c>
      <c r="C375" s="1">
        <f>IF(B375="", "", "rat metagenome")</f>
        <v>0</v>
      </c>
      <c r="D375" s="1">
        <f>IF(B375="", "", "1427740")</f>
        <v>0</v>
      </c>
    </row>
    <row r="376" spans="1:4">
      <c r="A376">
        <f>IF(COUNTBLANK(B376:D376)&lt;&gt;COLUMNS(B376:D376),375,"")</f>
        <v>0</v>
      </c>
      <c r="C376" s="1">
        <f>IF(B376="", "", "rat metagenome")</f>
        <v>0</v>
      </c>
      <c r="D376" s="1">
        <f>IF(B376="", "", "1427740")</f>
        <v>0</v>
      </c>
    </row>
    <row r="377" spans="1:4">
      <c r="A377">
        <f>IF(COUNTBLANK(B377:D377)&lt;&gt;COLUMNS(B377:D377),376,"")</f>
        <v>0</v>
      </c>
      <c r="C377" s="1">
        <f>IF(B377="", "", "rat metagenome")</f>
        <v>0</v>
      </c>
      <c r="D377" s="1">
        <f>IF(B377="", "", "1427740")</f>
        <v>0</v>
      </c>
    </row>
    <row r="378" spans="1:4">
      <c r="A378">
        <f>IF(COUNTBLANK(B378:D378)&lt;&gt;COLUMNS(B378:D378),377,"")</f>
        <v>0</v>
      </c>
      <c r="C378" s="1">
        <f>IF(B378="", "", "rat metagenome")</f>
        <v>0</v>
      </c>
      <c r="D378" s="1">
        <f>IF(B378="", "", "1427740")</f>
        <v>0</v>
      </c>
    </row>
    <row r="379" spans="1:4">
      <c r="A379">
        <f>IF(COUNTBLANK(B379:D379)&lt;&gt;COLUMNS(B379:D379),378,"")</f>
        <v>0</v>
      </c>
      <c r="C379" s="1">
        <f>IF(B379="", "", "rat metagenome")</f>
        <v>0</v>
      </c>
      <c r="D379" s="1">
        <f>IF(B379="", "", "1427740")</f>
        <v>0</v>
      </c>
    </row>
    <row r="380" spans="1:4">
      <c r="A380">
        <f>IF(COUNTBLANK(B380:D380)&lt;&gt;COLUMNS(B380:D380),379,"")</f>
        <v>0</v>
      </c>
      <c r="C380" s="1">
        <f>IF(B380="", "", "rat metagenome")</f>
        <v>0</v>
      </c>
      <c r="D380" s="1">
        <f>IF(B380="", "", "1427740")</f>
        <v>0</v>
      </c>
    </row>
    <row r="381" spans="1:4">
      <c r="A381">
        <f>IF(COUNTBLANK(B381:D381)&lt;&gt;COLUMNS(B381:D381),380,"")</f>
        <v>0</v>
      </c>
      <c r="C381" s="1">
        <f>IF(B381="", "", "rat metagenome")</f>
        <v>0</v>
      </c>
      <c r="D381" s="1">
        <f>IF(B381="", "", "1427740")</f>
        <v>0</v>
      </c>
    </row>
    <row r="382" spans="1:4">
      <c r="A382">
        <f>IF(COUNTBLANK(B382:D382)&lt;&gt;COLUMNS(B382:D382),381,"")</f>
        <v>0</v>
      </c>
      <c r="C382" s="1">
        <f>IF(B382="", "", "rat metagenome")</f>
        <v>0</v>
      </c>
      <c r="D382" s="1">
        <f>IF(B382="", "", "1427740")</f>
        <v>0</v>
      </c>
    </row>
    <row r="383" spans="1:4">
      <c r="A383">
        <f>IF(COUNTBLANK(B383:D383)&lt;&gt;COLUMNS(B383:D383),382,"")</f>
        <v>0</v>
      </c>
      <c r="C383" s="1">
        <f>IF(B383="", "", "rat metagenome")</f>
        <v>0</v>
      </c>
      <c r="D383" s="1">
        <f>IF(B383="", "", "1427740")</f>
        <v>0</v>
      </c>
    </row>
    <row r="384" spans="1:4">
      <c r="A384">
        <f>IF(COUNTBLANK(B384:D384)&lt;&gt;COLUMNS(B384:D384),383,"")</f>
        <v>0</v>
      </c>
      <c r="C384" s="1">
        <f>IF(B384="", "", "rat metagenome")</f>
        <v>0</v>
      </c>
      <c r="D384" s="1">
        <f>IF(B384="", "", "1427740")</f>
        <v>0</v>
      </c>
    </row>
    <row r="385" spans="1:4">
      <c r="A385">
        <f>IF(COUNTBLANK(B385:D385)&lt;&gt;COLUMNS(B385:D385),384,"")</f>
        <v>0</v>
      </c>
      <c r="C385" s="1">
        <f>IF(B385="", "", "rat metagenome")</f>
        <v>0</v>
      </c>
      <c r="D385" s="1">
        <f>IF(B385="", "", "1427740")</f>
        <v>0</v>
      </c>
    </row>
    <row r="386" spans="1:4">
      <c r="A386">
        <f>IF(COUNTBLANK(B386:D386)&lt;&gt;COLUMNS(B386:D386),385,"")</f>
        <v>0</v>
      </c>
      <c r="C386" s="1">
        <f>IF(B386="", "", "rat metagenome")</f>
        <v>0</v>
      </c>
      <c r="D386" s="1">
        <f>IF(B386="", "", "1427740")</f>
        <v>0</v>
      </c>
    </row>
    <row r="387" spans="1:4">
      <c r="A387">
        <f>IF(COUNTBLANK(B387:D387)&lt;&gt;COLUMNS(B387:D387),386,"")</f>
        <v>0</v>
      </c>
      <c r="C387" s="1">
        <f>IF(B387="", "", "rat metagenome")</f>
        <v>0</v>
      </c>
      <c r="D387" s="1">
        <f>IF(B387="", "", "1427740")</f>
        <v>0</v>
      </c>
    </row>
    <row r="388" spans="1:4">
      <c r="A388">
        <f>IF(COUNTBLANK(B388:D388)&lt;&gt;COLUMNS(B388:D388),387,"")</f>
        <v>0</v>
      </c>
      <c r="C388" s="1">
        <f>IF(B388="", "", "rat metagenome")</f>
        <v>0</v>
      </c>
      <c r="D388" s="1">
        <f>IF(B388="", "", "1427740")</f>
        <v>0</v>
      </c>
    </row>
    <row r="389" spans="1:4">
      <c r="A389">
        <f>IF(COUNTBLANK(B389:D389)&lt;&gt;COLUMNS(B389:D389),388,"")</f>
        <v>0</v>
      </c>
      <c r="C389" s="1">
        <f>IF(B389="", "", "rat metagenome")</f>
        <v>0</v>
      </c>
      <c r="D389" s="1">
        <f>IF(B389="", "", "1427740")</f>
        <v>0</v>
      </c>
    </row>
    <row r="390" spans="1:4">
      <c r="A390">
        <f>IF(COUNTBLANK(B390:D390)&lt;&gt;COLUMNS(B390:D390),389,"")</f>
        <v>0</v>
      </c>
      <c r="C390" s="1">
        <f>IF(B390="", "", "rat metagenome")</f>
        <v>0</v>
      </c>
      <c r="D390" s="1">
        <f>IF(B390="", "", "1427740")</f>
        <v>0</v>
      </c>
    </row>
    <row r="391" spans="1:4">
      <c r="A391">
        <f>IF(COUNTBLANK(B391:D391)&lt;&gt;COLUMNS(B391:D391),390,"")</f>
        <v>0</v>
      </c>
      <c r="C391" s="1">
        <f>IF(B391="", "", "rat metagenome")</f>
        <v>0</v>
      </c>
      <c r="D391" s="1">
        <f>IF(B391="", "", "1427740")</f>
        <v>0</v>
      </c>
    </row>
    <row r="392" spans="1:4">
      <c r="A392">
        <f>IF(COUNTBLANK(B392:D392)&lt;&gt;COLUMNS(B392:D392),391,"")</f>
        <v>0</v>
      </c>
      <c r="C392" s="1">
        <f>IF(B392="", "", "rat metagenome")</f>
        <v>0</v>
      </c>
      <c r="D392" s="1">
        <f>IF(B392="", "", "1427740")</f>
        <v>0</v>
      </c>
    </row>
    <row r="393" spans="1:4">
      <c r="A393">
        <f>IF(COUNTBLANK(B393:D393)&lt;&gt;COLUMNS(B393:D393),392,"")</f>
        <v>0</v>
      </c>
      <c r="C393" s="1">
        <f>IF(B393="", "", "rat metagenome")</f>
        <v>0</v>
      </c>
      <c r="D393" s="1">
        <f>IF(B393="", "", "1427740")</f>
        <v>0</v>
      </c>
    </row>
    <row r="394" spans="1:4">
      <c r="A394">
        <f>IF(COUNTBLANK(B394:D394)&lt;&gt;COLUMNS(B394:D394),393,"")</f>
        <v>0</v>
      </c>
      <c r="C394" s="1">
        <f>IF(B394="", "", "rat metagenome")</f>
        <v>0</v>
      </c>
      <c r="D394" s="1">
        <f>IF(B394="", "", "1427740")</f>
        <v>0</v>
      </c>
    </row>
    <row r="395" spans="1:4">
      <c r="A395">
        <f>IF(COUNTBLANK(B395:D395)&lt;&gt;COLUMNS(B395:D395),394,"")</f>
        <v>0</v>
      </c>
      <c r="C395" s="1">
        <f>IF(B395="", "", "rat metagenome")</f>
        <v>0</v>
      </c>
      <c r="D395" s="1">
        <f>IF(B395="", "", "1427740")</f>
        <v>0</v>
      </c>
    </row>
    <row r="396" spans="1:4">
      <c r="A396">
        <f>IF(COUNTBLANK(B396:D396)&lt;&gt;COLUMNS(B396:D396),395,"")</f>
        <v>0</v>
      </c>
      <c r="C396" s="1">
        <f>IF(B396="", "", "rat metagenome")</f>
        <v>0</v>
      </c>
      <c r="D396" s="1">
        <f>IF(B396="", "", "1427740")</f>
        <v>0</v>
      </c>
    </row>
    <row r="397" spans="1:4">
      <c r="A397">
        <f>IF(COUNTBLANK(B397:D397)&lt;&gt;COLUMNS(B397:D397),396,"")</f>
        <v>0</v>
      </c>
      <c r="C397" s="1">
        <f>IF(B397="", "", "rat metagenome")</f>
        <v>0</v>
      </c>
      <c r="D397" s="1">
        <f>IF(B397="", "", "1427740")</f>
        <v>0</v>
      </c>
    </row>
    <row r="398" spans="1:4">
      <c r="A398">
        <f>IF(COUNTBLANK(B398:D398)&lt;&gt;COLUMNS(B398:D398),397,"")</f>
        <v>0</v>
      </c>
      <c r="C398" s="1">
        <f>IF(B398="", "", "rat metagenome")</f>
        <v>0</v>
      </c>
      <c r="D398" s="1">
        <f>IF(B398="", "", "1427740")</f>
        <v>0</v>
      </c>
    </row>
    <row r="399" spans="1:4">
      <c r="A399">
        <f>IF(COUNTBLANK(B399:D399)&lt;&gt;COLUMNS(B399:D399),398,"")</f>
        <v>0</v>
      </c>
      <c r="C399" s="1">
        <f>IF(B399="", "", "rat metagenome")</f>
        <v>0</v>
      </c>
      <c r="D399" s="1">
        <f>IF(B399="", "", "1427740")</f>
        <v>0</v>
      </c>
    </row>
    <row r="400" spans="1:4">
      <c r="A400">
        <f>IF(COUNTBLANK(B400:D400)&lt;&gt;COLUMNS(B400:D400),399,"")</f>
        <v>0</v>
      </c>
      <c r="C400" s="1">
        <f>IF(B400="", "", "rat metagenome")</f>
        <v>0</v>
      </c>
      <c r="D400" s="1">
        <f>IF(B400="", "", "1427740")</f>
        <v>0</v>
      </c>
    </row>
    <row r="401" spans="1:4">
      <c r="A401">
        <f>IF(COUNTBLANK(B401:D401)&lt;&gt;COLUMNS(B401:D401),400,"")</f>
        <v>0</v>
      </c>
      <c r="C401" s="1">
        <f>IF(B401="", "", "rat metagenome")</f>
        <v>0</v>
      </c>
      <c r="D401" s="1">
        <f>IF(B401="", "", "1427740")</f>
        <v>0</v>
      </c>
    </row>
    <row r="402" spans="1:4">
      <c r="A402">
        <f>IF(COUNTBLANK(B402:D402)&lt;&gt;COLUMNS(B402:D402),401,"")</f>
        <v>0</v>
      </c>
      <c r="C402" s="1">
        <f>IF(B402="", "", "rat metagenome")</f>
        <v>0</v>
      </c>
      <c r="D402" s="1">
        <f>IF(B402="", "", "1427740")</f>
        <v>0</v>
      </c>
    </row>
    <row r="403" spans="1:4">
      <c r="A403">
        <f>IF(COUNTBLANK(B403:D403)&lt;&gt;COLUMNS(B403:D403),402,"")</f>
        <v>0</v>
      </c>
      <c r="C403" s="1">
        <f>IF(B403="", "", "rat metagenome")</f>
        <v>0</v>
      </c>
      <c r="D403" s="1">
        <f>IF(B403="", "", "1427740")</f>
        <v>0</v>
      </c>
    </row>
    <row r="404" spans="1:4">
      <c r="A404">
        <f>IF(COUNTBLANK(B404:D404)&lt;&gt;COLUMNS(B404:D404),403,"")</f>
        <v>0</v>
      </c>
      <c r="C404" s="1">
        <f>IF(B404="", "", "rat metagenome")</f>
        <v>0</v>
      </c>
      <c r="D404" s="1">
        <f>IF(B404="", "", "1427740")</f>
        <v>0</v>
      </c>
    </row>
    <row r="405" spans="1:4">
      <c r="A405">
        <f>IF(COUNTBLANK(B405:D405)&lt;&gt;COLUMNS(B405:D405),404,"")</f>
        <v>0</v>
      </c>
      <c r="C405" s="1">
        <f>IF(B405="", "", "rat metagenome")</f>
        <v>0</v>
      </c>
      <c r="D405" s="1">
        <f>IF(B405="", "", "1427740")</f>
        <v>0</v>
      </c>
    </row>
    <row r="406" spans="1:4">
      <c r="A406">
        <f>IF(COUNTBLANK(B406:D406)&lt;&gt;COLUMNS(B406:D406),405,"")</f>
        <v>0</v>
      </c>
      <c r="C406" s="1">
        <f>IF(B406="", "", "rat metagenome")</f>
        <v>0</v>
      </c>
      <c r="D406" s="1">
        <f>IF(B406="", "", "1427740")</f>
        <v>0</v>
      </c>
    </row>
    <row r="407" spans="1:4">
      <c r="A407">
        <f>IF(COUNTBLANK(B407:D407)&lt;&gt;COLUMNS(B407:D407),406,"")</f>
        <v>0</v>
      </c>
      <c r="C407" s="1">
        <f>IF(B407="", "", "rat metagenome")</f>
        <v>0</v>
      </c>
      <c r="D407" s="1">
        <f>IF(B407="", "", "1427740")</f>
        <v>0</v>
      </c>
    </row>
    <row r="408" spans="1:4">
      <c r="A408">
        <f>IF(COUNTBLANK(B408:D408)&lt;&gt;COLUMNS(B408:D408),407,"")</f>
        <v>0</v>
      </c>
      <c r="C408" s="1">
        <f>IF(B408="", "", "rat metagenome")</f>
        <v>0</v>
      </c>
      <c r="D408" s="1">
        <f>IF(B408="", "", "1427740")</f>
        <v>0</v>
      </c>
    </row>
    <row r="409" spans="1:4">
      <c r="A409">
        <f>IF(COUNTBLANK(B409:D409)&lt;&gt;COLUMNS(B409:D409),408,"")</f>
        <v>0</v>
      </c>
      <c r="C409" s="1">
        <f>IF(B409="", "", "rat metagenome")</f>
        <v>0</v>
      </c>
      <c r="D409" s="1">
        <f>IF(B409="", "", "1427740")</f>
        <v>0</v>
      </c>
    </row>
    <row r="410" spans="1:4">
      <c r="A410">
        <f>IF(COUNTBLANK(B410:D410)&lt;&gt;COLUMNS(B410:D410),409,"")</f>
        <v>0</v>
      </c>
      <c r="C410" s="1">
        <f>IF(B410="", "", "rat metagenome")</f>
        <v>0</v>
      </c>
      <c r="D410" s="1">
        <f>IF(B410="", "", "1427740")</f>
        <v>0</v>
      </c>
    </row>
    <row r="411" spans="1:4">
      <c r="A411">
        <f>IF(COUNTBLANK(B411:D411)&lt;&gt;COLUMNS(B411:D411),410,"")</f>
        <v>0</v>
      </c>
      <c r="C411" s="1">
        <f>IF(B411="", "", "rat metagenome")</f>
        <v>0</v>
      </c>
      <c r="D411" s="1">
        <f>IF(B411="", "", "1427740")</f>
        <v>0</v>
      </c>
    </row>
    <row r="412" spans="1:4">
      <c r="A412">
        <f>IF(COUNTBLANK(B412:D412)&lt;&gt;COLUMNS(B412:D412),411,"")</f>
        <v>0</v>
      </c>
      <c r="C412" s="1">
        <f>IF(B412="", "", "rat metagenome")</f>
        <v>0</v>
      </c>
      <c r="D412" s="1">
        <f>IF(B412="", "", "1427740")</f>
        <v>0</v>
      </c>
    </row>
    <row r="413" spans="1:4">
      <c r="A413">
        <f>IF(COUNTBLANK(B413:D413)&lt;&gt;COLUMNS(B413:D413),412,"")</f>
        <v>0</v>
      </c>
      <c r="C413" s="1">
        <f>IF(B413="", "", "rat metagenome")</f>
        <v>0</v>
      </c>
      <c r="D413" s="1">
        <f>IF(B413="", "", "1427740")</f>
        <v>0</v>
      </c>
    </row>
    <row r="414" spans="1:4">
      <c r="A414">
        <f>IF(COUNTBLANK(B414:D414)&lt;&gt;COLUMNS(B414:D414),413,"")</f>
        <v>0</v>
      </c>
      <c r="C414" s="1">
        <f>IF(B414="", "", "rat metagenome")</f>
        <v>0</v>
      </c>
      <c r="D414" s="1">
        <f>IF(B414="", "", "1427740")</f>
        <v>0</v>
      </c>
    </row>
    <row r="415" spans="1:4">
      <c r="A415">
        <f>IF(COUNTBLANK(B415:D415)&lt;&gt;COLUMNS(B415:D415),414,"")</f>
        <v>0</v>
      </c>
      <c r="C415" s="1">
        <f>IF(B415="", "", "rat metagenome")</f>
        <v>0</v>
      </c>
      <c r="D415" s="1">
        <f>IF(B415="", "", "1427740")</f>
        <v>0</v>
      </c>
    </row>
    <row r="416" spans="1:4">
      <c r="A416">
        <f>IF(COUNTBLANK(B416:D416)&lt;&gt;COLUMNS(B416:D416),415,"")</f>
        <v>0</v>
      </c>
      <c r="C416" s="1">
        <f>IF(B416="", "", "rat metagenome")</f>
        <v>0</v>
      </c>
      <c r="D416" s="1">
        <f>IF(B416="", "", "1427740")</f>
        <v>0</v>
      </c>
    </row>
    <row r="417" spans="1:4">
      <c r="A417">
        <f>IF(COUNTBLANK(B417:D417)&lt;&gt;COLUMNS(B417:D417),416,"")</f>
        <v>0</v>
      </c>
      <c r="C417" s="1">
        <f>IF(B417="", "", "rat metagenome")</f>
        <v>0</v>
      </c>
      <c r="D417" s="1">
        <f>IF(B417="", "", "1427740")</f>
        <v>0</v>
      </c>
    </row>
    <row r="418" spans="1:4">
      <c r="A418">
        <f>IF(COUNTBLANK(B418:D418)&lt;&gt;COLUMNS(B418:D418),417,"")</f>
        <v>0</v>
      </c>
      <c r="C418" s="1">
        <f>IF(B418="", "", "rat metagenome")</f>
        <v>0</v>
      </c>
      <c r="D418" s="1">
        <f>IF(B418="", "", "1427740")</f>
        <v>0</v>
      </c>
    </row>
    <row r="419" spans="1:4">
      <c r="A419">
        <f>IF(COUNTBLANK(B419:D419)&lt;&gt;COLUMNS(B419:D419),418,"")</f>
        <v>0</v>
      </c>
      <c r="C419" s="1">
        <f>IF(B419="", "", "rat metagenome")</f>
        <v>0</v>
      </c>
      <c r="D419" s="1">
        <f>IF(B419="", "", "1427740")</f>
        <v>0</v>
      </c>
    </row>
    <row r="420" spans="1:4">
      <c r="A420">
        <f>IF(COUNTBLANK(B420:D420)&lt;&gt;COLUMNS(B420:D420),419,"")</f>
        <v>0</v>
      </c>
      <c r="C420" s="1">
        <f>IF(B420="", "", "rat metagenome")</f>
        <v>0</v>
      </c>
      <c r="D420" s="1">
        <f>IF(B420="", "", "1427740")</f>
        <v>0</v>
      </c>
    </row>
    <row r="421" spans="1:4">
      <c r="A421">
        <f>IF(COUNTBLANK(B421:D421)&lt;&gt;COLUMNS(B421:D421),420,"")</f>
        <v>0</v>
      </c>
      <c r="C421" s="1">
        <f>IF(B421="", "", "rat metagenome")</f>
        <v>0</v>
      </c>
      <c r="D421" s="1">
        <f>IF(B421="", "", "1427740")</f>
        <v>0</v>
      </c>
    </row>
    <row r="422" spans="1:4">
      <c r="A422">
        <f>IF(COUNTBLANK(B422:D422)&lt;&gt;COLUMNS(B422:D422),421,"")</f>
        <v>0</v>
      </c>
      <c r="C422" s="1">
        <f>IF(B422="", "", "rat metagenome")</f>
        <v>0</v>
      </c>
      <c r="D422" s="1">
        <f>IF(B422="", "", "1427740")</f>
        <v>0</v>
      </c>
    </row>
    <row r="423" spans="1:4">
      <c r="A423">
        <f>IF(COUNTBLANK(B423:D423)&lt;&gt;COLUMNS(B423:D423),422,"")</f>
        <v>0</v>
      </c>
      <c r="C423" s="1">
        <f>IF(B423="", "", "rat metagenome")</f>
        <v>0</v>
      </c>
      <c r="D423" s="1">
        <f>IF(B423="", "", "1427740")</f>
        <v>0</v>
      </c>
    </row>
    <row r="424" spans="1:4">
      <c r="A424">
        <f>IF(COUNTBLANK(B424:D424)&lt;&gt;COLUMNS(B424:D424),423,"")</f>
        <v>0</v>
      </c>
      <c r="C424" s="1">
        <f>IF(B424="", "", "rat metagenome")</f>
        <v>0</v>
      </c>
      <c r="D424" s="1">
        <f>IF(B424="", "", "1427740")</f>
        <v>0</v>
      </c>
    </row>
    <row r="425" spans="1:4">
      <c r="A425">
        <f>IF(COUNTBLANK(B425:D425)&lt;&gt;COLUMNS(B425:D425),424,"")</f>
        <v>0</v>
      </c>
      <c r="C425" s="1">
        <f>IF(B425="", "", "rat metagenome")</f>
        <v>0</v>
      </c>
      <c r="D425" s="1">
        <f>IF(B425="", "", "1427740")</f>
        <v>0</v>
      </c>
    </row>
    <row r="426" spans="1:4">
      <c r="A426">
        <f>IF(COUNTBLANK(B426:D426)&lt;&gt;COLUMNS(B426:D426),425,"")</f>
        <v>0</v>
      </c>
      <c r="C426" s="1">
        <f>IF(B426="", "", "rat metagenome")</f>
        <v>0</v>
      </c>
      <c r="D426" s="1">
        <f>IF(B426="", "", "1427740")</f>
        <v>0</v>
      </c>
    </row>
    <row r="427" spans="1:4">
      <c r="A427">
        <f>IF(COUNTBLANK(B427:D427)&lt;&gt;COLUMNS(B427:D427),426,"")</f>
        <v>0</v>
      </c>
      <c r="C427" s="1">
        <f>IF(B427="", "", "rat metagenome")</f>
        <v>0</v>
      </c>
      <c r="D427" s="1">
        <f>IF(B427="", "", "1427740")</f>
        <v>0</v>
      </c>
    </row>
    <row r="428" spans="1:4">
      <c r="A428">
        <f>IF(COUNTBLANK(B428:D428)&lt;&gt;COLUMNS(B428:D428),427,"")</f>
        <v>0</v>
      </c>
      <c r="C428" s="1">
        <f>IF(B428="", "", "rat metagenome")</f>
        <v>0</v>
      </c>
      <c r="D428" s="1">
        <f>IF(B428="", "", "1427740")</f>
        <v>0</v>
      </c>
    </row>
    <row r="429" spans="1:4">
      <c r="A429">
        <f>IF(COUNTBLANK(B429:D429)&lt;&gt;COLUMNS(B429:D429),428,"")</f>
        <v>0</v>
      </c>
      <c r="C429" s="1">
        <f>IF(B429="", "", "rat metagenome")</f>
        <v>0</v>
      </c>
      <c r="D429" s="1">
        <f>IF(B429="", "", "1427740")</f>
        <v>0</v>
      </c>
    </row>
    <row r="430" spans="1:4">
      <c r="A430">
        <f>IF(COUNTBLANK(B430:D430)&lt;&gt;COLUMNS(B430:D430),429,"")</f>
        <v>0</v>
      </c>
      <c r="C430" s="1">
        <f>IF(B430="", "", "rat metagenome")</f>
        <v>0</v>
      </c>
      <c r="D430" s="1">
        <f>IF(B430="", "", "1427740")</f>
        <v>0</v>
      </c>
    </row>
    <row r="431" spans="1:4">
      <c r="A431">
        <f>IF(COUNTBLANK(B431:D431)&lt;&gt;COLUMNS(B431:D431),430,"")</f>
        <v>0</v>
      </c>
      <c r="C431" s="1">
        <f>IF(B431="", "", "rat metagenome")</f>
        <v>0</v>
      </c>
      <c r="D431" s="1">
        <f>IF(B431="", "", "1427740")</f>
        <v>0</v>
      </c>
    </row>
    <row r="432" spans="1:4">
      <c r="A432">
        <f>IF(COUNTBLANK(B432:D432)&lt;&gt;COLUMNS(B432:D432),431,"")</f>
        <v>0</v>
      </c>
      <c r="C432" s="1">
        <f>IF(B432="", "", "rat metagenome")</f>
        <v>0</v>
      </c>
      <c r="D432" s="1">
        <f>IF(B432="", "", "1427740")</f>
        <v>0</v>
      </c>
    </row>
    <row r="433" spans="1:4">
      <c r="A433">
        <f>IF(COUNTBLANK(B433:D433)&lt;&gt;COLUMNS(B433:D433),432,"")</f>
        <v>0</v>
      </c>
      <c r="C433" s="1">
        <f>IF(B433="", "", "rat metagenome")</f>
        <v>0</v>
      </c>
      <c r="D433" s="1">
        <f>IF(B433="", "", "1427740")</f>
        <v>0</v>
      </c>
    </row>
    <row r="434" spans="1:4">
      <c r="A434">
        <f>IF(COUNTBLANK(B434:D434)&lt;&gt;COLUMNS(B434:D434),433,"")</f>
        <v>0</v>
      </c>
      <c r="C434" s="1">
        <f>IF(B434="", "", "rat metagenome")</f>
        <v>0</v>
      </c>
      <c r="D434" s="1">
        <f>IF(B434="", "", "1427740")</f>
        <v>0</v>
      </c>
    </row>
    <row r="435" spans="1:4">
      <c r="A435">
        <f>IF(COUNTBLANK(B435:D435)&lt;&gt;COLUMNS(B435:D435),434,"")</f>
        <v>0</v>
      </c>
      <c r="C435" s="1">
        <f>IF(B435="", "", "rat metagenome")</f>
        <v>0</v>
      </c>
      <c r="D435" s="1">
        <f>IF(B435="", "", "1427740")</f>
        <v>0</v>
      </c>
    </row>
    <row r="436" spans="1:4">
      <c r="A436">
        <f>IF(COUNTBLANK(B436:D436)&lt;&gt;COLUMNS(B436:D436),435,"")</f>
        <v>0</v>
      </c>
      <c r="C436" s="1">
        <f>IF(B436="", "", "rat metagenome")</f>
        <v>0</v>
      </c>
      <c r="D436" s="1">
        <f>IF(B436="", "", "1427740")</f>
        <v>0</v>
      </c>
    </row>
    <row r="437" spans="1:4">
      <c r="A437">
        <f>IF(COUNTBLANK(B437:D437)&lt;&gt;COLUMNS(B437:D437),436,"")</f>
        <v>0</v>
      </c>
      <c r="C437" s="1">
        <f>IF(B437="", "", "rat metagenome")</f>
        <v>0</v>
      </c>
      <c r="D437" s="1">
        <f>IF(B437="", "", "1427740")</f>
        <v>0</v>
      </c>
    </row>
    <row r="438" spans="1:4">
      <c r="A438">
        <f>IF(COUNTBLANK(B438:D438)&lt;&gt;COLUMNS(B438:D438),437,"")</f>
        <v>0</v>
      </c>
      <c r="C438" s="1">
        <f>IF(B438="", "", "rat metagenome")</f>
        <v>0</v>
      </c>
      <c r="D438" s="1">
        <f>IF(B438="", "", "1427740")</f>
        <v>0</v>
      </c>
    </row>
    <row r="439" spans="1:4">
      <c r="A439">
        <f>IF(COUNTBLANK(B439:D439)&lt;&gt;COLUMNS(B439:D439),438,"")</f>
        <v>0</v>
      </c>
      <c r="C439" s="1">
        <f>IF(B439="", "", "rat metagenome")</f>
        <v>0</v>
      </c>
      <c r="D439" s="1">
        <f>IF(B439="", "", "1427740")</f>
        <v>0</v>
      </c>
    </row>
    <row r="440" spans="1:4">
      <c r="A440">
        <f>IF(COUNTBLANK(B440:D440)&lt;&gt;COLUMNS(B440:D440),439,"")</f>
        <v>0</v>
      </c>
      <c r="C440" s="1">
        <f>IF(B440="", "", "rat metagenome")</f>
        <v>0</v>
      </c>
      <c r="D440" s="1">
        <f>IF(B440="", "", "1427740")</f>
        <v>0</v>
      </c>
    </row>
    <row r="441" spans="1:4">
      <c r="A441">
        <f>IF(COUNTBLANK(B441:D441)&lt;&gt;COLUMNS(B441:D441),440,"")</f>
        <v>0</v>
      </c>
      <c r="C441" s="1">
        <f>IF(B441="", "", "rat metagenome")</f>
        <v>0</v>
      </c>
      <c r="D441" s="1">
        <f>IF(B441="", "", "1427740")</f>
        <v>0</v>
      </c>
    </row>
    <row r="442" spans="1:4">
      <c r="A442">
        <f>IF(COUNTBLANK(B442:D442)&lt;&gt;COLUMNS(B442:D442),441,"")</f>
        <v>0</v>
      </c>
      <c r="C442" s="1">
        <f>IF(B442="", "", "rat metagenome")</f>
        <v>0</v>
      </c>
      <c r="D442" s="1">
        <f>IF(B442="", "", "1427740")</f>
        <v>0</v>
      </c>
    </row>
    <row r="443" spans="1:4">
      <c r="A443">
        <f>IF(COUNTBLANK(B443:D443)&lt;&gt;COLUMNS(B443:D443),442,"")</f>
        <v>0</v>
      </c>
      <c r="C443" s="1">
        <f>IF(B443="", "", "rat metagenome")</f>
        <v>0</v>
      </c>
      <c r="D443" s="1">
        <f>IF(B443="", "", "1427740")</f>
        <v>0</v>
      </c>
    </row>
    <row r="444" spans="1:4">
      <c r="A444">
        <f>IF(COUNTBLANK(B444:D444)&lt;&gt;COLUMNS(B444:D444),443,"")</f>
        <v>0</v>
      </c>
      <c r="C444" s="1">
        <f>IF(B444="", "", "rat metagenome")</f>
        <v>0</v>
      </c>
      <c r="D444" s="1">
        <f>IF(B444="", "", "1427740")</f>
        <v>0</v>
      </c>
    </row>
    <row r="445" spans="1:4">
      <c r="A445">
        <f>IF(COUNTBLANK(B445:D445)&lt;&gt;COLUMNS(B445:D445),444,"")</f>
        <v>0</v>
      </c>
      <c r="C445" s="1">
        <f>IF(B445="", "", "rat metagenome")</f>
        <v>0</v>
      </c>
      <c r="D445" s="1">
        <f>IF(B445="", "", "1427740")</f>
        <v>0</v>
      </c>
    </row>
    <row r="446" spans="1:4">
      <c r="A446">
        <f>IF(COUNTBLANK(B446:D446)&lt;&gt;COLUMNS(B446:D446),445,"")</f>
        <v>0</v>
      </c>
      <c r="C446" s="1">
        <f>IF(B446="", "", "rat metagenome")</f>
        <v>0</v>
      </c>
      <c r="D446" s="1">
        <f>IF(B446="", "", "1427740")</f>
        <v>0</v>
      </c>
    </row>
    <row r="447" spans="1:4">
      <c r="A447">
        <f>IF(COUNTBLANK(B447:D447)&lt;&gt;COLUMNS(B447:D447),446,"")</f>
        <v>0</v>
      </c>
      <c r="C447" s="1">
        <f>IF(B447="", "", "rat metagenome")</f>
        <v>0</v>
      </c>
      <c r="D447" s="1">
        <f>IF(B447="", "", "1427740")</f>
        <v>0</v>
      </c>
    </row>
    <row r="448" spans="1:4">
      <c r="A448">
        <f>IF(COUNTBLANK(B448:D448)&lt;&gt;COLUMNS(B448:D448),447,"")</f>
        <v>0</v>
      </c>
      <c r="C448" s="1">
        <f>IF(B448="", "", "rat metagenome")</f>
        <v>0</v>
      </c>
      <c r="D448" s="1">
        <f>IF(B448="", "", "1427740")</f>
        <v>0</v>
      </c>
    </row>
    <row r="449" spans="1:4">
      <c r="A449">
        <f>IF(COUNTBLANK(B449:D449)&lt;&gt;COLUMNS(B449:D449),448,"")</f>
        <v>0</v>
      </c>
      <c r="C449" s="1">
        <f>IF(B449="", "", "rat metagenome")</f>
        <v>0</v>
      </c>
      <c r="D449" s="1">
        <f>IF(B449="", "", "1427740")</f>
        <v>0</v>
      </c>
    </row>
    <row r="450" spans="1:4">
      <c r="A450">
        <f>IF(COUNTBLANK(B450:D450)&lt;&gt;COLUMNS(B450:D450),449,"")</f>
        <v>0</v>
      </c>
      <c r="C450" s="1">
        <f>IF(B450="", "", "rat metagenome")</f>
        <v>0</v>
      </c>
      <c r="D450" s="1">
        <f>IF(B450="", "", "1427740")</f>
        <v>0</v>
      </c>
    </row>
    <row r="451" spans="1:4">
      <c r="A451">
        <f>IF(COUNTBLANK(B451:D451)&lt;&gt;COLUMNS(B451:D451),450,"")</f>
        <v>0</v>
      </c>
      <c r="C451" s="1">
        <f>IF(B451="", "", "rat metagenome")</f>
        <v>0</v>
      </c>
      <c r="D451" s="1">
        <f>IF(B451="", "", "1427740")</f>
        <v>0</v>
      </c>
    </row>
    <row r="452" spans="1:4">
      <c r="A452">
        <f>IF(COUNTBLANK(B452:D452)&lt;&gt;COLUMNS(B452:D452),451,"")</f>
        <v>0</v>
      </c>
      <c r="C452" s="1">
        <f>IF(B452="", "", "rat metagenome")</f>
        <v>0</v>
      </c>
      <c r="D452" s="1">
        <f>IF(B452="", "", "1427740")</f>
        <v>0</v>
      </c>
    </row>
    <row r="453" spans="1:4">
      <c r="A453">
        <f>IF(COUNTBLANK(B453:D453)&lt;&gt;COLUMNS(B453:D453),452,"")</f>
        <v>0</v>
      </c>
      <c r="C453" s="1">
        <f>IF(B453="", "", "rat metagenome")</f>
        <v>0</v>
      </c>
      <c r="D453" s="1">
        <f>IF(B453="", "", "1427740")</f>
        <v>0</v>
      </c>
    </row>
    <row r="454" spans="1:4">
      <c r="A454">
        <f>IF(COUNTBLANK(B454:D454)&lt;&gt;COLUMNS(B454:D454),453,"")</f>
        <v>0</v>
      </c>
      <c r="C454" s="1">
        <f>IF(B454="", "", "rat metagenome")</f>
        <v>0</v>
      </c>
      <c r="D454" s="1">
        <f>IF(B454="", "", "1427740")</f>
        <v>0</v>
      </c>
    </row>
    <row r="455" spans="1:4">
      <c r="A455">
        <f>IF(COUNTBLANK(B455:D455)&lt;&gt;COLUMNS(B455:D455),454,"")</f>
        <v>0</v>
      </c>
      <c r="C455" s="1">
        <f>IF(B455="", "", "rat metagenome")</f>
        <v>0</v>
      </c>
      <c r="D455" s="1">
        <f>IF(B455="", "", "1427740")</f>
        <v>0</v>
      </c>
    </row>
    <row r="456" spans="1:4">
      <c r="A456">
        <f>IF(COUNTBLANK(B456:D456)&lt;&gt;COLUMNS(B456:D456),455,"")</f>
        <v>0</v>
      </c>
      <c r="C456" s="1">
        <f>IF(B456="", "", "rat metagenome")</f>
        <v>0</v>
      </c>
      <c r="D456" s="1">
        <f>IF(B456="", "", "1427740")</f>
        <v>0</v>
      </c>
    </row>
    <row r="457" spans="1:4">
      <c r="A457">
        <f>IF(COUNTBLANK(B457:D457)&lt;&gt;COLUMNS(B457:D457),456,"")</f>
        <v>0</v>
      </c>
      <c r="C457" s="1">
        <f>IF(B457="", "", "rat metagenome")</f>
        <v>0</v>
      </c>
      <c r="D457" s="1">
        <f>IF(B457="", "", "1427740")</f>
        <v>0</v>
      </c>
    </row>
    <row r="458" spans="1:4">
      <c r="A458">
        <f>IF(COUNTBLANK(B458:D458)&lt;&gt;COLUMNS(B458:D458),457,"")</f>
        <v>0</v>
      </c>
      <c r="C458" s="1">
        <f>IF(B458="", "", "rat metagenome")</f>
        <v>0</v>
      </c>
      <c r="D458" s="1">
        <f>IF(B458="", "", "1427740")</f>
        <v>0</v>
      </c>
    </row>
    <row r="459" spans="1:4">
      <c r="A459">
        <f>IF(COUNTBLANK(B459:D459)&lt;&gt;COLUMNS(B459:D459),458,"")</f>
        <v>0</v>
      </c>
      <c r="C459" s="1">
        <f>IF(B459="", "", "rat metagenome")</f>
        <v>0</v>
      </c>
      <c r="D459" s="1">
        <f>IF(B459="", "", "1427740")</f>
        <v>0</v>
      </c>
    </row>
    <row r="460" spans="1:4">
      <c r="A460">
        <f>IF(COUNTBLANK(B460:D460)&lt;&gt;COLUMNS(B460:D460),459,"")</f>
        <v>0</v>
      </c>
      <c r="C460" s="1">
        <f>IF(B460="", "", "rat metagenome")</f>
        <v>0</v>
      </c>
      <c r="D460" s="1">
        <f>IF(B460="", "", "1427740")</f>
        <v>0</v>
      </c>
    </row>
    <row r="461" spans="1:4">
      <c r="A461">
        <f>IF(COUNTBLANK(B461:D461)&lt;&gt;COLUMNS(B461:D461),460,"")</f>
        <v>0</v>
      </c>
      <c r="C461" s="1">
        <f>IF(B461="", "", "rat metagenome")</f>
        <v>0</v>
      </c>
      <c r="D461" s="1">
        <f>IF(B461="", "", "1427740")</f>
        <v>0</v>
      </c>
    </row>
    <row r="462" spans="1:4">
      <c r="A462">
        <f>IF(COUNTBLANK(B462:D462)&lt;&gt;COLUMNS(B462:D462),461,"")</f>
        <v>0</v>
      </c>
      <c r="C462" s="1">
        <f>IF(B462="", "", "rat metagenome")</f>
        <v>0</v>
      </c>
      <c r="D462" s="1">
        <f>IF(B462="", "", "1427740")</f>
        <v>0</v>
      </c>
    </row>
    <row r="463" spans="1:4">
      <c r="A463">
        <f>IF(COUNTBLANK(B463:D463)&lt;&gt;COLUMNS(B463:D463),462,"")</f>
        <v>0</v>
      </c>
      <c r="C463" s="1">
        <f>IF(B463="", "", "rat metagenome")</f>
        <v>0</v>
      </c>
      <c r="D463" s="1">
        <f>IF(B463="", "", "1427740")</f>
        <v>0</v>
      </c>
    </row>
    <row r="464" spans="1:4">
      <c r="A464">
        <f>IF(COUNTBLANK(B464:D464)&lt;&gt;COLUMNS(B464:D464),463,"")</f>
        <v>0</v>
      </c>
      <c r="C464" s="1">
        <f>IF(B464="", "", "rat metagenome")</f>
        <v>0</v>
      </c>
      <c r="D464" s="1">
        <f>IF(B464="", "", "1427740")</f>
        <v>0</v>
      </c>
    </row>
    <row r="465" spans="1:4">
      <c r="A465">
        <f>IF(COUNTBLANK(B465:D465)&lt;&gt;COLUMNS(B465:D465),464,"")</f>
        <v>0</v>
      </c>
      <c r="C465" s="1">
        <f>IF(B465="", "", "rat metagenome")</f>
        <v>0</v>
      </c>
      <c r="D465" s="1">
        <f>IF(B465="", "", "1427740")</f>
        <v>0</v>
      </c>
    </row>
    <row r="466" spans="1:4">
      <c r="A466">
        <f>IF(COUNTBLANK(B466:D466)&lt;&gt;COLUMNS(B466:D466),465,"")</f>
        <v>0</v>
      </c>
      <c r="C466" s="1">
        <f>IF(B466="", "", "rat metagenome")</f>
        <v>0</v>
      </c>
      <c r="D466" s="1">
        <f>IF(B466="", "", "1427740")</f>
        <v>0</v>
      </c>
    </row>
    <row r="467" spans="1:4">
      <c r="A467">
        <f>IF(COUNTBLANK(B467:D467)&lt;&gt;COLUMNS(B467:D467),466,"")</f>
        <v>0</v>
      </c>
      <c r="C467" s="1">
        <f>IF(B467="", "", "rat metagenome")</f>
        <v>0</v>
      </c>
      <c r="D467" s="1">
        <f>IF(B467="", "", "1427740")</f>
        <v>0</v>
      </c>
    </row>
    <row r="468" spans="1:4">
      <c r="A468">
        <f>IF(COUNTBLANK(B468:D468)&lt;&gt;COLUMNS(B468:D468),467,"")</f>
        <v>0</v>
      </c>
      <c r="C468" s="1">
        <f>IF(B468="", "", "rat metagenome")</f>
        <v>0</v>
      </c>
      <c r="D468" s="1">
        <f>IF(B468="", "", "1427740")</f>
        <v>0</v>
      </c>
    </row>
    <row r="469" spans="1:4">
      <c r="A469">
        <f>IF(COUNTBLANK(B469:D469)&lt;&gt;COLUMNS(B469:D469),468,"")</f>
        <v>0</v>
      </c>
      <c r="C469" s="1">
        <f>IF(B469="", "", "rat metagenome")</f>
        <v>0</v>
      </c>
      <c r="D469" s="1">
        <f>IF(B469="", "", "1427740")</f>
        <v>0</v>
      </c>
    </row>
    <row r="470" spans="1:4">
      <c r="A470">
        <f>IF(COUNTBLANK(B470:D470)&lt;&gt;COLUMNS(B470:D470),469,"")</f>
        <v>0</v>
      </c>
      <c r="C470" s="1">
        <f>IF(B470="", "", "rat metagenome")</f>
        <v>0</v>
      </c>
      <c r="D470" s="1">
        <f>IF(B470="", "", "1427740")</f>
        <v>0</v>
      </c>
    </row>
    <row r="471" spans="1:4">
      <c r="A471">
        <f>IF(COUNTBLANK(B471:D471)&lt;&gt;COLUMNS(B471:D471),470,"")</f>
        <v>0</v>
      </c>
      <c r="C471" s="1">
        <f>IF(B471="", "", "rat metagenome")</f>
        <v>0</v>
      </c>
      <c r="D471" s="1">
        <f>IF(B471="", "", "1427740")</f>
        <v>0</v>
      </c>
    </row>
    <row r="472" spans="1:4">
      <c r="A472">
        <f>IF(COUNTBLANK(B472:D472)&lt;&gt;COLUMNS(B472:D472),471,"")</f>
        <v>0</v>
      </c>
      <c r="C472" s="1">
        <f>IF(B472="", "", "rat metagenome")</f>
        <v>0</v>
      </c>
      <c r="D472" s="1">
        <f>IF(B472="", "", "1427740")</f>
        <v>0</v>
      </c>
    </row>
    <row r="473" spans="1:4">
      <c r="A473">
        <f>IF(COUNTBLANK(B473:D473)&lt;&gt;COLUMNS(B473:D473),472,"")</f>
        <v>0</v>
      </c>
      <c r="C473" s="1">
        <f>IF(B473="", "", "rat metagenome")</f>
        <v>0</v>
      </c>
      <c r="D473" s="1">
        <f>IF(B473="", "", "1427740")</f>
        <v>0</v>
      </c>
    </row>
    <row r="474" spans="1:4">
      <c r="A474">
        <f>IF(COUNTBLANK(B474:D474)&lt;&gt;COLUMNS(B474:D474),473,"")</f>
        <v>0</v>
      </c>
      <c r="C474" s="1">
        <f>IF(B474="", "", "rat metagenome")</f>
        <v>0</v>
      </c>
      <c r="D474" s="1">
        <f>IF(B474="", "", "1427740")</f>
        <v>0</v>
      </c>
    </row>
    <row r="475" spans="1:4">
      <c r="A475">
        <f>IF(COUNTBLANK(B475:D475)&lt;&gt;COLUMNS(B475:D475),474,"")</f>
        <v>0</v>
      </c>
      <c r="C475" s="1">
        <f>IF(B475="", "", "rat metagenome")</f>
        <v>0</v>
      </c>
      <c r="D475" s="1">
        <f>IF(B475="", "", "1427740")</f>
        <v>0</v>
      </c>
    </row>
    <row r="476" spans="1:4">
      <c r="A476">
        <f>IF(COUNTBLANK(B476:D476)&lt;&gt;COLUMNS(B476:D476),475,"")</f>
        <v>0</v>
      </c>
      <c r="C476" s="1">
        <f>IF(B476="", "", "rat metagenome")</f>
        <v>0</v>
      </c>
      <c r="D476" s="1">
        <f>IF(B476="", "", "1427740")</f>
        <v>0</v>
      </c>
    </row>
    <row r="477" spans="1:4">
      <c r="A477">
        <f>IF(COUNTBLANK(B477:D477)&lt;&gt;COLUMNS(B477:D477),476,"")</f>
        <v>0</v>
      </c>
      <c r="C477" s="1">
        <f>IF(B477="", "", "rat metagenome")</f>
        <v>0</v>
      </c>
      <c r="D477" s="1">
        <f>IF(B477="", "", "1427740")</f>
        <v>0</v>
      </c>
    </row>
    <row r="478" spans="1:4">
      <c r="A478">
        <f>IF(COUNTBLANK(B478:D478)&lt;&gt;COLUMNS(B478:D478),477,"")</f>
        <v>0</v>
      </c>
      <c r="C478" s="1">
        <f>IF(B478="", "", "rat metagenome")</f>
        <v>0</v>
      </c>
      <c r="D478" s="1">
        <f>IF(B478="", "", "1427740")</f>
        <v>0</v>
      </c>
    </row>
    <row r="479" spans="1:4">
      <c r="A479">
        <f>IF(COUNTBLANK(B479:D479)&lt;&gt;COLUMNS(B479:D479),478,"")</f>
        <v>0</v>
      </c>
      <c r="C479" s="1">
        <f>IF(B479="", "", "rat metagenome")</f>
        <v>0</v>
      </c>
      <c r="D479" s="1">
        <f>IF(B479="", "", "1427740")</f>
        <v>0</v>
      </c>
    </row>
    <row r="480" spans="1:4">
      <c r="A480">
        <f>IF(COUNTBLANK(B480:D480)&lt;&gt;COLUMNS(B480:D480),479,"")</f>
        <v>0</v>
      </c>
      <c r="C480" s="1">
        <f>IF(B480="", "", "rat metagenome")</f>
        <v>0</v>
      </c>
      <c r="D480" s="1">
        <f>IF(B480="", "", "1427740")</f>
        <v>0</v>
      </c>
    </row>
    <row r="481" spans="1:4">
      <c r="A481">
        <f>IF(COUNTBLANK(B481:D481)&lt;&gt;COLUMNS(B481:D481),480,"")</f>
        <v>0</v>
      </c>
      <c r="C481" s="1">
        <f>IF(B481="", "", "rat metagenome")</f>
        <v>0</v>
      </c>
      <c r="D481" s="1">
        <f>IF(B481="", "", "1427740")</f>
        <v>0</v>
      </c>
    </row>
    <row r="482" spans="1:4">
      <c r="A482">
        <f>IF(COUNTBLANK(B482:D482)&lt;&gt;COLUMNS(B482:D482),481,"")</f>
        <v>0</v>
      </c>
      <c r="C482" s="1">
        <f>IF(B482="", "", "rat metagenome")</f>
        <v>0</v>
      </c>
      <c r="D482" s="1">
        <f>IF(B482="", "", "1427740")</f>
        <v>0</v>
      </c>
    </row>
    <row r="483" spans="1:4">
      <c r="A483">
        <f>IF(COUNTBLANK(B483:D483)&lt;&gt;COLUMNS(B483:D483),482,"")</f>
        <v>0</v>
      </c>
      <c r="C483" s="1">
        <f>IF(B483="", "", "rat metagenome")</f>
        <v>0</v>
      </c>
      <c r="D483" s="1">
        <f>IF(B483="", "", "1427740")</f>
        <v>0</v>
      </c>
    </row>
    <row r="484" spans="1:4">
      <c r="A484">
        <f>IF(COUNTBLANK(B484:D484)&lt;&gt;COLUMNS(B484:D484),483,"")</f>
        <v>0</v>
      </c>
      <c r="C484" s="1">
        <f>IF(B484="", "", "rat metagenome")</f>
        <v>0</v>
      </c>
      <c r="D484" s="1">
        <f>IF(B484="", "", "1427740")</f>
        <v>0</v>
      </c>
    </row>
    <row r="485" spans="1:4">
      <c r="A485">
        <f>IF(COUNTBLANK(B485:D485)&lt;&gt;COLUMNS(B485:D485),484,"")</f>
        <v>0</v>
      </c>
      <c r="C485" s="1">
        <f>IF(B485="", "", "rat metagenome")</f>
        <v>0</v>
      </c>
      <c r="D485" s="1">
        <f>IF(B485="", "", "1427740")</f>
        <v>0</v>
      </c>
    </row>
    <row r="486" spans="1:4">
      <c r="A486">
        <f>IF(COUNTBLANK(B486:D486)&lt;&gt;COLUMNS(B486:D486),485,"")</f>
        <v>0</v>
      </c>
      <c r="C486" s="1">
        <f>IF(B486="", "", "rat metagenome")</f>
        <v>0</v>
      </c>
      <c r="D486" s="1">
        <f>IF(B486="", "", "1427740")</f>
        <v>0</v>
      </c>
    </row>
    <row r="487" spans="1:4">
      <c r="A487">
        <f>IF(COUNTBLANK(B487:D487)&lt;&gt;COLUMNS(B487:D487),486,"")</f>
        <v>0</v>
      </c>
      <c r="C487" s="1">
        <f>IF(B487="", "", "rat metagenome")</f>
        <v>0</v>
      </c>
      <c r="D487" s="1">
        <f>IF(B487="", "", "1427740")</f>
        <v>0</v>
      </c>
    </row>
    <row r="488" spans="1:4">
      <c r="A488">
        <f>IF(COUNTBLANK(B488:D488)&lt;&gt;COLUMNS(B488:D488),487,"")</f>
        <v>0</v>
      </c>
      <c r="C488" s="1">
        <f>IF(B488="", "", "rat metagenome")</f>
        <v>0</v>
      </c>
      <c r="D488" s="1">
        <f>IF(B488="", "", "1427740")</f>
        <v>0</v>
      </c>
    </row>
    <row r="489" spans="1:4">
      <c r="A489">
        <f>IF(COUNTBLANK(B489:D489)&lt;&gt;COLUMNS(B489:D489),488,"")</f>
        <v>0</v>
      </c>
      <c r="C489" s="1">
        <f>IF(B489="", "", "rat metagenome")</f>
        <v>0</v>
      </c>
      <c r="D489" s="1">
        <f>IF(B489="", "", "1427740")</f>
        <v>0</v>
      </c>
    </row>
    <row r="490" spans="1:4">
      <c r="A490">
        <f>IF(COUNTBLANK(B490:D490)&lt;&gt;COLUMNS(B490:D490),489,"")</f>
        <v>0</v>
      </c>
      <c r="C490" s="1">
        <f>IF(B490="", "", "rat metagenome")</f>
        <v>0</v>
      </c>
      <c r="D490" s="1">
        <f>IF(B490="", "", "1427740")</f>
        <v>0</v>
      </c>
    </row>
    <row r="491" spans="1:4">
      <c r="A491">
        <f>IF(COUNTBLANK(B491:D491)&lt;&gt;COLUMNS(B491:D491),490,"")</f>
        <v>0</v>
      </c>
      <c r="C491" s="1">
        <f>IF(B491="", "", "rat metagenome")</f>
        <v>0</v>
      </c>
      <c r="D491" s="1">
        <f>IF(B491="", "", "1427740")</f>
        <v>0</v>
      </c>
    </row>
    <row r="492" spans="1:4">
      <c r="A492">
        <f>IF(COUNTBLANK(B492:D492)&lt;&gt;COLUMNS(B492:D492),491,"")</f>
        <v>0</v>
      </c>
      <c r="C492" s="1">
        <f>IF(B492="", "", "rat metagenome")</f>
        <v>0</v>
      </c>
      <c r="D492" s="1">
        <f>IF(B492="", "", "1427740")</f>
        <v>0</v>
      </c>
    </row>
    <row r="493" spans="1:4">
      <c r="A493">
        <f>IF(COUNTBLANK(B493:D493)&lt;&gt;COLUMNS(B493:D493),492,"")</f>
        <v>0</v>
      </c>
      <c r="C493" s="1">
        <f>IF(B493="", "", "rat metagenome")</f>
        <v>0</v>
      </c>
      <c r="D493" s="1">
        <f>IF(B493="", "", "1427740")</f>
        <v>0</v>
      </c>
    </row>
    <row r="494" spans="1:4">
      <c r="A494">
        <f>IF(COUNTBLANK(B494:D494)&lt;&gt;COLUMNS(B494:D494),493,"")</f>
        <v>0</v>
      </c>
      <c r="C494" s="1">
        <f>IF(B494="", "", "rat metagenome")</f>
        <v>0</v>
      </c>
      <c r="D494" s="1">
        <f>IF(B494="", "", "1427740")</f>
        <v>0</v>
      </c>
    </row>
    <row r="495" spans="1:4">
      <c r="A495">
        <f>IF(COUNTBLANK(B495:D495)&lt;&gt;COLUMNS(B495:D495),494,"")</f>
        <v>0</v>
      </c>
      <c r="C495" s="1">
        <f>IF(B495="", "", "rat metagenome")</f>
        <v>0</v>
      </c>
      <c r="D495" s="1">
        <f>IF(B495="", "", "1427740")</f>
        <v>0</v>
      </c>
    </row>
    <row r="496" spans="1:4">
      <c r="A496">
        <f>IF(COUNTBLANK(B496:D496)&lt;&gt;COLUMNS(B496:D496),495,"")</f>
        <v>0</v>
      </c>
      <c r="C496" s="1">
        <f>IF(B496="", "", "rat metagenome")</f>
        <v>0</v>
      </c>
      <c r="D496" s="1">
        <f>IF(B496="", "", "1427740")</f>
        <v>0</v>
      </c>
    </row>
    <row r="497" spans="1:4">
      <c r="A497">
        <f>IF(COUNTBLANK(B497:D497)&lt;&gt;COLUMNS(B497:D497),496,"")</f>
        <v>0</v>
      </c>
      <c r="C497" s="1">
        <f>IF(B497="", "", "rat metagenome")</f>
        <v>0</v>
      </c>
      <c r="D497" s="1">
        <f>IF(B497="", "", "1427740")</f>
        <v>0</v>
      </c>
    </row>
    <row r="498" spans="1:4">
      <c r="A498">
        <f>IF(COUNTBLANK(B498:D498)&lt;&gt;COLUMNS(B498:D498),497,"")</f>
        <v>0</v>
      </c>
      <c r="C498" s="1">
        <f>IF(B498="", "", "rat metagenome")</f>
        <v>0</v>
      </c>
      <c r="D498" s="1">
        <f>IF(B498="", "", "1427740")</f>
        <v>0</v>
      </c>
    </row>
    <row r="499" spans="1:4">
      <c r="A499">
        <f>IF(COUNTBLANK(B499:D499)&lt;&gt;COLUMNS(B499:D499),498,"")</f>
        <v>0</v>
      </c>
      <c r="C499" s="1">
        <f>IF(B499="", "", "rat metagenome")</f>
        <v>0</v>
      </c>
      <c r="D499" s="1">
        <f>IF(B499="", "", "1427740")</f>
        <v>0</v>
      </c>
    </row>
    <row r="500" spans="1:4">
      <c r="A500">
        <f>IF(COUNTBLANK(B500:D500)&lt;&gt;COLUMNS(B500:D500),499,"")</f>
        <v>0</v>
      </c>
      <c r="C500" s="1">
        <f>IF(B500="", "", "rat metagenome")</f>
        <v>0</v>
      </c>
      <c r="D500" s="1">
        <f>IF(B500="", "", "1427740")</f>
        <v>0</v>
      </c>
    </row>
    <row r="501" spans="1:4">
      <c r="A501">
        <f>IF(COUNTBLANK(B501:D501)&lt;&gt;COLUMNS(B501:D501),500,"")</f>
        <v>0</v>
      </c>
      <c r="C501" s="1">
        <f>IF(B501="", "", "rat metagenome")</f>
        <v>0</v>
      </c>
      <c r="D501" s="1">
        <f>IF(B501="", "", "1427740")</f>
        <v>0</v>
      </c>
    </row>
    <row r="502" spans="1:4">
      <c r="A502">
        <f>IF(COUNTBLANK(B502:D502)&lt;&gt;COLUMNS(B502:D502),501,"")</f>
        <v>0</v>
      </c>
      <c r="C502" s="1">
        <f>IF(B502="", "", "rat metagenome")</f>
        <v>0</v>
      </c>
      <c r="D502" s="1">
        <f>IF(B502="", "", "1427740")</f>
        <v>0</v>
      </c>
    </row>
    <row r="503" spans="1:4">
      <c r="A503">
        <f>IF(COUNTBLANK(B503:D503)&lt;&gt;COLUMNS(B503:D503),502,"")</f>
        <v>0</v>
      </c>
      <c r="C503" s="1">
        <f>IF(B503="", "", "rat metagenome")</f>
        <v>0</v>
      </c>
      <c r="D503" s="1">
        <f>IF(B503="", "", "1427740")</f>
        <v>0</v>
      </c>
    </row>
    <row r="504" spans="1:4">
      <c r="A504">
        <f>IF(COUNTBLANK(B504:D504)&lt;&gt;COLUMNS(B504:D504),503,"")</f>
        <v>0</v>
      </c>
      <c r="C504" s="1">
        <f>IF(B504="", "", "rat metagenome")</f>
        <v>0</v>
      </c>
      <c r="D504" s="1">
        <f>IF(B504="", "", "1427740")</f>
        <v>0</v>
      </c>
    </row>
    <row r="505" spans="1:4">
      <c r="A505">
        <f>IF(COUNTBLANK(B505:D505)&lt;&gt;COLUMNS(B505:D505),504,"")</f>
        <v>0</v>
      </c>
      <c r="C505" s="1">
        <f>IF(B505="", "", "rat metagenome")</f>
        <v>0</v>
      </c>
      <c r="D505" s="1">
        <f>IF(B505="", "", "1427740")</f>
        <v>0</v>
      </c>
    </row>
    <row r="506" spans="1:4">
      <c r="A506">
        <f>IF(COUNTBLANK(B506:D506)&lt;&gt;COLUMNS(B506:D506),505,"")</f>
        <v>0</v>
      </c>
      <c r="C506" s="1">
        <f>IF(B506="", "", "rat metagenome")</f>
        <v>0</v>
      </c>
      <c r="D506" s="1">
        <f>IF(B506="", "", "1427740")</f>
        <v>0</v>
      </c>
    </row>
    <row r="507" spans="1:4">
      <c r="A507">
        <f>IF(COUNTBLANK(B507:D507)&lt;&gt;COLUMNS(B507:D507),506,"")</f>
        <v>0</v>
      </c>
      <c r="C507" s="1">
        <f>IF(B507="", "", "rat metagenome")</f>
        <v>0</v>
      </c>
      <c r="D507" s="1">
        <f>IF(B507="", "", "1427740")</f>
        <v>0</v>
      </c>
    </row>
    <row r="508" spans="1:4">
      <c r="A508">
        <f>IF(COUNTBLANK(B508:D508)&lt;&gt;COLUMNS(B508:D508),507,"")</f>
        <v>0</v>
      </c>
      <c r="C508" s="1">
        <f>IF(B508="", "", "rat metagenome")</f>
        <v>0</v>
      </c>
      <c r="D508" s="1">
        <f>IF(B508="", "", "1427740")</f>
        <v>0</v>
      </c>
    </row>
    <row r="509" spans="1:4">
      <c r="A509">
        <f>IF(COUNTBLANK(B509:D509)&lt;&gt;COLUMNS(B509:D509),508,"")</f>
        <v>0</v>
      </c>
      <c r="C509" s="1">
        <f>IF(B509="", "", "rat metagenome")</f>
        <v>0</v>
      </c>
      <c r="D509" s="1">
        <f>IF(B509="", "", "1427740")</f>
        <v>0</v>
      </c>
    </row>
    <row r="510" spans="1:4">
      <c r="A510">
        <f>IF(COUNTBLANK(B510:D510)&lt;&gt;COLUMNS(B510:D510),509,"")</f>
        <v>0</v>
      </c>
      <c r="C510" s="1">
        <f>IF(B510="", "", "rat metagenome")</f>
        <v>0</v>
      </c>
      <c r="D510" s="1">
        <f>IF(B510="", "", "1427740")</f>
        <v>0</v>
      </c>
    </row>
    <row r="511" spans="1:4">
      <c r="A511">
        <f>IF(COUNTBLANK(B511:D511)&lt;&gt;COLUMNS(B511:D511),510,"")</f>
        <v>0</v>
      </c>
      <c r="C511" s="1">
        <f>IF(B511="", "", "rat metagenome")</f>
        <v>0</v>
      </c>
      <c r="D511" s="1">
        <f>IF(B511="", "", "1427740")</f>
        <v>0</v>
      </c>
    </row>
    <row r="512" spans="1:4">
      <c r="A512">
        <f>IF(COUNTBLANK(B512:D512)&lt;&gt;COLUMNS(B512:D512),511,"")</f>
        <v>0</v>
      </c>
      <c r="C512" s="1">
        <f>IF(B512="", "", "rat metagenome")</f>
        <v>0</v>
      </c>
      <c r="D512" s="1">
        <f>IF(B512="", "", "1427740")</f>
        <v>0</v>
      </c>
    </row>
    <row r="513" spans="1:4">
      <c r="A513">
        <f>IF(COUNTBLANK(B513:D513)&lt;&gt;COLUMNS(B513:D513),512,"")</f>
        <v>0</v>
      </c>
      <c r="C513" s="1">
        <f>IF(B513="", "", "rat metagenome")</f>
        <v>0</v>
      </c>
      <c r="D513" s="1">
        <f>IF(B513="", "", "1427740")</f>
        <v>0</v>
      </c>
    </row>
    <row r="514" spans="1:4">
      <c r="A514">
        <f>IF(COUNTBLANK(B514:D514)&lt;&gt;COLUMNS(B514:D514),513,"")</f>
        <v>0</v>
      </c>
      <c r="C514" s="1">
        <f>IF(B514="", "", "rat metagenome")</f>
        <v>0</v>
      </c>
      <c r="D514" s="1">
        <f>IF(B514="", "", "1427740")</f>
        <v>0</v>
      </c>
    </row>
    <row r="515" spans="1:4">
      <c r="A515">
        <f>IF(COUNTBLANK(B515:D515)&lt;&gt;COLUMNS(B515:D515),514,"")</f>
        <v>0</v>
      </c>
      <c r="C515" s="1">
        <f>IF(B515="", "", "rat metagenome")</f>
        <v>0</v>
      </c>
      <c r="D515" s="1">
        <f>IF(B515="", "", "1427740")</f>
        <v>0</v>
      </c>
    </row>
    <row r="516" spans="1:4">
      <c r="A516">
        <f>IF(COUNTBLANK(B516:D516)&lt;&gt;COLUMNS(B516:D516),515,"")</f>
        <v>0</v>
      </c>
      <c r="C516" s="1">
        <f>IF(B516="", "", "rat metagenome")</f>
        <v>0</v>
      </c>
      <c r="D516" s="1">
        <f>IF(B516="", "", "1427740")</f>
        <v>0</v>
      </c>
    </row>
    <row r="517" spans="1:4">
      <c r="A517">
        <f>IF(COUNTBLANK(B517:D517)&lt;&gt;COLUMNS(B517:D517),516,"")</f>
        <v>0</v>
      </c>
      <c r="C517" s="1">
        <f>IF(B517="", "", "rat metagenome")</f>
        <v>0</v>
      </c>
      <c r="D517" s="1">
        <f>IF(B517="", "", "1427740")</f>
        <v>0</v>
      </c>
    </row>
    <row r="518" spans="1:4">
      <c r="A518">
        <f>IF(COUNTBLANK(B518:D518)&lt;&gt;COLUMNS(B518:D518),517,"")</f>
        <v>0</v>
      </c>
      <c r="C518" s="1">
        <f>IF(B518="", "", "rat metagenome")</f>
        <v>0</v>
      </c>
      <c r="D518" s="1">
        <f>IF(B518="", "", "1427740")</f>
        <v>0</v>
      </c>
    </row>
    <row r="519" spans="1:4">
      <c r="A519">
        <f>IF(COUNTBLANK(B519:D519)&lt;&gt;COLUMNS(B519:D519),518,"")</f>
        <v>0</v>
      </c>
      <c r="C519" s="1">
        <f>IF(B519="", "", "rat metagenome")</f>
        <v>0</v>
      </c>
      <c r="D519" s="1">
        <f>IF(B519="", "", "1427740")</f>
        <v>0</v>
      </c>
    </row>
    <row r="520" spans="1:4">
      <c r="A520">
        <f>IF(COUNTBLANK(B520:D520)&lt;&gt;COLUMNS(B520:D520),519,"")</f>
        <v>0</v>
      </c>
      <c r="C520" s="1">
        <f>IF(B520="", "", "rat metagenome")</f>
        <v>0</v>
      </c>
      <c r="D520" s="1">
        <f>IF(B520="", "", "1427740")</f>
        <v>0</v>
      </c>
    </row>
    <row r="521" spans="1:4">
      <c r="A521">
        <f>IF(COUNTBLANK(B521:D521)&lt;&gt;COLUMNS(B521:D521),520,"")</f>
        <v>0</v>
      </c>
      <c r="C521" s="1">
        <f>IF(B521="", "", "rat metagenome")</f>
        <v>0</v>
      </c>
      <c r="D521" s="1">
        <f>IF(B521="", "", "1427740")</f>
        <v>0</v>
      </c>
    </row>
    <row r="522" spans="1:4">
      <c r="A522">
        <f>IF(COUNTBLANK(B522:D522)&lt;&gt;COLUMNS(B522:D522),521,"")</f>
        <v>0</v>
      </c>
      <c r="C522" s="1">
        <f>IF(B522="", "", "rat metagenome")</f>
        <v>0</v>
      </c>
      <c r="D522" s="1">
        <f>IF(B522="", "", "1427740")</f>
        <v>0</v>
      </c>
    </row>
    <row r="523" spans="1:4">
      <c r="A523">
        <f>IF(COUNTBLANK(B523:D523)&lt;&gt;COLUMNS(B523:D523),522,"")</f>
        <v>0</v>
      </c>
      <c r="C523" s="1">
        <f>IF(B523="", "", "rat metagenome")</f>
        <v>0</v>
      </c>
      <c r="D523" s="1">
        <f>IF(B523="", "", "1427740")</f>
        <v>0</v>
      </c>
    </row>
    <row r="524" spans="1:4">
      <c r="A524">
        <f>IF(COUNTBLANK(B524:D524)&lt;&gt;COLUMNS(B524:D524),523,"")</f>
        <v>0</v>
      </c>
      <c r="C524" s="1">
        <f>IF(B524="", "", "rat metagenome")</f>
        <v>0</v>
      </c>
      <c r="D524" s="1">
        <f>IF(B524="", "", "1427740")</f>
        <v>0</v>
      </c>
    </row>
    <row r="525" spans="1:4">
      <c r="A525">
        <f>IF(COUNTBLANK(B525:D525)&lt;&gt;COLUMNS(B525:D525),524,"")</f>
        <v>0</v>
      </c>
      <c r="C525" s="1">
        <f>IF(B525="", "", "rat metagenome")</f>
        <v>0</v>
      </c>
      <c r="D525" s="1">
        <f>IF(B525="", "", "1427740")</f>
        <v>0</v>
      </c>
    </row>
    <row r="526" spans="1:4">
      <c r="A526">
        <f>IF(COUNTBLANK(B526:D526)&lt;&gt;COLUMNS(B526:D526),525,"")</f>
        <v>0</v>
      </c>
      <c r="C526" s="1">
        <f>IF(B526="", "", "rat metagenome")</f>
        <v>0</v>
      </c>
      <c r="D526" s="1">
        <f>IF(B526="", "", "1427740")</f>
        <v>0</v>
      </c>
    </row>
    <row r="527" spans="1:4">
      <c r="A527">
        <f>IF(COUNTBLANK(B527:D527)&lt;&gt;COLUMNS(B527:D527),526,"")</f>
        <v>0</v>
      </c>
      <c r="C527" s="1">
        <f>IF(B527="", "", "rat metagenome")</f>
        <v>0</v>
      </c>
      <c r="D527" s="1">
        <f>IF(B527="", "", "1427740")</f>
        <v>0</v>
      </c>
    </row>
    <row r="528" spans="1:4">
      <c r="A528">
        <f>IF(COUNTBLANK(B528:D528)&lt;&gt;COLUMNS(B528:D528),527,"")</f>
        <v>0</v>
      </c>
      <c r="C528" s="1">
        <f>IF(B528="", "", "rat metagenome")</f>
        <v>0</v>
      </c>
      <c r="D528" s="1">
        <f>IF(B528="", "", "1427740")</f>
        <v>0</v>
      </c>
    </row>
    <row r="529" spans="1:4">
      <c r="A529">
        <f>IF(COUNTBLANK(B529:D529)&lt;&gt;COLUMNS(B529:D529),528,"")</f>
        <v>0</v>
      </c>
      <c r="C529" s="1">
        <f>IF(B529="", "", "rat metagenome")</f>
        <v>0</v>
      </c>
      <c r="D529" s="1">
        <f>IF(B529="", "", "1427740")</f>
        <v>0</v>
      </c>
    </row>
    <row r="530" spans="1:4">
      <c r="A530">
        <f>IF(COUNTBLANK(B530:D530)&lt;&gt;COLUMNS(B530:D530),529,"")</f>
        <v>0</v>
      </c>
      <c r="C530" s="1">
        <f>IF(B530="", "", "rat metagenome")</f>
        <v>0</v>
      </c>
      <c r="D530" s="1">
        <f>IF(B530="", "", "1427740")</f>
        <v>0</v>
      </c>
    </row>
    <row r="531" spans="1:4">
      <c r="A531">
        <f>IF(COUNTBLANK(B531:D531)&lt;&gt;COLUMNS(B531:D531),530,"")</f>
        <v>0</v>
      </c>
      <c r="C531" s="1">
        <f>IF(B531="", "", "rat metagenome")</f>
        <v>0</v>
      </c>
      <c r="D531" s="1">
        <f>IF(B531="", "", "1427740")</f>
        <v>0</v>
      </c>
    </row>
    <row r="532" spans="1:4">
      <c r="A532">
        <f>IF(COUNTBLANK(B532:D532)&lt;&gt;COLUMNS(B532:D532),531,"")</f>
        <v>0</v>
      </c>
      <c r="C532" s="1">
        <f>IF(B532="", "", "rat metagenome")</f>
        <v>0</v>
      </c>
      <c r="D532" s="1">
        <f>IF(B532="", "", "1427740")</f>
        <v>0</v>
      </c>
    </row>
    <row r="533" spans="1:4">
      <c r="A533">
        <f>IF(COUNTBLANK(B533:D533)&lt;&gt;COLUMNS(B533:D533),532,"")</f>
        <v>0</v>
      </c>
      <c r="C533" s="1">
        <f>IF(B533="", "", "rat metagenome")</f>
        <v>0</v>
      </c>
      <c r="D533" s="1">
        <f>IF(B533="", "", "1427740")</f>
        <v>0</v>
      </c>
    </row>
    <row r="534" spans="1:4">
      <c r="A534">
        <f>IF(COUNTBLANK(B534:D534)&lt;&gt;COLUMNS(B534:D534),533,"")</f>
        <v>0</v>
      </c>
      <c r="C534" s="1">
        <f>IF(B534="", "", "rat metagenome")</f>
        <v>0</v>
      </c>
      <c r="D534" s="1">
        <f>IF(B534="", "", "1427740")</f>
        <v>0</v>
      </c>
    </row>
    <row r="535" spans="1:4">
      <c r="A535">
        <f>IF(COUNTBLANK(B535:D535)&lt;&gt;COLUMNS(B535:D535),534,"")</f>
        <v>0</v>
      </c>
      <c r="C535" s="1">
        <f>IF(B535="", "", "rat metagenome")</f>
        <v>0</v>
      </c>
      <c r="D535" s="1">
        <f>IF(B535="", "", "1427740")</f>
        <v>0</v>
      </c>
    </row>
    <row r="536" spans="1:4">
      <c r="A536">
        <f>IF(COUNTBLANK(B536:D536)&lt;&gt;COLUMNS(B536:D536),535,"")</f>
        <v>0</v>
      </c>
      <c r="C536" s="1">
        <f>IF(B536="", "", "rat metagenome")</f>
        <v>0</v>
      </c>
      <c r="D536" s="1">
        <f>IF(B536="", "", "1427740")</f>
        <v>0</v>
      </c>
    </row>
    <row r="537" spans="1:4">
      <c r="A537">
        <f>IF(COUNTBLANK(B537:D537)&lt;&gt;COLUMNS(B537:D537),536,"")</f>
        <v>0</v>
      </c>
      <c r="C537" s="1">
        <f>IF(B537="", "", "rat metagenome")</f>
        <v>0</v>
      </c>
      <c r="D537" s="1">
        <f>IF(B537="", "", "1427740")</f>
        <v>0</v>
      </c>
    </row>
    <row r="538" spans="1:4">
      <c r="A538">
        <f>IF(COUNTBLANK(B538:D538)&lt;&gt;COLUMNS(B538:D538),537,"")</f>
        <v>0</v>
      </c>
      <c r="C538" s="1">
        <f>IF(B538="", "", "rat metagenome")</f>
        <v>0</v>
      </c>
      <c r="D538" s="1">
        <f>IF(B538="", "", "1427740")</f>
        <v>0</v>
      </c>
    </row>
    <row r="539" spans="1:4">
      <c r="A539">
        <f>IF(COUNTBLANK(B539:D539)&lt;&gt;COLUMNS(B539:D539),538,"")</f>
        <v>0</v>
      </c>
      <c r="C539" s="1">
        <f>IF(B539="", "", "rat metagenome")</f>
        <v>0</v>
      </c>
      <c r="D539" s="1">
        <f>IF(B539="", "", "1427740")</f>
        <v>0</v>
      </c>
    </row>
    <row r="540" spans="1:4">
      <c r="A540">
        <f>IF(COUNTBLANK(B540:D540)&lt;&gt;COLUMNS(B540:D540),539,"")</f>
        <v>0</v>
      </c>
      <c r="C540" s="1">
        <f>IF(B540="", "", "rat metagenome")</f>
        <v>0</v>
      </c>
      <c r="D540" s="1">
        <f>IF(B540="", "", "1427740")</f>
        <v>0</v>
      </c>
    </row>
    <row r="541" spans="1:4">
      <c r="A541">
        <f>IF(COUNTBLANK(B541:D541)&lt;&gt;COLUMNS(B541:D541),540,"")</f>
        <v>0</v>
      </c>
      <c r="C541" s="1">
        <f>IF(B541="", "", "rat metagenome")</f>
        <v>0</v>
      </c>
      <c r="D541" s="1">
        <f>IF(B541="", "", "1427740")</f>
        <v>0</v>
      </c>
    </row>
    <row r="542" spans="1:4">
      <c r="A542">
        <f>IF(COUNTBLANK(B542:D542)&lt;&gt;COLUMNS(B542:D542),541,"")</f>
        <v>0</v>
      </c>
      <c r="C542" s="1">
        <f>IF(B542="", "", "rat metagenome")</f>
        <v>0</v>
      </c>
      <c r="D542" s="1">
        <f>IF(B542="", "", "1427740")</f>
        <v>0</v>
      </c>
    </row>
    <row r="543" spans="1:4">
      <c r="A543">
        <f>IF(COUNTBLANK(B543:D543)&lt;&gt;COLUMNS(B543:D543),542,"")</f>
        <v>0</v>
      </c>
      <c r="C543" s="1">
        <f>IF(B543="", "", "rat metagenome")</f>
        <v>0</v>
      </c>
      <c r="D543" s="1">
        <f>IF(B543="", "", "1427740")</f>
        <v>0</v>
      </c>
    </row>
    <row r="544" spans="1:4">
      <c r="A544">
        <f>IF(COUNTBLANK(B544:D544)&lt;&gt;COLUMNS(B544:D544),543,"")</f>
        <v>0</v>
      </c>
      <c r="C544" s="1">
        <f>IF(B544="", "", "rat metagenome")</f>
        <v>0</v>
      </c>
      <c r="D544" s="1">
        <f>IF(B544="", "", "1427740")</f>
        <v>0</v>
      </c>
    </row>
    <row r="545" spans="1:4">
      <c r="A545">
        <f>IF(COUNTBLANK(B545:D545)&lt;&gt;COLUMNS(B545:D545),544,"")</f>
        <v>0</v>
      </c>
      <c r="C545" s="1">
        <f>IF(B545="", "", "rat metagenome")</f>
        <v>0</v>
      </c>
      <c r="D545" s="1">
        <f>IF(B545="", "", "1427740")</f>
        <v>0</v>
      </c>
    </row>
    <row r="546" spans="1:4">
      <c r="A546">
        <f>IF(COUNTBLANK(B546:D546)&lt;&gt;COLUMNS(B546:D546),545,"")</f>
        <v>0</v>
      </c>
      <c r="C546" s="1">
        <f>IF(B546="", "", "rat metagenome")</f>
        <v>0</v>
      </c>
      <c r="D546" s="1">
        <f>IF(B546="", "", "1427740")</f>
        <v>0</v>
      </c>
    </row>
    <row r="547" spans="1:4">
      <c r="A547">
        <f>IF(COUNTBLANK(B547:D547)&lt;&gt;COLUMNS(B547:D547),546,"")</f>
        <v>0</v>
      </c>
      <c r="C547" s="1">
        <f>IF(B547="", "", "rat metagenome")</f>
        <v>0</v>
      </c>
      <c r="D547" s="1">
        <f>IF(B547="", "", "1427740")</f>
        <v>0</v>
      </c>
    </row>
    <row r="548" spans="1:4">
      <c r="A548">
        <f>IF(COUNTBLANK(B548:D548)&lt;&gt;COLUMNS(B548:D548),547,"")</f>
        <v>0</v>
      </c>
      <c r="C548" s="1">
        <f>IF(B548="", "", "rat metagenome")</f>
        <v>0</v>
      </c>
      <c r="D548" s="1">
        <f>IF(B548="", "", "1427740")</f>
        <v>0</v>
      </c>
    </row>
    <row r="549" spans="1:4">
      <c r="A549">
        <f>IF(COUNTBLANK(B549:D549)&lt;&gt;COLUMNS(B549:D549),548,"")</f>
        <v>0</v>
      </c>
      <c r="C549" s="1">
        <f>IF(B549="", "", "rat metagenome")</f>
        <v>0</v>
      </c>
      <c r="D549" s="1">
        <f>IF(B549="", "", "1427740")</f>
        <v>0</v>
      </c>
    </row>
    <row r="550" spans="1:4">
      <c r="A550">
        <f>IF(COUNTBLANK(B550:D550)&lt;&gt;COLUMNS(B550:D550),549,"")</f>
        <v>0</v>
      </c>
      <c r="C550" s="1">
        <f>IF(B550="", "", "rat metagenome")</f>
        <v>0</v>
      </c>
      <c r="D550" s="1">
        <f>IF(B550="", "", "1427740")</f>
        <v>0</v>
      </c>
    </row>
    <row r="551" spans="1:4">
      <c r="A551">
        <f>IF(COUNTBLANK(B551:D551)&lt;&gt;COLUMNS(B551:D551),550,"")</f>
        <v>0</v>
      </c>
      <c r="C551" s="1">
        <f>IF(B551="", "", "rat metagenome")</f>
        <v>0</v>
      </c>
      <c r="D551" s="1">
        <f>IF(B551="", "", "1427740")</f>
        <v>0</v>
      </c>
    </row>
    <row r="552" spans="1:4">
      <c r="A552">
        <f>IF(COUNTBLANK(B552:D552)&lt;&gt;COLUMNS(B552:D552),551,"")</f>
        <v>0</v>
      </c>
      <c r="C552" s="1">
        <f>IF(B552="", "", "rat metagenome")</f>
        <v>0</v>
      </c>
      <c r="D552" s="1">
        <f>IF(B552="", "", "1427740")</f>
        <v>0</v>
      </c>
    </row>
    <row r="553" spans="1:4">
      <c r="A553">
        <f>IF(COUNTBLANK(B553:D553)&lt;&gt;COLUMNS(B553:D553),552,"")</f>
        <v>0</v>
      </c>
      <c r="C553" s="1">
        <f>IF(B553="", "", "rat metagenome")</f>
        <v>0</v>
      </c>
      <c r="D553" s="1">
        <f>IF(B553="", "", "1427740")</f>
        <v>0</v>
      </c>
    </row>
    <row r="554" spans="1:4">
      <c r="A554">
        <f>IF(COUNTBLANK(B554:D554)&lt;&gt;COLUMNS(B554:D554),553,"")</f>
        <v>0</v>
      </c>
      <c r="C554" s="1">
        <f>IF(B554="", "", "rat metagenome")</f>
        <v>0</v>
      </c>
      <c r="D554" s="1">
        <f>IF(B554="", "", "1427740")</f>
        <v>0</v>
      </c>
    </row>
    <row r="555" spans="1:4">
      <c r="A555">
        <f>IF(COUNTBLANK(B555:D555)&lt;&gt;COLUMNS(B555:D555),554,"")</f>
        <v>0</v>
      </c>
      <c r="C555" s="1">
        <f>IF(B555="", "", "rat metagenome")</f>
        <v>0</v>
      </c>
      <c r="D555" s="1">
        <f>IF(B555="", "", "1427740")</f>
        <v>0</v>
      </c>
    </row>
    <row r="556" spans="1:4">
      <c r="A556">
        <f>IF(COUNTBLANK(B556:D556)&lt;&gt;COLUMNS(B556:D556),555,"")</f>
        <v>0</v>
      </c>
      <c r="C556" s="1">
        <f>IF(B556="", "", "rat metagenome")</f>
        <v>0</v>
      </c>
      <c r="D556" s="1">
        <f>IF(B556="", "", "1427740")</f>
        <v>0</v>
      </c>
    </row>
    <row r="557" spans="1:4">
      <c r="A557">
        <f>IF(COUNTBLANK(B557:D557)&lt;&gt;COLUMNS(B557:D557),556,"")</f>
        <v>0</v>
      </c>
      <c r="C557" s="1">
        <f>IF(B557="", "", "rat metagenome")</f>
        <v>0</v>
      </c>
      <c r="D557" s="1">
        <f>IF(B557="", "", "1427740")</f>
        <v>0</v>
      </c>
    </row>
    <row r="558" spans="1:4">
      <c r="A558">
        <f>IF(COUNTBLANK(B558:D558)&lt;&gt;COLUMNS(B558:D558),557,"")</f>
        <v>0</v>
      </c>
      <c r="C558" s="1">
        <f>IF(B558="", "", "rat metagenome")</f>
        <v>0</v>
      </c>
      <c r="D558" s="1">
        <f>IF(B558="", "", "1427740")</f>
        <v>0</v>
      </c>
    </row>
    <row r="559" spans="1:4">
      <c r="A559">
        <f>IF(COUNTBLANK(B559:D559)&lt;&gt;COLUMNS(B559:D559),558,"")</f>
        <v>0</v>
      </c>
      <c r="C559" s="1">
        <f>IF(B559="", "", "rat metagenome")</f>
        <v>0</v>
      </c>
      <c r="D559" s="1">
        <f>IF(B559="", "", "1427740")</f>
        <v>0</v>
      </c>
    </row>
    <row r="560" spans="1:4">
      <c r="A560">
        <f>IF(COUNTBLANK(B560:D560)&lt;&gt;COLUMNS(B560:D560),559,"")</f>
        <v>0</v>
      </c>
      <c r="C560" s="1">
        <f>IF(B560="", "", "rat metagenome")</f>
        <v>0</v>
      </c>
      <c r="D560" s="1">
        <f>IF(B560="", "", "1427740")</f>
        <v>0</v>
      </c>
    </row>
    <row r="561" spans="1:4">
      <c r="A561">
        <f>IF(COUNTBLANK(B561:D561)&lt;&gt;COLUMNS(B561:D561),560,"")</f>
        <v>0</v>
      </c>
      <c r="C561" s="1">
        <f>IF(B561="", "", "rat metagenome")</f>
        <v>0</v>
      </c>
      <c r="D561" s="1">
        <f>IF(B561="", "", "1427740")</f>
        <v>0</v>
      </c>
    </row>
    <row r="562" spans="1:4">
      <c r="A562">
        <f>IF(COUNTBLANK(B562:D562)&lt;&gt;COLUMNS(B562:D562),561,"")</f>
        <v>0</v>
      </c>
      <c r="C562" s="1">
        <f>IF(B562="", "", "rat metagenome")</f>
        <v>0</v>
      </c>
      <c r="D562" s="1">
        <f>IF(B562="", "", "1427740")</f>
        <v>0</v>
      </c>
    </row>
    <row r="563" spans="1:4">
      <c r="A563">
        <f>IF(COUNTBLANK(B563:D563)&lt;&gt;COLUMNS(B563:D563),562,"")</f>
        <v>0</v>
      </c>
      <c r="C563" s="1">
        <f>IF(B563="", "", "rat metagenome")</f>
        <v>0</v>
      </c>
      <c r="D563" s="1">
        <f>IF(B563="", "", "1427740")</f>
        <v>0</v>
      </c>
    </row>
    <row r="564" spans="1:4">
      <c r="A564">
        <f>IF(COUNTBLANK(B564:D564)&lt;&gt;COLUMNS(B564:D564),563,"")</f>
        <v>0</v>
      </c>
      <c r="C564" s="1">
        <f>IF(B564="", "", "rat metagenome")</f>
        <v>0</v>
      </c>
      <c r="D564" s="1">
        <f>IF(B564="", "", "1427740")</f>
        <v>0</v>
      </c>
    </row>
    <row r="565" spans="1:4">
      <c r="A565">
        <f>IF(COUNTBLANK(B565:D565)&lt;&gt;COLUMNS(B565:D565),564,"")</f>
        <v>0</v>
      </c>
      <c r="C565" s="1">
        <f>IF(B565="", "", "rat metagenome")</f>
        <v>0</v>
      </c>
      <c r="D565" s="1">
        <f>IF(B565="", "", "1427740")</f>
        <v>0</v>
      </c>
    </row>
    <row r="566" spans="1:4">
      <c r="A566">
        <f>IF(COUNTBLANK(B566:D566)&lt;&gt;COLUMNS(B566:D566),565,"")</f>
        <v>0</v>
      </c>
      <c r="C566" s="1">
        <f>IF(B566="", "", "rat metagenome")</f>
        <v>0</v>
      </c>
      <c r="D566" s="1">
        <f>IF(B566="", "", "1427740")</f>
        <v>0</v>
      </c>
    </row>
    <row r="567" spans="1:4">
      <c r="A567">
        <f>IF(COUNTBLANK(B567:D567)&lt;&gt;COLUMNS(B567:D567),566,"")</f>
        <v>0</v>
      </c>
      <c r="C567" s="1">
        <f>IF(B567="", "", "rat metagenome")</f>
        <v>0</v>
      </c>
      <c r="D567" s="1">
        <f>IF(B567="", "", "1427740")</f>
        <v>0</v>
      </c>
    </row>
    <row r="568" spans="1:4">
      <c r="A568">
        <f>IF(COUNTBLANK(B568:D568)&lt;&gt;COLUMNS(B568:D568),567,"")</f>
        <v>0</v>
      </c>
      <c r="C568" s="1">
        <f>IF(B568="", "", "rat metagenome")</f>
        <v>0</v>
      </c>
      <c r="D568" s="1">
        <f>IF(B568="", "", "1427740")</f>
        <v>0</v>
      </c>
    </row>
    <row r="569" spans="1:4">
      <c r="A569">
        <f>IF(COUNTBLANK(B569:D569)&lt;&gt;COLUMNS(B569:D569),568,"")</f>
        <v>0</v>
      </c>
      <c r="C569" s="1">
        <f>IF(B569="", "", "rat metagenome")</f>
        <v>0</v>
      </c>
      <c r="D569" s="1">
        <f>IF(B569="", "", "1427740")</f>
        <v>0</v>
      </c>
    </row>
    <row r="570" spans="1:4">
      <c r="A570">
        <f>IF(COUNTBLANK(B570:D570)&lt;&gt;COLUMNS(B570:D570),569,"")</f>
        <v>0</v>
      </c>
      <c r="C570" s="1">
        <f>IF(B570="", "", "rat metagenome")</f>
        <v>0</v>
      </c>
      <c r="D570" s="1">
        <f>IF(B570="", "", "1427740")</f>
        <v>0</v>
      </c>
    </row>
    <row r="571" spans="1:4">
      <c r="A571">
        <f>IF(COUNTBLANK(B571:D571)&lt;&gt;COLUMNS(B571:D571),570,"")</f>
        <v>0</v>
      </c>
      <c r="C571" s="1">
        <f>IF(B571="", "", "rat metagenome")</f>
        <v>0</v>
      </c>
      <c r="D571" s="1">
        <f>IF(B571="", "", "1427740")</f>
        <v>0</v>
      </c>
    </row>
    <row r="572" spans="1:4">
      <c r="A572">
        <f>IF(COUNTBLANK(B572:D572)&lt;&gt;COLUMNS(B572:D572),571,"")</f>
        <v>0</v>
      </c>
      <c r="C572" s="1">
        <f>IF(B572="", "", "rat metagenome")</f>
        <v>0</v>
      </c>
      <c r="D572" s="1">
        <f>IF(B572="", "", "1427740")</f>
        <v>0</v>
      </c>
    </row>
    <row r="573" spans="1:4">
      <c r="A573">
        <f>IF(COUNTBLANK(B573:D573)&lt;&gt;COLUMNS(B573:D573),572,"")</f>
        <v>0</v>
      </c>
      <c r="C573" s="1">
        <f>IF(B573="", "", "rat metagenome")</f>
        <v>0</v>
      </c>
      <c r="D573" s="1">
        <f>IF(B573="", "", "1427740")</f>
        <v>0</v>
      </c>
    </row>
    <row r="574" spans="1:4">
      <c r="A574">
        <f>IF(COUNTBLANK(B574:D574)&lt;&gt;COLUMNS(B574:D574),573,"")</f>
        <v>0</v>
      </c>
      <c r="C574" s="1">
        <f>IF(B574="", "", "rat metagenome")</f>
        <v>0</v>
      </c>
      <c r="D574" s="1">
        <f>IF(B574="", "", "1427740")</f>
        <v>0</v>
      </c>
    </row>
    <row r="575" spans="1:4">
      <c r="A575">
        <f>IF(COUNTBLANK(B575:D575)&lt;&gt;COLUMNS(B575:D575),574,"")</f>
        <v>0</v>
      </c>
      <c r="C575" s="1">
        <f>IF(B575="", "", "rat metagenome")</f>
        <v>0</v>
      </c>
      <c r="D575" s="1">
        <f>IF(B575="", "", "1427740")</f>
        <v>0</v>
      </c>
    </row>
    <row r="576" spans="1:4">
      <c r="A576">
        <f>IF(COUNTBLANK(B576:D576)&lt;&gt;COLUMNS(B576:D576),575,"")</f>
        <v>0</v>
      </c>
      <c r="C576" s="1">
        <f>IF(B576="", "", "rat metagenome")</f>
        <v>0</v>
      </c>
      <c r="D576" s="1">
        <f>IF(B576="", "", "1427740")</f>
        <v>0</v>
      </c>
    </row>
    <row r="577" spans="1:4">
      <c r="A577">
        <f>IF(COUNTBLANK(B577:D577)&lt;&gt;COLUMNS(B577:D577),576,"")</f>
        <v>0</v>
      </c>
      <c r="C577" s="1">
        <f>IF(B577="", "", "rat metagenome")</f>
        <v>0</v>
      </c>
      <c r="D577" s="1">
        <f>IF(B577="", "", "1427740")</f>
        <v>0</v>
      </c>
    </row>
    <row r="578" spans="1:4">
      <c r="A578">
        <f>IF(COUNTBLANK(B578:D578)&lt;&gt;COLUMNS(B578:D578),577,"")</f>
        <v>0</v>
      </c>
      <c r="C578" s="1">
        <f>IF(B578="", "", "rat metagenome")</f>
        <v>0</v>
      </c>
      <c r="D578" s="1">
        <f>IF(B578="", "", "1427740")</f>
        <v>0</v>
      </c>
    </row>
    <row r="579" spans="1:4">
      <c r="A579">
        <f>IF(COUNTBLANK(B579:D579)&lt;&gt;COLUMNS(B579:D579),578,"")</f>
        <v>0</v>
      </c>
      <c r="C579" s="1">
        <f>IF(B579="", "", "rat metagenome")</f>
        <v>0</v>
      </c>
      <c r="D579" s="1">
        <f>IF(B579="", "", "1427740")</f>
        <v>0</v>
      </c>
    </row>
    <row r="580" spans="1:4">
      <c r="A580">
        <f>IF(COUNTBLANK(B580:D580)&lt;&gt;COLUMNS(B580:D580),579,"")</f>
        <v>0</v>
      </c>
      <c r="C580" s="1">
        <f>IF(B580="", "", "rat metagenome")</f>
        <v>0</v>
      </c>
      <c r="D580" s="1">
        <f>IF(B580="", "", "1427740")</f>
        <v>0</v>
      </c>
    </row>
    <row r="581" spans="1:4">
      <c r="A581">
        <f>IF(COUNTBLANK(B581:D581)&lt;&gt;COLUMNS(B581:D581),580,"")</f>
        <v>0</v>
      </c>
      <c r="C581" s="1">
        <f>IF(B581="", "", "rat metagenome")</f>
        <v>0</v>
      </c>
      <c r="D581" s="1">
        <f>IF(B581="", "", "1427740")</f>
        <v>0</v>
      </c>
    </row>
    <row r="582" spans="1:4">
      <c r="A582">
        <f>IF(COUNTBLANK(B582:D582)&lt;&gt;COLUMNS(B582:D582),581,"")</f>
        <v>0</v>
      </c>
      <c r="C582" s="1">
        <f>IF(B582="", "", "rat metagenome")</f>
        <v>0</v>
      </c>
      <c r="D582" s="1">
        <f>IF(B582="", "", "1427740")</f>
        <v>0</v>
      </c>
    </row>
    <row r="583" spans="1:4">
      <c r="A583">
        <f>IF(COUNTBLANK(B583:D583)&lt;&gt;COLUMNS(B583:D583),582,"")</f>
        <v>0</v>
      </c>
      <c r="C583" s="1">
        <f>IF(B583="", "", "rat metagenome")</f>
        <v>0</v>
      </c>
      <c r="D583" s="1">
        <f>IF(B583="", "", "1427740")</f>
        <v>0</v>
      </c>
    </row>
    <row r="584" spans="1:4">
      <c r="A584">
        <f>IF(COUNTBLANK(B584:D584)&lt;&gt;COLUMNS(B584:D584),583,"")</f>
        <v>0</v>
      </c>
      <c r="C584" s="1">
        <f>IF(B584="", "", "rat metagenome")</f>
        <v>0</v>
      </c>
      <c r="D584" s="1">
        <f>IF(B584="", "", "1427740")</f>
        <v>0</v>
      </c>
    </row>
    <row r="585" spans="1:4">
      <c r="A585">
        <f>IF(COUNTBLANK(B585:D585)&lt;&gt;COLUMNS(B585:D585),584,"")</f>
        <v>0</v>
      </c>
      <c r="C585" s="1">
        <f>IF(B585="", "", "rat metagenome")</f>
        <v>0</v>
      </c>
      <c r="D585" s="1">
        <f>IF(B585="", "", "1427740")</f>
        <v>0</v>
      </c>
    </row>
    <row r="586" spans="1:4">
      <c r="A586">
        <f>IF(COUNTBLANK(B586:D586)&lt;&gt;COLUMNS(B586:D586),585,"")</f>
        <v>0</v>
      </c>
      <c r="C586" s="1">
        <f>IF(B586="", "", "rat metagenome")</f>
        <v>0</v>
      </c>
      <c r="D586" s="1">
        <f>IF(B586="", "", "1427740")</f>
        <v>0</v>
      </c>
    </row>
    <row r="587" spans="1:4">
      <c r="A587">
        <f>IF(COUNTBLANK(B587:D587)&lt;&gt;COLUMNS(B587:D587),586,"")</f>
        <v>0</v>
      </c>
      <c r="C587" s="1">
        <f>IF(B587="", "", "rat metagenome")</f>
        <v>0</v>
      </c>
      <c r="D587" s="1">
        <f>IF(B587="", "", "1427740")</f>
        <v>0</v>
      </c>
    </row>
    <row r="588" spans="1:4">
      <c r="A588">
        <f>IF(COUNTBLANK(B588:D588)&lt;&gt;COLUMNS(B588:D588),587,"")</f>
        <v>0</v>
      </c>
      <c r="C588" s="1">
        <f>IF(B588="", "", "rat metagenome")</f>
        <v>0</v>
      </c>
      <c r="D588" s="1">
        <f>IF(B588="", "", "1427740")</f>
        <v>0</v>
      </c>
    </row>
    <row r="589" spans="1:4">
      <c r="A589">
        <f>IF(COUNTBLANK(B589:D589)&lt;&gt;COLUMNS(B589:D589),588,"")</f>
        <v>0</v>
      </c>
      <c r="C589" s="1">
        <f>IF(B589="", "", "rat metagenome")</f>
        <v>0</v>
      </c>
      <c r="D589" s="1">
        <f>IF(B589="", "", "1427740")</f>
        <v>0</v>
      </c>
    </row>
    <row r="590" spans="1:4">
      <c r="A590">
        <f>IF(COUNTBLANK(B590:D590)&lt;&gt;COLUMNS(B590:D590),589,"")</f>
        <v>0</v>
      </c>
      <c r="C590" s="1">
        <f>IF(B590="", "", "rat metagenome")</f>
        <v>0</v>
      </c>
      <c r="D590" s="1">
        <f>IF(B590="", "", "1427740")</f>
        <v>0</v>
      </c>
    </row>
    <row r="591" spans="1:4">
      <c r="A591">
        <f>IF(COUNTBLANK(B591:D591)&lt;&gt;COLUMNS(B591:D591),590,"")</f>
        <v>0</v>
      </c>
      <c r="C591" s="1">
        <f>IF(B591="", "", "rat metagenome")</f>
        <v>0</v>
      </c>
      <c r="D591" s="1">
        <f>IF(B591="", "", "1427740")</f>
        <v>0</v>
      </c>
    </row>
    <row r="592" spans="1:4">
      <c r="A592">
        <f>IF(COUNTBLANK(B592:D592)&lt;&gt;COLUMNS(B592:D592),591,"")</f>
        <v>0</v>
      </c>
      <c r="C592" s="1">
        <f>IF(B592="", "", "rat metagenome")</f>
        <v>0</v>
      </c>
      <c r="D592" s="1">
        <f>IF(B592="", "", "1427740")</f>
        <v>0</v>
      </c>
    </row>
    <row r="593" spans="1:4">
      <c r="A593">
        <f>IF(COUNTBLANK(B593:D593)&lt;&gt;COLUMNS(B593:D593),592,"")</f>
        <v>0</v>
      </c>
      <c r="C593" s="1">
        <f>IF(B593="", "", "rat metagenome")</f>
        <v>0</v>
      </c>
      <c r="D593" s="1">
        <f>IF(B593="", "", "1427740")</f>
        <v>0</v>
      </c>
    </row>
    <row r="594" spans="1:4">
      <c r="A594">
        <f>IF(COUNTBLANK(B594:D594)&lt;&gt;COLUMNS(B594:D594),593,"")</f>
        <v>0</v>
      </c>
      <c r="C594" s="1">
        <f>IF(B594="", "", "rat metagenome")</f>
        <v>0</v>
      </c>
      <c r="D594" s="1">
        <f>IF(B594="", "", "1427740")</f>
        <v>0</v>
      </c>
    </row>
    <row r="595" spans="1:4">
      <c r="A595">
        <f>IF(COUNTBLANK(B595:D595)&lt;&gt;COLUMNS(B595:D595),594,"")</f>
        <v>0</v>
      </c>
      <c r="C595" s="1">
        <f>IF(B595="", "", "rat metagenome")</f>
        <v>0</v>
      </c>
      <c r="D595" s="1">
        <f>IF(B595="", "", "1427740")</f>
        <v>0</v>
      </c>
    </row>
    <row r="596" spans="1:4">
      <c r="A596">
        <f>IF(COUNTBLANK(B596:D596)&lt;&gt;COLUMNS(B596:D596),595,"")</f>
        <v>0</v>
      </c>
      <c r="C596" s="1">
        <f>IF(B596="", "", "rat metagenome")</f>
        <v>0</v>
      </c>
      <c r="D596" s="1">
        <f>IF(B596="", "", "1427740")</f>
        <v>0</v>
      </c>
    </row>
    <row r="597" spans="1:4">
      <c r="A597">
        <f>IF(COUNTBLANK(B597:D597)&lt;&gt;COLUMNS(B597:D597),596,"")</f>
        <v>0</v>
      </c>
      <c r="C597" s="1">
        <f>IF(B597="", "", "rat metagenome")</f>
        <v>0</v>
      </c>
      <c r="D597" s="1">
        <f>IF(B597="", "", "1427740")</f>
        <v>0</v>
      </c>
    </row>
    <row r="598" spans="1:4">
      <c r="A598">
        <f>IF(COUNTBLANK(B598:D598)&lt;&gt;COLUMNS(B598:D598),597,"")</f>
        <v>0</v>
      </c>
      <c r="C598" s="1">
        <f>IF(B598="", "", "rat metagenome")</f>
        <v>0</v>
      </c>
      <c r="D598" s="1">
        <f>IF(B598="", "", "1427740")</f>
        <v>0</v>
      </c>
    </row>
    <row r="599" spans="1:4">
      <c r="A599">
        <f>IF(COUNTBLANK(B599:D599)&lt;&gt;COLUMNS(B599:D599),598,"")</f>
        <v>0</v>
      </c>
      <c r="C599" s="1">
        <f>IF(B599="", "", "rat metagenome")</f>
        <v>0</v>
      </c>
      <c r="D599" s="1">
        <f>IF(B599="", "", "1427740")</f>
        <v>0</v>
      </c>
    </row>
    <row r="600" spans="1:4">
      <c r="A600">
        <f>IF(COUNTBLANK(B600:D600)&lt;&gt;COLUMNS(B600:D600),599,"")</f>
        <v>0</v>
      </c>
      <c r="C600" s="1">
        <f>IF(B600="", "", "rat metagenome")</f>
        <v>0</v>
      </c>
      <c r="D600" s="1">
        <f>IF(B600="", "", "1427740")</f>
        <v>0</v>
      </c>
    </row>
    <row r="601" spans="1:4">
      <c r="A601">
        <f>IF(COUNTBLANK(B601:D601)&lt;&gt;COLUMNS(B601:D601),600,"")</f>
        <v>0</v>
      </c>
      <c r="C601" s="1">
        <f>IF(B601="", "", "rat metagenome")</f>
        <v>0</v>
      </c>
      <c r="D601" s="1">
        <f>IF(B601="", "", "1427740")</f>
        <v>0</v>
      </c>
    </row>
    <row r="602" spans="1:4">
      <c r="A602">
        <f>IF(COUNTBLANK(B602:D602)&lt;&gt;COLUMNS(B602:D602),601,"")</f>
        <v>0</v>
      </c>
      <c r="C602" s="1">
        <f>IF(B602="", "", "rat metagenome")</f>
        <v>0</v>
      </c>
      <c r="D602" s="1">
        <f>IF(B602="", "", "1427740")</f>
        <v>0</v>
      </c>
    </row>
    <row r="603" spans="1:4">
      <c r="A603">
        <f>IF(COUNTBLANK(B603:D603)&lt;&gt;COLUMNS(B603:D603),602,"")</f>
        <v>0</v>
      </c>
      <c r="C603" s="1">
        <f>IF(B603="", "", "rat metagenome")</f>
        <v>0</v>
      </c>
      <c r="D603" s="1">
        <f>IF(B603="", "", "1427740")</f>
        <v>0</v>
      </c>
    </row>
    <row r="604" spans="1:4">
      <c r="A604">
        <f>IF(COUNTBLANK(B604:D604)&lt;&gt;COLUMNS(B604:D604),603,"")</f>
        <v>0</v>
      </c>
      <c r="C604" s="1">
        <f>IF(B604="", "", "rat metagenome")</f>
        <v>0</v>
      </c>
      <c r="D604" s="1">
        <f>IF(B604="", "", "1427740")</f>
        <v>0</v>
      </c>
    </row>
    <row r="605" spans="1:4">
      <c r="A605">
        <f>IF(COUNTBLANK(B605:D605)&lt;&gt;COLUMNS(B605:D605),604,"")</f>
        <v>0</v>
      </c>
      <c r="C605" s="1">
        <f>IF(B605="", "", "rat metagenome")</f>
        <v>0</v>
      </c>
      <c r="D605" s="1">
        <f>IF(B605="", "", "1427740")</f>
        <v>0</v>
      </c>
    </row>
    <row r="606" spans="1:4">
      <c r="A606">
        <f>IF(COUNTBLANK(B606:D606)&lt;&gt;COLUMNS(B606:D606),605,"")</f>
        <v>0</v>
      </c>
      <c r="C606" s="1">
        <f>IF(B606="", "", "rat metagenome")</f>
        <v>0</v>
      </c>
      <c r="D606" s="1">
        <f>IF(B606="", "", "1427740")</f>
        <v>0</v>
      </c>
    </row>
    <row r="607" spans="1:4">
      <c r="A607">
        <f>IF(COUNTBLANK(B607:D607)&lt;&gt;COLUMNS(B607:D607),606,"")</f>
        <v>0</v>
      </c>
      <c r="C607" s="1">
        <f>IF(B607="", "", "rat metagenome")</f>
        <v>0</v>
      </c>
      <c r="D607" s="1">
        <f>IF(B607="", "", "1427740")</f>
        <v>0</v>
      </c>
    </row>
    <row r="608" spans="1:4">
      <c r="A608">
        <f>IF(COUNTBLANK(B608:D608)&lt;&gt;COLUMNS(B608:D608),607,"")</f>
        <v>0</v>
      </c>
      <c r="C608" s="1">
        <f>IF(B608="", "", "rat metagenome")</f>
        <v>0</v>
      </c>
      <c r="D608" s="1">
        <f>IF(B608="", "", "1427740")</f>
        <v>0</v>
      </c>
    </row>
    <row r="609" spans="1:4">
      <c r="A609">
        <f>IF(COUNTBLANK(B609:D609)&lt;&gt;COLUMNS(B609:D609),608,"")</f>
        <v>0</v>
      </c>
      <c r="C609" s="1">
        <f>IF(B609="", "", "rat metagenome")</f>
        <v>0</v>
      </c>
      <c r="D609" s="1">
        <f>IF(B609="", "", "1427740")</f>
        <v>0</v>
      </c>
    </row>
    <row r="610" spans="1:4">
      <c r="A610">
        <f>IF(COUNTBLANK(B610:D610)&lt;&gt;COLUMNS(B610:D610),609,"")</f>
        <v>0</v>
      </c>
      <c r="C610" s="1">
        <f>IF(B610="", "", "rat metagenome")</f>
        <v>0</v>
      </c>
      <c r="D610" s="1">
        <f>IF(B610="", "", "1427740")</f>
        <v>0</v>
      </c>
    </row>
    <row r="611" spans="1:4">
      <c r="A611">
        <f>IF(COUNTBLANK(B611:D611)&lt;&gt;COLUMNS(B611:D611),610,"")</f>
        <v>0</v>
      </c>
      <c r="C611" s="1">
        <f>IF(B611="", "", "rat metagenome")</f>
        <v>0</v>
      </c>
      <c r="D611" s="1">
        <f>IF(B611="", "", "1427740")</f>
        <v>0</v>
      </c>
    </row>
    <row r="612" spans="1:4">
      <c r="A612">
        <f>IF(COUNTBLANK(B612:D612)&lt;&gt;COLUMNS(B612:D612),611,"")</f>
        <v>0</v>
      </c>
      <c r="C612" s="1">
        <f>IF(B612="", "", "rat metagenome")</f>
        <v>0</v>
      </c>
      <c r="D612" s="1">
        <f>IF(B612="", "", "1427740")</f>
        <v>0</v>
      </c>
    </row>
    <row r="613" spans="1:4">
      <c r="A613">
        <f>IF(COUNTBLANK(B613:D613)&lt;&gt;COLUMNS(B613:D613),612,"")</f>
        <v>0</v>
      </c>
      <c r="C613" s="1">
        <f>IF(B613="", "", "rat metagenome")</f>
        <v>0</v>
      </c>
      <c r="D613" s="1">
        <f>IF(B613="", "", "1427740")</f>
        <v>0</v>
      </c>
    </row>
    <row r="614" spans="1:4">
      <c r="A614">
        <f>IF(COUNTBLANK(B614:D614)&lt;&gt;COLUMNS(B614:D614),613,"")</f>
        <v>0</v>
      </c>
      <c r="C614" s="1">
        <f>IF(B614="", "", "rat metagenome")</f>
        <v>0</v>
      </c>
      <c r="D614" s="1">
        <f>IF(B614="", "", "1427740")</f>
        <v>0</v>
      </c>
    </row>
    <row r="615" spans="1:4">
      <c r="A615">
        <f>IF(COUNTBLANK(B615:D615)&lt;&gt;COLUMNS(B615:D615),614,"")</f>
        <v>0</v>
      </c>
      <c r="C615" s="1">
        <f>IF(B615="", "", "rat metagenome")</f>
        <v>0</v>
      </c>
      <c r="D615" s="1">
        <f>IF(B615="", "", "1427740")</f>
        <v>0</v>
      </c>
    </row>
    <row r="616" spans="1:4">
      <c r="A616">
        <f>IF(COUNTBLANK(B616:D616)&lt;&gt;COLUMNS(B616:D616),615,"")</f>
        <v>0</v>
      </c>
      <c r="C616" s="1">
        <f>IF(B616="", "", "rat metagenome")</f>
        <v>0</v>
      </c>
      <c r="D616" s="1">
        <f>IF(B616="", "", "1427740")</f>
        <v>0</v>
      </c>
    </row>
    <row r="617" spans="1:4">
      <c r="A617">
        <f>IF(COUNTBLANK(B617:D617)&lt;&gt;COLUMNS(B617:D617),616,"")</f>
        <v>0</v>
      </c>
      <c r="C617" s="1">
        <f>IF(B617="", "", "rat metagenome")</f>
        <v>0</v>
      </c>
      <c r="D617" s="1">
        <f>IF(B617="", "", "1427740")</f>
        <v>0</v>
      </c>
    </row>
    <row r="618" spans="1:4">
      <c r="A618">
        <f>IF(COUNTBLANK(B618:D618)&lt;&gt;COLUMNS(B618:D618),617,"")</f>
        <v>0</v>
      </c>
      <c r="C618" s="1">
        <f>IF(B618="", "", "rat metagenome")</f>
        <v>0</v>
      </c>
      <c r="D618" s="1">
        <f>IF(B618="", "", "1427740")</f>
        <v>0</v>
      </c>
    </row>
    <row r="619" spans="1:4">
      <c r="A619">
        <f>IF(COUNTBLANK(B619:D619)&lt;&gt;COLUMNS(B619:D619),618,"")</f>
        <v>0</v>
      </c>
      <c r="C619" s="1">
        <f>IF(B619="", "", "rat metagenome")</f>
        <v>0</v>
      </c>
      <c r="D619" s="1">
        <f>IF(B619="", "", "1427740")</f>
        <v>0</v>
      </c>
    </row>
    <row r="620" spans="1:4">
      <c r="A620">
        <f>IF(COUNTBLANK(B620:D620)&lt;&gt;COLUMNS(B620:D620),619,"")</f>
        <v>0</v>
      </c>
      <c r="C620" s="1">
        <f>IF(B620="", "", "rat metagenome")</f>
        <v>0</v>
      </c>
      <c r="D620" s="1">
        <f>IF(B620="", "", "1427740")</f>
        <v>0</v>
      </c>
    </row>
    <row r="621" spans="1:4">
      <c r="A621">
        <f>IF(COUNTBLANK(B621:D621)&lt;&gt;COLUMNS(B621:D621),620,"")</f>
        <v>0</v>
      </c>
      <c r="C621" s="1">
        <f>IF(B621="", "", "rat metagenome")</f>
        <v>0</v>
      </c>
      <c r="D621" s="1">
        <f>IF(B621="", "", "1427740")</f>
        <v>0</v>
      </c>
    </row>
    <row r="622" spans="1:4">
      <c r="A622">
        <f>IF(COUNTBLANK(B622:D622)&lt;&gt;COLUMNS(B622:D622),621,"")</f>
        <v>0</v>
      </c>
      <c r="C622" s="1">
        <f>IF(B622="", "", "rat metagenome")</f>
        <v>0</v>
      </c>
      <c r="D622" s="1">
        <f>IF(B622="", "", "1427740")</f>
        <v>0</v>
      </c>
    </row>
    <row r="623" spans="1:4">
      <c r="A623">
        <f>IF(COUNTBLANK(B623:D623)&lt;&gt;COLUMNS(B623:D623),622,"")</f>
        <v>0</v>
      </c>
      <c r="C623" s="1">
        <f>IF(B623="", "", "rat metagenome")</f>
        <v>0</v>
      </c>
      <c r="D623" s="1">
        <f>IF(B623="", "", "1427740")</f>
        <v>0</v>
      </c>
    </row>
    <row r="624" spans="1:4">
      <c r="A624">
        <f>IF(COUNTBLANK(B624:D624)&lt;&gt;COLUMNS(B624:D624),623,"")</f>
        <v>0</v>
      </c>
      <c r="C624" s="1">
        <f>IF(B624="", "", "rat metagenome")</f>
        <v>0</v>
      </c>
      <c r="D624" s="1">
        <f>IF(B624="", "", "1427740")</f>
        <v>0</v>
      </c>
    </row>
    <row r="625" spans="1:4">
      <c r="A625">
        <f>IF(COUNTBLANK(B625:D625)&lt;&gt;COLUMNS(B625:D625),624,"")</f>
        <v>0</v>
      </c>
      <c r="C625" s="1">
        <f>IF(B625="", "", "rat metagenome")</f>
        <v>0</v>
      </c>
      <c r="D625" s="1">
        <f>IF(B625="", "", "1427740")</f>
        <v>0</v>
      </c>
    </row>
    <row r="626" spans="1:4">
      <c r="A626">
        <f>IF(COUNTBLANK(B626:D626)&lt;&gt;COLUMNS(B626:D626),625,"")</f>
        <v>0</v>
      </c>
      <c r="C626" s="1">
        <f>IF(B626="", "", "rat metagenome")</f>
        <v>0</v>
      </c>
      <c r="D626" s="1">
        <f>IF(B626="", "", "1427740")</f>
        <v>0</v>
      </c>
    </row>
    <row r="627" spans="1:4">
      <c r="A627">
        <f>IF(COUNTBLANK(B627:D627)&lt;&gt;COLUMNS(B627:D627),626,"")</f>
        <v>0</v>
      </c>
      <c r="C627" s="1">
        <f>IF(B627="", "", "rat metagenome")</f>
        <v>0</v>
      </c>
      <c r="D627" s="1">
        <f>IF(B627="", "", "1427740")</f>
        <v>0</v>
      </c>
    </row>
    <row r="628" spans="1:4">
      <c r="A628">
        <f>IF(COUNTBLANK(B628:D628)&lt;&gt;COLUMNS(B628:D628),627,"")</f>
        <v>0</v>
      </c>
      <c r="C628" s="1">
        <f>IF(B628="", "", "rat metagenome")</f>
        <v>0</v>
      </c>
      <c r="D628" s="1">
        <f>IF(B628="", "", "1427740")</f>
        <v>0</v>
      </c>
    </row>
    <row r="629" spans="1:4">
      <c r="A629">
        <f>IF(COUNTBLANK(B629:D629)&lt;&gt;COLUMNS(B629:D629),628,"")</f>
        <v>0</v>
      </c>
      <c r="C629" s="1">
        <f>IF(B629="", "", "rat metagenome")</f>
        <v>0</v>
      </c>
      <c r="D629" s="1">
        <f>IF(B629="", "", "1427740")</f>
        <v>0</v>
      </c>
    </row>
    <row r="630" spans="1:4">
      <c r="A630">
        <f>IF(COUNTBLANK(B630:D630)&lt;&gt;COLUMNS(B630:D630),629,"")</f>
        <v>0</v>
      </c>
      <c r="C630" s="1">
        <f>IF(B630="", "", "rat metagenome")</f>
        <v>0</v>
      </c>
      <c r="D630" s="1">
        <f>IF(B630="", "", "1427740")</f>
        <v>0</v>
      </c>
    </row>
    <row r="631" spans="1:4">
      <c r="A631">
        <f>IF(COUNTBLANK(B631:D631)&lt;&gt;COLUMNS(B631:D631),630,"")</f>
        <v>0</v>
      </c>
      <c r="C631" s="1">
        <f>IF(B631="", "", "rat metagenome")</f>
        <v>0</v>
      </c>
      <c r="D631" s="1">
        <f>IF(B631="", "", "1427740")</f>
        <v>0</v>
      </c>
    </row>
    <row r="632" spans="1:4">
      <c r="A632">
        <f>IF(COUNTBLANK(B632:D632)&lt;&gt;COLUMNS(B632:D632),631,"")</f>
        <v>0</v>
      </c>
      <c r="C632" s="1">
        <f>IF(B632="", "", "rat metagenome")</f>
        <v>0</v>
      </c>
      <c r="D632" s="1">
        <f>IF(B632="", "", "1427740")</f>
        <v>0</v>
      </c>
    </row>
    <row r="633" spans="1:4">
      <c r="A633">
        <f>IF(COUNTBLANK(B633:D633)&lt;&gt;COLUMNS(B633:D633),632,"")</f>
        <v>0</v>
      </c>
      <c r="C633" s="1">
        <f>IF(B633="", "", "rat metagenome")</f>
        <v>0</v>
      </c>
      <c r="D633" s="1">
        <f>IF(B633="", "", "1427740")</f>
        <v>0</v>
      </c>
    </row>
    <row r="634" spans="1:4">
      <c r="A634">
        <f>IF(COUNTBLANK(B634:D634)&lt;&gt;COLUMNS(B634:D634),633,"")</f>
        <v>0</v>
      </c>
      <c r="C634" s="1">
        <f>IF(B634="", "", "rat metagenome")</f>
        <v>0</v>
      </c>
      <c r="D634" s="1">
        <f>IF(B634="", "", "1427740")</f>
        <v>0</v>
      </c>
    </row>
    <row r="635" spans="1:4">
      <c r="A635">
        <f>IF(COUNTBLANK(B635:D635)&lt;&gt;COLUMNS(B635:D635),634,"")</f>
        <v>0</v>
      </c>
      <c r="C635" s="1">
        <f>IF(B635="", "", "rat metagenome")</f>
        <v>0</v>
      </c>
      <c r="D635" s="1">
        <f>IF(B635="", "", "1427740")</f>
        <v>0</v>
      </c>
    </row>
    <row r="636" spans="1:4">
      <c r="A636">
        <f>IF(COUNTBLANK(B636:D636)&lt;&gt;COLUMNS(B636:D636),635,"")</f>
        <v>0</v>
      </c>
      <c r="C636" s="1">
        <f>IF(B636="", "", "rat metagenome")</f>
        <v>0</v>
      </c>
      <c r="D636" s="1">
        <f>IF(B636="", "", "1427740")</f>
        <v>0</v>
      </c>
    </row>
    <row r="637" spans="1:4">
      <c r="A637">
        <f>IF(COUNTBLANK(B637:D637)&lt;&gt;COLUMNS(B637:D637),636,"")</f>
        <v>0</v>
      </c>
      <c r="C637" s="1">
        <f>IF(B637="", "", "rat metagenome")</f>
        <v>0</v>
      </c>
      <c r="D637" s="1">
        <f>IF(B637="", "", "1427740")</f>
        <v>0</v>
      </c>
    </row>
    <row r="638" spans="1:4">
      <c r="A638">
        <f>IF(COUNTBLANK(B638:D638)&lt;&gt;COLUMNS(B638:D638),637,"")</f>
        <v>0</v>
      </c>
      <c r="C638" s="1">
        <f>IF(B638="", "", "rat metagenome")</f>
        <v>0</v>
      </c>
      <c r="D638" s="1">
        <f>IF(B638="", "", "1427740")</f>
        <v>0</v>
      </c>
    </row>
    <row r="639" spans="1:4">
      <c r="A639">
        <f>IF(COUNTBLANK(B639:D639)&lt;&gt;COLUMNS(B639:D639),638,"")</f>
        <v>0</v>
      </c>
      <c r="C639" s="1">
        <f>IF(B639="", "", "rat metagenome")</f>
        <v>0</v>
      </c>
      <c r="D639" s="1">
        <f>IF(B639="", "", "1427740")</f>
        <v>0</v>
      </c>
    </row>
    <row r="640" spans="1:4">
      <c r="A640">
        <f>IF(COUNTBLANK(B640:D640)&lt;&gt;COLUMNS(B640:D640),639,"")</f>
        <v>0</v>
      </c>
      <c r="C640" s="1">
        <f>IF(B640="", "", "rat metagenome")</f>
        <v>0</v>
      </c>
      <c r="D640" s="1">
        <f>IF(B640="", "", "1427740")</f>
        <v>0</v>
      </c>
    </row>
    <row r="641" spans="1:4">
      <c r="A641">
        <f>IF(COUNTBLANK(B641:D641)&lt;&gt;COLUMNS(B641:D641),640,"")</f>
        <v>0</v>
      </c>
      <c r="C641" s="1">
        <f>IF(B641="", "", "rat metagenome")</f>
        <v>0</v>
      </c>
      <c r="D641" s="1">
        <f>IF(B641="", "", "1427740")</f>
        <v>0</v>
      </c>
    </row>
    <row r="642" spans="1:4">
      <c r="A642">
        <f>IF(COUNTBLANK(B642:D642)&lt;&gt;COLUMNS(B642:D642),641,"")</f>
        <v>0</v>
      </c>
      <c r="C642" s="1">
        <f>IF(B642="", "", "rat metagenome")</f>
        <v>0</v>
      </c>
      <c r="D642" s="1">
        <f>IF(B642="", "", "1427740")</f>
        <v>0</v>
      </c>
    </row>
    <row r="643" spans="1:4">
      <c r="A643">
        <f>IF(COUNTBLANK(B643:D643)&lt;&gt;COLUMNS(B643:D643),642,"")</f>
        <v>0</v>
      </c>
      <c r="C643" s="1">
        <f>IF(B643="", "", "rat metagenome")</f>
        <v>0</v>
      </c>
      <c r="D643" s="1">
        <f>IF(B643="", "", "1427740")</f>
        <v>0</v>
      </c>
    </row>
    <row r="644" spans="1:4">
      <c r="A644">
        <f>IF(COUNTBLANK(B644:D644)&lt;&gt;COLUMNS(B644:D644),643,"")</f>
        <v>0</v>
      </c>
      <c r="C644" s="1">
        <f>IF(B644="", "", "rat metagenome")</f>
        <v>0</v>
      </c>
      <c r="D644" s="1">
        <f>IF(B644="", "", "1427740")</f>
        <v>0</v>
      </c>
    </row>
    <row r="645" spans="1:4">
      <c r="A645">
        <f>IF(COUNTBLANK(B645:D645)&lt;&gt;COLUMNS(B645:D645),644,"")</f>
        <v>0</v>
      </c>
      <c r="C645" s="1">
        <f>IF(B645="", "", "rat metagenome")</f>
        <v>0</v>
      </c>
      <c r="D645" s="1">
        <f>IF(B645="", "", "1427740")</f>
        <v>0</v>
      </c>
    </row>
    <row r="646" spans="1:4">
      <c r="A646">
        <f>IF(COUNTBLANK(B646:D646)&lt;&gt;COLUMNS(B646:D646),645,"")</f>
        <v>0</v>
      </c>
      <c r="C646" s="1">
        <f>IF(B646="", "", "rat metagenome")</f>
        <v>0</v>
      </c>
      <c r="D646" s="1">
        <f>IF(B646="", "", "1427740")</f>
        <v>0</v>
      </c>
    </row>
    <row r="647" spans="1:4">
      <c r="A647">
        <f>IF(COUNTBLANK(B647:D647)&lt;&gt;COLUMNS(B647:D647),646,"")</f>
        <v>0</v>
      </c>
      <c r="C647" s="1">
        <f>IF(B647="", "", "rat metagenome")</f>
        <v>0</v>
      </c>
      <c r="D647" s="1">
        <f>IF(B647="", "", "1427740")</f>
        <v>0</v>
      </c>
    </row>
    <row r="648" spans="1:4">
      <c r="A648">
        <f>IF(COUNTBLANK(B648:D648)&lt;&gt;COLUMNS(B648:D648),647,"")</f>
        <v>0</v>
      </c>
      <c r="C648" s="1">
        <f>IF(B648="", "", "rat metagenome")</f>
        <v>0</v>
      </c>
      <c r="D648" s="1">
        <f>IF(B648="", "", "1427740")</f>
        <v>0</v>
      </c>
    </row>
    <row r="649" spans="1:4">
      <c r="A649">
        <f>IF(COUNTBLANK(B649:D649)&lt;&gt;COLUMNS(B649:D649),648,"")</f>
        <v>0</v>
      </c>
      <c r="C649" s="1">
        <f>IF(B649="", "", "rat metagenome")</f>
        <v>0</v>
      </c>
      <c r="D649" s="1">
        <f>IF(B649="", "", "1427740")</f>
        <v>0</v>
      </c>
    </row>
    <row r="650" spans="1:4">
      <c r="A650">
        <f>IF(COUNTBLANK(B650:D650)&lt;&gt;COLUMNS(B650:D650),649,"")</f>
        <v>0</v>
      </c>
      <c r="C650" s="1">
        <f>IF(B650="", "", "rat metagenome")</f>
        <v>0</v>
      </c>
      <c r="D650" s="1">
        <f>IF(B650="", "", "1427740")</f>
        <v>0</v>
      </c>
    </row>
    <row r="651" spans="1:4">
      <c r="A651">
        <f>IF(COUNTBLANK(B651:D651)&lt;&gt;COLUMNS(B651:D651),650,"")</f>
        <v>0</v>
      </c>
      <c r="C651" s="1">
        <f>IF(B651="", "", "rat metagenome")</f>
        <v>0</v>
      </c>
      <c r="D651" s="1">
        <f>IF(B651="", "", "1427740")</f>
        <v>0</v>
      </c>
    </row>
    <row r="652" spans="1:4">
      <c r="A652">
        <f>IF(COUNTBLANK(B652:D652)&lt;&gt;COLUMNS(B652:D652),651,"")</f>
        <v>0</v>
      </c>
      <c r="C652" s="1">
        <f>IF(B652="", "", "rat metagenome")</f>
        <v>0</v>
      </c>
      <c r="D652" s="1">
        <f>IF(B652="", "", "1427740")</f>
        <v>0</v>
      </c>
    </row>
    <row r="653" spans="1:4">
      <c r="A653">
        <f>IF(COUNTBLANK(B653:D653)&lt;&gt;COLUMNS(B653:D653),652,"")</f>
        <v>0</v>
      </c>
      <c r="C653" s="1">
        <f>IF(B653="", "", "rat metagenome")</f>
        <v>0</v>
      </c>
      <c r="D653" s="1">
        <f>IF(B653="", "", "1427740")</f>
        <v>0</v>
      </c>
    </row>
    <row r="654" spans="1:4">
      <c r="A654">
        <f>IF(COUNTBLANK(B654:D654)&lt;&gt;COLUMNS(B654:D654),653,"")</f>
        <v>0</v>
      </c>
      <c r="C654" s="1">
        <f>IF(B654="", "", "rat metagenome")</f>
        <v>0</v>
      </c>
      <c r="D654" s="1">
        <f>IF(B654="", "", "1427740")</f>
        <v>0</v>
      </c>
    </row>
    <row r="655" spans="1:4">
      <c r="A655">
        <f>IF(COUNTBLANK(B655:D655)&lt;&gt;COLUMNS(B655:D655),654,"")</f>
        <v>0</v>
      </c>
      <c r="C655" s="1">
        <f>IF(B655="", "", "rat metagenome")</f>
        <v>0</v>
      </c>
      <c r="D655" s="1">
        <f>IF(B655="", "", "1427740")</f>
        <v>0</v>
      </c>
    </row>
    <row r="656" spans="1:4">
      <c r="A656">
        <f>IF(COUNTBLANK(B656:D656)&lt;&gt;COLUMNS(B656:D656),655,"")</f>
        <v>0</v>
      </c>
      <c r="C656" s="1">
        <f>IF(B656="", "", "rat metagenome")</f>
        <v>0</v>
      </c>
      <c r="D656" s="1">
        <f>IF(B656="", "", "1427740")</f>
        <v>0</v>
      </c>
    </row>
    <row r="657" spans="1:4">
      <c r="A657">
        <f>IF(COUNTBLANK(B657:D657)&lt;&gt;COLUMNS(B657:D657),656,"")</f>
        <v>0</v>
      </c>
      <c r="C657" s="1">
        <f>IF(B657="", "", "rat metagenome")</f>
        <v>0</v>
      </c>
      <c r="D657" s="1">
        <f>IF(B657="", "", "1427740")</f>
        <v>0</v>
      </c>
    </row>
    <row r="658" spans="1:4">
      <c r="A658">
        <f>IF(COUNTBLANK(B658:D658)&lt;&gt;COLUMNS(B658:D658),657,"")</f>
        <v>0</v>
      </c>
      <c r="C658" s="1">
        <f>IF(B658="", "", "rat metagenome")</f>
        <v>0</v>
      </c>
      <c r="D658" s="1">
        <f>IF(B658="", "", "1427740")</f>
        <v>0</v>
      </c>
    </row>
    <row r="659" spans="1:4">
      <c r="A659">
        <f>IF(COUNTBLANK(B659:D659)&lt;&gt;COLUMNS(B659:D659),658,"")</f>
        <v>0</v>
      </c>
      <c r="C659" s="1">
        <f>IF(B659="", "", "rat metagenome")</f>
        <v>0</v>
      </c>
      <c r="D659" s="1">
        <f>IF(B659="", "", "1427740")</f>
        <v>0</v>
      </c>
    </row>
    <row r="660" spans="1:4">
      <c r="A660">
        <f>IF(COUNTBLANK(B660:D660)&lt;&gt;COLUMNS(B660:D660),659,"")</f>
        <v>0</v>
      </c>
      <c r="C660" s="1">
        <f>IF(B660="", "", "rat metagenome")</f>
        <v>0</v>
      </c>
      <c r="D660" s="1">
        <f>IF(B660="", "", "1427740")</f>
        <v>0</v>
      </c>
    </row>
    <row r="661" spans="1:4">
      <c r="A661">
        <f>IF(COUNTBLANK(B661:D661)&lt;&gt;COLUMNS(B661:D661),660,"")</f>
        <v>0</v>
      </c>
      <c r="C661" s="1">
        <f>IF(B661="", "", "rat metagenome")</f>
        <v>0</v>
      </c>
      <c r="D661" s="1">
        <f>IF(B661="", "", "1427740")</f>
        <v>0</v>
      </c>
    </row>
    <row r="662" spans="1:4">
      <c r="A662">
        <f>IF(COUNTBLANK(B662:D662)&lt;&gt;COLUMNS(B662:D662),661,"")</f>
        <v>0</v>
      </c>
      <c r="C662" s="1">
        <f>IF(B662="", "", "rat metagenome")</f>
        <v>0</v>
      </c>
      <c r="D662" s="1">
        <f>IF(B662="", "", "1427740")</f>
        <v>0</v>
      </c>
    </row>
    <row r="663" spans="1:4">
      <c r="A663">
        <f>IF(COUNTBLANK(B663:D663)&lt;&gt;COLUMNS(B663:D663),662,"")</f>
        <v>0</v>
      </c>
      <c r="C663" s="1">
        <f>IF(B663="", "", "rat metagenome")</f>
        <v>0</v>
      </c>
      <c r="D663" s="1">
        <f>IF(B663="", "", "1427740")</f>
        <v>0</v>
      </c>
    </row>
    <row r="664" spans="1:4">
      <c r="A664">
        <f>IF(COUNTBLANK(B664:D664)&lt;&gt;COLUMNS(B664:D664),663,"")</f>
        <v>0</v>
      </c>
      <c r="C664" s="1">
        <f>IF(B664="", "", "rat metagenome")</f>
        <v>0</v>
      </c>
      <c r="D664" s="1">
        <f>IF(B664="", "", "1427740")</f>
        <v>0</v>
      </c>
    </row>
    <row r="665" spans="1:4">
      <c r="A665">
        <f>IF(COUNTBLANK(B665:D665)&lt;&gt;COLUMNS(B665:D665),664,"")</f>
        <v>0</v>
      </c>
      <c r="C665" s="1">
        <f>IF(B665="", "", "rat metagenome")</f>
        <v>0</v>
      </c>
      <c r="D665" s="1">
        <f>IF(B665="", "", "1427740")</f>
        <v>0</v>
      </c>
    </row>
    <row r="666" spans="1:4">
      <c r="A666">
        <f>IF(COUNTBLANK(B666:D666)&lt;&gt;COLUMNS(B666:D666),665,"")</f>
        <v>0</v>
      </c>
      <c r="C666" s="1">
        <f>IF(B666="", "", "rat metagenome")</f>
        <v>0</v>
      </c>
      <c r="D666" s="1">
        <f>IF(B666="", "", "1427740")</f>
        <v>0</v>
      </c>
    </row>
    <row r="667" spans="1:4">
      <c r="A667">
        <f>IF(COUNTBLANK(B667:D667)&lt;&gt;COLUMNS(B667:D667),666,"")</f>
        <v>0</v>
      </c>
      <c r="C667" s="1">
        <f>IF(B667="", "", "rat metagenome")</f>
        <v>0</v>
      </c>
      <c r="D667" s="1">
        <f>IF(B667="", "", "1427740")</f>
        <v>0</v>
      </c>
    </row>
    <row r="668" spans="1:4">
      <c r="A668">
        <f>IF(COUNTBLANK(B668:D668)&lt;&gt;COLUMNS(B668:D668),667,"")</f>
        <v>0</v>
      </c>
      <c r="C668" s="1">
        <f>IF(B668="", "", "rat metagenome")</f>
        <v>0</v>
      </c>
      <c r="D668" s="1">
        <f>IF(B668="", "", "1427740")</f>
        <v>0</v>
      </c>
    </row>
    <row r="669" spans="1:4">
      <c r="A669">
        <f>IF(COUNTBLANK(B669:D669)&lt;&gt;COLUMNS(B669:D669),668,"")</f>
        <v>0</v>
      </c>
      <c r="C669" s="1">
        <f>IF(B669="", "", "rat metagenome")</f>
        <v>0</v>
      </c>
      <c r="D669" s="1">
        <f>IF(B669="", "", "1427740")</f>
        <v>0</v>
      </c>
    </row>
    <row r="670" spans="1:4">
      <c r="A670">
        <f>IF(COUNTBLANK(B670:D670)&lt;&gt;COLUMNS(B670:D670),669,"")</f>
        <v>0</v>
      </c>
      <c r="C670" s="1">
        <f>IF(B670="", "", "rat metagenome")</f>
        <v>0</v>
      </c>
      <c r="D670" s="1">
        <f>IF(B670="", "", "1427740")</f>
        <v>0</v>
      </c>
    </row>
    <row r="671" spans="1:4">
      <c r="A671">
        <f>IF(COUNTBLANK(B671:D671)&lt;&gt;COLUMNS(B671:D671),670,"")</f>
        <v>0</v>
      </c>
      <c r="C671" s="1">
        <f>IF(B671="", "", "rat metagenome")</f>
        <v>0</v>
      </c>
      <c r="D671" s="1">
        <f>IF(B671="", "", "1427740")</f>
        <v>0</v>
      </c>
    </row>
    <row r="672" spans="1:4">
      <c r="A672">
        <f>IF(COUNTBLANK(B672:D672)&lt;&gt;COLUMNS(B672:D672),671,"")</f>
        <v>0</v>
      </c>
      <c r="C672" s="1">
        <f>IF(B672="", "", "rat metagenome")</f>
        <v>0</v>
      </c>
      <c r="D672" s="1">
        <f>IF(B672="", "", "1427740")</f>
        <v>0</v>
      </c>
    </row>
    <row r="673" spans="1:4">
      <c r="A673">
        <f>IF(COUNTBLANK(B673:D673)&lt;&gt;COLUMNS(B673:D673),672,"")</f>
        <v>0</v>
      </c>
      <c r="C673" s="1">
        <f>IF(B673="", "", "rat metagenome")</f>
        <v>0</v>
      </c>
      <c r="D673" s="1">
        <f>IF(B673="", "", "1427740")</f>
        <v>0</v>
      </c>
    </row>
    <row r="674" spans="1:4">
      <c r="A674">
        <f>IF(COUNTBLANK(B674:D674)&lt;&gt;COLUMNS(B674:D674),673,"")</f>
        <v>0</v>
      </c>
      <c r="C674" s="1">
        <f>IF(B674="", "", "rat metagenome")</f>
        <v>0</v>
      </c>
      <c r="D674" s="1">
        <f>IF(B674="", "", "1427740")</f>
        <v>0</v>
      </c>
    </row>
    <row r="675" spans="1:4">
      <c r="A675">
        <f>IF(COUNTBLANK(B675:D675)&lt;&gt;COLUMNS(B675:D675),674,"")</f>
        <v>0</v>
      </c>
      <c r="C675" s="1">
        <f>IF(B675="", "", "rat metagenome")</f>
        <v>0</v>
      </c>
      <c r="D675" s="1">
        <f>IF(B675="", "", "1427740")</f>
        <v>0</v>
      </c>
    </row>
    <row r="676" spans="1:4">
      <c r="A676">
        <f>IF(COUNTBLANK(B676:D676)&lt;&gt;COLUMNS(B676:D676),675,"")</f>
        <v>0</v>
      </c>
      <c r="C676" s="1">
        <f>IF(B676="", "", "rat metagenome")</f>
        <v>0</v>
      </c>
      <c r="D676" s="1">
        <f>IF(B676="", "", "1427740")</f>
        <v>0</v>
      </c>
    </row>
    <row r="677" spans="1:4">
      <c r="A677">
        <f>IF(COUNTBLANK(B677:D677)&lt;&gt;COLUMNS(B677:D677),676,"")</f>
        <v>0</v>
      </c>
      <c r="C677" s="1">
        <f>IF(B677="", "", "rat metagenome")</f>
        <v>0</v>
      </c>
      <c r="D677" s="1">
        <f>IF(B677="", "", "1427740")</f>
        <v>0</v>
      </c>
    </row>
    <row r="678" spans="1:4">
      <c r="A678">
        <f>IF(COUNTBLANK(B678:D678)&lt;&gt;COLUMNS(B678:D678),677,"")</f>
        <v>0</v>
      </c>
      <c r="C678" s="1">
        <f>IF(B678="", "", "rat metagenome")</f>
        <v>0</v>
      </c>
      <c r="D678" s="1">
        <f>IF(B678="", "", "1427740")</f>
        <v>0</v>
      </c>
    </row>
    <row r="679" spans="1:4">
      <c r="A679">
        <f>IF(COUNTBLANK(B679:D679)&lt;&gt;COLUMNS(B679:D679),678,"")</f>
        <v>0</v>
      </c>
      <c r="C679" s="1">
        <f>IF(B679="", "", "rat metagenome")</f>
        <v>0</v>
      </c>
      <c r="D679" s="1">
        <f>IF(B679="", "", "1427740")</f>
        <v>0</v>
      </c>
    </row>
    <row r="680" spans="1:4">
      <c r="A680">
        <f>IF(COUNTBLANK(B680:D680)&lt;&gt;COLUMNS(B680:D680),679,"")</f>
        <v>0</v>
      </c>
      <c r="C680" s="1">
        <f>IF(B680="", "", "rat metagenome")</f>
        <v>0</v>
      </c>
      <c r="D680" s="1">
        <f>IF(B680="", "", "1427740")</f>
        <v>0</v>
      </c>
    </row>
    <row r="681" spans="1:4">
      <c r="A681">
        <f>IF(COUNTBLANK(B681:D681)&lt;&gt;COLUMNS(B681:D681),680,"")</f>
        <v>0</v>
      </c>
      <c r="C681" s="1">
        <f>IF(B681="", "", "rat metagenome")</f>
        <v>0</v>
      </c>
      <c r="D681" s="1">
        <f>IF(B681="", "", "1427740")</f>
        <v>0</v>
      </c>
    </row>
    <row r="682" spans="1:4">
      <c r="A682">
        <f>IF(COUNTBLANK(B682:D682)&lt;&gt;COLUMNS(B682:D682),681,"")</f>
        <v>0</v>
      </c>
      <c r="C682" s="1">
        <f>IF(B682="", "", "rat metagenome")</f>
        <v>0</v>
      </c>
      <c r="D682" s="1">
        <f>IF(B682="", "", "1427740")</f>
        <v>0</v>
      </c>
    </row>
    <row r="683" spans="1:4">
      <c r="A683">
        <f>IF(COUNTBLANK(B683:D683)&lt;&gt;COLUMNS(B683:D683),682,"")</f>
        <v>0</v>
      </c>
      <c r="C683" s="1">
        <f>IF(B683="", "", "rat metagenome")</f>
        <v>0</v>
      </c>
      <c r="D683" s="1">
        <f>IF(B683="", "", "1427740")</f>
        <v>0</v>
      </c>
    </row>
    <row r="684" spans="1:4">
      <c r="A684">
        <f>IF(COUNTBLANK(B684:D684)&lt;&gt;COLUMNS(B684:D684),683,"")</f>
        <v>0</v>
      </c>
      <c r="C684" s="1">
        <f>IF(B684="", "", "rat metagenome")</f>
        <v>0</v>
      </c>
      <c r="D684" s="1">
        <f>IF(B684="", "", "1427740")</f>
        <v>0</v>
      </c>
    </row>
    <row r="685" spans="1:4">
      <c r="A685">
        <f>IF(COUNTBLANK(B685:D685)&lt;&gt;COLUMNS(B685:D685),684,"")</f>
        <v>0</v>
      </c>
      <c r="C685" s="1">
        <f>IF(B685="", "", "rat metagenome")</f>
        <v>0</v>
      </c>
      <c r="D685" s="1">
        <f>IF(B685="", "", "1427740")</f>
        <v>0</v>
      </c>
    </row>
    <row r="686" spans="1:4">
      <c r="A686">
        <f>IF(COUNTBLANK(B686:D686)&lt;&gt;COLUMNS(B686:D686),685,"")</f>
        <v>0</v>
      </c>
      <c r="C686" s="1">
        <f>IF(B686="", "", "rat metagenome")</f>
        <v>0</v>
      </c>
      <c r="D686" s="1">
        <f>IF(B686="", "", "1427740")</f>
        <v>0</v>
      </c>
    </row>
    <row r="687" spans="1:4">
      <c r="A687">
        <f>IF(COUNTBLANK(B687:D687)&lt;&gt;COLUMNS(B687:D687),686,"")</f>
        <v>0</v>
      </c>
      <c r="C687" s="1">
        <f>IF(B687="", "", "rat metagenome")</f>
        <v>0</v>
      </c>
      <c r="D687" s="1">
        <f>IF(B687="", "", "1427740")</f>
        <v>0</v>
      </c>
    </row>
    <row r="688" spans="1:4">
      <c r="A688">
        <f>IF(COUNTBLANK(B688:D688)&lt;&gt;COLUMNS(B688:D688),687,"")</f>
        <v>0</v>
      </c>
      <c r="C688" s="1">
        <f>IF(B688="", "", "rat metagenome")</f>
        <v>0</v>
      </c>
      <c r="D688" s="1">
        <f>IF(B688="", "", "1427740")</f>
        <v>0</v>
      </c>
    </row>
    <row r="689" spans="1:4">
      <c r="A689">
        <f>IF(COUNTBLANK(B689:D689)&lt;&gt;COLUMNS(B689:D689),688,"")</f>
        <v>0</v>
      </c>
      <c r="C689" s="1">
        <f>IF(B689="", "", "rat metagenome")</f>
        <v>0</v>
      </c>
      <c r="D689" s="1">
        <f>IF(B689="", "", "1427740")</f>
        <v>0</v>
      </c>
    </row>
    <row r="690" spans="1:4">
      <c r="A690">
        <f>IF(COUNTBLANK(B690:D690)&lt;&gt;COLUMNS(B690:D690),689,"")</f>
        <v>0</v>
      </c>
      <c r="C690" s="1">
        <f>IF(B690="", "", "rat metagenome")</f>
        <v>0</v>
      </c>
      <c r="D690" s="1">
        <f>IF(B690="", "", "1427740")</f>
        <v>0</v>
      </c>
    </row>
    <row r="691" spans="1:4">
      <c r="A691">
        <f>IF(COUNTBLANK(B691:D691)&lt;&gt;COLUMNS(B691:D691),690,"")</f>
        <v>0</v>
      </c>
      <c r="C691" s="1">
        <f>IF(B691="", "", "rat metagenome")</f>
        <v>0</v>
      </c>
      <c r="D691" s="1">
        <f>IF(B691="", "", "1427740")</f>
        <v>0</v>
      </c>
    </row>
    <row r="692" spans="1:4">
      <c r="A692">
        <f>IF(COUNTBLANK(B692:D692)&lt;&gt;COLUMNS(B692:D692),691,"")</f>
        <v>0</v>
      </c>
      <c r="C692" s="1">
        <f>IF(B692="", "", "rat metagenome")</f>
        <v>0</v>
      </c>
      <c r="D692" s="1">
        <f>IF(B692="", "", "1427740")</f>
        <v>0</v>
      </c>
    </row>
    <row r="693" spans="1:4">
      <c r="A693">
        <f>IF(COUNTBLANK(B693:D693)&lt;&gt;COLUMNS(B693:D693),692,"")</f>
        <v>0</v>
      </c>
      <c r="C693" s="1">
        <f>IF(B693="", "", "rat metagenome")</f>
        <v>0</v>
      </c>
      <c r="D693" s="1">
        <f>IF(B693="", "", "1427740")</f>
        <v>0</v>
      </c>
    </row>
    <row r="694" spans="1:4">
      <c r="A694">
        <f>IF(COUNTBLANK(B694:D694)&lt;&gt;COLUMNS(B694:D694),693,"")</f>
        <v>0</v>
      </c>
      <c r="C694" s="1">
        <f>IF(B694="", "", "rat metagenome")</f>
        <v>0</v>
      </c>
      <c r="D694" s="1">
        <f>IF(B694="", "", "1427740")</f>
        <v>0</v>
      </c>
    </row>
    <row r="695" spans="1:4">
      <c r="A695">
        <f>IF(COUNTBLANK(B695:D695)&lt;&gt;COLUMNS(B695:D695),694,"")</f>
        <v>0</v>
      </c>
      <c r="C695" s="1">
        <f>IF(B695="", "", "rat metagenome")</f>
        <v>0</v>
      </c>
      <c r="D695" s="1">
        <f>IF(B695="", "", "1427740")</f>
        <v>0</v>
      </c>
    </row>
    <row r="696" spans="1:4">
      <c r="A696">
        <f>IF(COUNTBLANK(B696:D696)&lt;&gt;COLUMNS(B696:D696),695,"")</f>
        <v>0</v>
      </c>
      <c r="C696" s="1">
        <f>IF(B696="", "", "rat metagenome")</f>
        <v>0</v>
      </c>
      <c r="D696" s="1">
        <f>IF(B696="", "", "1427740")</f>
        <v>0</v>
      </c>
    </row>
    <row r="697" spans="1:4">
      <c r="A697">
        <f>IF(COUNTBLANK(B697:D697)&lt;&gt;COLUMNS(B697:D697),696,"")</f>
        <v>0</v>
      </c>
      <c r="C697" s="1">
        <f>IF(B697="", "", "rat metagenome")</f>
        <v>0</v>
      </c>
      <c r="D697" s="1">
        <f>IF(B697="", "", "1427740")</f>
        <v>0</v>
      </c>
    </row>
    <row r="698" spans="1:4">
      <c r="A698">
        <f>IF(COUNTBLANK(B698:D698)&lt;&gt;COLUMNS(B698:D698),697,"")</f>
        <v>0</v>
      </c>
      <c r="C698" s="1">
        <f>IF(B698="", "", "rat metagenome")</f>
        <v>0</v>
      </c>
      <c r="D698" s="1">
        <f>IF(B698="", "", "1427740")</f>
        <v>0</v>
      </c>
    </row>
    <row r="699" spans="1:4">
      <c r="A699">
        <f>IF(COUNTBLANK(B699:D699)&lt;&gt;COLUMNS(B699:D699),698,"")</f>
        <v>0</v>
      </c>
      <c r="C699" s="1">
        <f>IF(B699="", "", "rat metagenome")</f>
        <v>0</v>
      </c>
      <c r="D699" s="1">
        <f>IF(B699="", "", "1427740")</f>
        <v>0</v>
      </c>
    </row>
    <row r="700" spans="1:4">
      <c r="A700">
        <f>IF(COUNTBLANK(B700:D700)&lt;&gt;COLUMNS(B700:D700),699,"")</f>
        <v>0</v>
      </c>
      <c r="C700" s="1">
        <f>IF(B700="", "", "rat metagenome")</f>
        <v>0</v>
      </c>
      <c r="D700" s="1">
        <f>IF(B700="", "", "1427740")</f>
        <v>0</v>
      </c>
    </row>
    <row r="701" spans="1:4">
      <c r="A701">
        <f>IF(COUNTBLANK(B701:D701)&lt;&gt;COLUMNS(B701:D701),700,"")</f>
        <v>0</v>
      </c>
      <c r="C701" s="1">
        <f>IF(B701="", "", "rat metagenome")</f>
        <v>0</v>
      </c>
      <c r="D701" s="1">
        <f>IF(B701="", "", "1427740")</f>
        <v>0</v>
      </c>
    </row>
    <row r="702" spans="1:4">
      <c r="A702">
        <f>IF(COUNTBLANK(B702:D702)&lt;&gt;COLUMNS(B702:D702),701,"")</f>
        <v>0</v>
      </c>
      <c r="C702" s="1">
        <f>IF(B702="", "", "rat metagenome")</f>
        <v>0</v>
      </c>
      <c r="D702" s="1">
        <f>IF(B702="", "", "1427740")</f>
        <v>0</v>
      </c>
    </row>
    <row r="703" spans="1:4">
      <c r="A703">
        <f>IF(COUNTBLANK(B703:D703)&lt;&gt;COLUMNS(B703:D703),702,"")</f>
        <v>0</v>
      </c>
      <c r="C703" s="1">
        <f>IF(B703="", "", "rat metagenome")</f>
        <v>0</v>
      </c>
      <c r="D703" s="1">
        <f>IF(B703="", "", "1427740")</f>
        <v>0</v>
      </c>
    </row>
    <row r="704" spans="1:4">
      <c r="A704">
        <f>IF(COUNTBLANK(B704:D704)&lt;&gt;COLUMNS(B704:D704),703,"")</f>
        <v>0</v>
      </c>
      <c r="C704" s="1">
        <f>IF(B704="", "", "rat metagenome")</f>
        <v>0</v>
      </c>
      <c r="D704" s="1">
        <f>IF(B704="", "", "1427740")</f>
        <v>0</v>
      </c>
    </row>
    <row r="705" spans="1:4">
      <c r="A705">
        <f>IF(COUNTBLANK(B705:D705)&lt;&gt;COLUMNS(B705:D705),704,"")</f>
        <v>0</v>
      </c>
      <c r="C705" s="1">
        <f>IF(B705="", "", "rat metagenome")</f>
        <v>0</v>
      </c>
      <c r="D705" s="1">
        <f>IF(B705="", "", "1427740")</f>
        <v>0</v>
      </c>
    </row>
    <row r="706" spans="1:4">
      <c r="A706">
        <f>IF(COUNTBLANK(B706:D706)&lt;&gt;COLUMNS(B706:D706),705,"")</f>
        <v>0</v>
      </c>
      <c r="C706" s="1">
        <f>IF(B706="", "", "rat metagenome")</f>
        <v>0</v>
      </c>
      <c r="D706" s="1">
        <f>IF(B706="", "", "1427740")</f>
        <v>0</v>
      </c>
    </row>
    <row r="707" spans="1:4">
      <c r="A707">
        <f>IF(COUNTBLANK(B707:D707)&lt;&gt;COLUMNS(B707:D707),706,"")</f>
        <v>0</v>
      </c>
      <c r="C707" s="1">
        <f>IF(B707="", "", "rat metagenome")</f>
        <v>0</v>
      </c>
      <c r="D707" s="1">
        <f>IF(B707="", "", "1427740")</f>
        <v>0</v>
      </c>
    </row>
    <row r="708" spans="1:4">
      <c r="A708">
        <f>IF(COUNTBLANK(B708:D708)&lt;&gt;COLUMNS(B708:D708),707,"")</f>
        <v>0</v>
      </c>
      <c r="C708" s="1">
        <f>IF(B708="", "", "rat metagenome")</f>
        <v>0</v>
      </c>
      <c r="D708" s="1">
        <f>IF(B708="", "", "1427740")</f>
        <v>0</v>
      </c>
    </row>
    <row r="709" spans="1:4">
      <c r="A709">
        <f>IF(COUNTBLANK(B709:D709)&lt;&gt;COLUMNS(B709:D709),708,"")</f>
        <v>0</v>
      </c>
      <c r="C709" s="1">
        <f>IF(B709="", "", "rat metagenome")</f>
        <v>0</v>
      </c>
      <c r="D709" s="1">
        <f>IF(B709="", "", "1427740")</f>
        <v>0</v>
      </c>
    </row>
    <row r="710" spans="1:4">
      <c r="A710">
        <f>IF(COUNTBLANK(B710:D710)&lt;&gt;COLUMNS(B710:D710),709,"")</f>
        <v>0</v>
      </c>
      <c r="C710" s="1">
        <f>IF(B710="", "", "rat metagenome")</f>
        <v>0</v>
      </c>
      <c r="D710" s="1">
        <f>IF(B710="", "", "1427740")</f>
        <v>0</v>
      </c>
    </row>
    <row r="711" spans="1:4">
      <c r="A711">
        <f>IF(COUNTBLANK(B711:D711)&lt;&gt;COLUMNS(B711:D711),710,"")</f>
        <v>0</v>
      </c>
      <c r="C711" s="1">
        <f>IF(B711="", "", "rat metagenome")</f>
        <v>0</v>
      </c>
      <c r="D711" s="1">
        <f>IF(B711="", "", "1427740")</f>
        <v>0</v>
      </c>
    </row>
    <row r="712" spans="1:4">
      <c r="A712">
        <f>IF(COUNTBLANK(B712:D712)&lt;&gt;COLUMNS(B712:D712),711,"")</f>
        <v>0</v>
      </c>
      <c r="C712" s="1">
        <f>IF(B712="", "", "rat metagenome")</f>
        <v>0</v>
      </c>
      <c r="D712" s="1">
        <f>IF(B712="", "", "1427740")</f>
        <v>0</v>
      </c>
    </row>
    <row r="713" spans="1:4">
      <c r="A713">
        <f>IF(COUNTBLANK(B713:D713)&lt;&gt;COLUMNS(B713:D713),712,"")</f>
        <v>0</v>
      </c>
      <c r="C713" s="1">
        <f>IF(B713="", "", "rat metagenome")</f>
        <v>0</v>
      </c>
      <c r="D713" s="1">
        <f>IF(B713="", "", "1427740")</f>
        <v>0</v>
      </c>
    </row>
    <row r="714" spans="1:4">
      <c r="A714">
        <f>IF(COUNTBLANK(B714:D714)&lt;&gt;COLUMNS(B714:D714),713,"")</f>
        <v>0</v>
      </c>
      <c r="C714" s="1">
        <f>IF(B714="", "", "rat metagenome")</f>
        <v>0</v>
      </c>
      <c r="D714" s="1">
        <f>IF(B714="", "", "1427740")</f>
        <v>0</v>
      </c>
    </row>
    <row r="715" spans="1:4">
      <c r="A715">
        <f>IF(COUNTBLANK(B715:D715)&lt;&gt;COLUMNS(B715:D715),714,"")</f>
        <v>0</v>
      </c>
      <c r="C715" s="1">
        <f>IF(B715="", "", "rat metagenome")</f>
        <v>0</v>
      </c>
      <c r="D715" s="1">
        <f>IF(B715="", "", "1427740")</f>
        <v>0</v>
      </c>
    </row>
    <row r="716" spans="1:4">
      <c r="A716">
        <f>IF(COUNTBLANK(B716:D716)&lt;&gt;COLUMNS(B716:D716),715,"")</f>
        <v>0</v>
      </c>
      <c r="C716" s="1">
        <f>IF(B716="", "", "rat metagenome")</f>
        <v>0</v>
      </c>
      <c r="D716" s="1">
        <f>IF(B716="", "", "1427740")</f>
        <v>0</v>
      </c>
    </row>
    <row r="717" spans="1:4">
      <c r="A717">
        <f>IF(COUNTBLANK(B717:D717)&lt;&gt;COLUMNS(B717:D717),716,"")</f>
        <v>0</v>
      </c>
      <c r="C717" s="1">
        <f>IF(B717="", "", "rat metagenome")</f>
        <v>0</v>
      </c>
      <c r="D717" s="1">
        <f>IF(B717="", "", "1427740")</f>
        <v>0</v>
      </c>
    </row>
    <row r="718" spans="1:4">
      <c r="A718">
        <f>IF(COUNTBLANK(B718:D718)&lt;&gt;COLUMNS(B718:D718),717,"")</f>
        <v>0</v>
      </c>
      <c r="C718" s="1">
        <f>IF(B718="", "", "rat metagenome")</f>
        <v>0</v>
      </c>
      <c r="D718" s="1">
        <f>IF(B718="", "", "1427740")</f>
        <v>0</v>
      </c>
    </row>
    <row r="719" spans="1:4">
      <c r="A719">
        <f>IF(COUNTBLANK(B719:D719)&lt;&gt;COLUMNS(B719:D719),718,"")</f>
        <v>0</v>
      </c>
      <c r="C719" s="1">
        <f>IF(B719="", "", "rat metagenome")</f>
        <v>0</v>
      </c>
      <c r="D719" s="1">
        <f>IF(B719="", "", "1427740")</f>
        <v>0</v>
      </c>
    </row>
    <row r="720" spans="1:4">
      <c r="A720">
        <f>IF(COUNTBLANK(B720:D720)&lt;&gt;COLUMNS(B720:D720),719,"")</f>
        <v>0</v>
      </c>
      <c r="C720" s="1">
        <f>IF(B720="", "", "rat metagenome")</f>
        <v>0</v>
      </c>
      <c r="D720" s="1">
        <f>IF(B720="", "", "1427740")</f>
        <v>0</v>
      </c>
    </row>
    <row r="721" spans="1:4">
      <c r="A721">
        <f>IF(COUNTBLANK(B721:D721)&lt;&gt;COLUMNS(B721:D721),720,"")</f>
        <v>0</v>
      </c>
      <c r="C721" s="1">
        <f>IF(B721="", "", "rat metagenome")</f>
        <v>0</v>
      </c>
      <c r="D721" s="1">
        <f>IF(B721="", "", "1427740")</f>
        <v>0</v>
      </c>
    </row>
    <row r="722" spans="1:4">
      <c r="A722">
        <f>IF(COUNTBLANK(B722:D722)&lt;&gt;COLUMNS(B722:D722),721,"")</f>
        <v>0</v>
      </c>
      <c r="C722" s="1">
        <f>IF(B722="", "", "rat metagenome")</f>
        <v>0</v>
      </c>
      <c r="D722" s="1">
        <f>IF(B722="", "", "1427740")</f>
        <v>0</v>
      </c>
    </row>
    <row r="723" spans="1:4">
      <c r="A723">
        <f>IF(COUNTBLANK(B723:D723)&lt;&gt;COLUMNS(B723:D723),722,"")</f>
        <v>0</v>
      </c>
      <c r="C723" s="1">
        <f>IF(B723="", "", "rat metagenome")</f>
        <v>0</v>
      </c>
      <c r="D723" s="1">
        <f>IF(B723="", "", "1427740")</f>
        <v>0</v>
      </c>
    </row>
    <row r="724" spans="1:4">
      <c r="A724">
        <f>IF(COUNTBLANK(B724:D724)&lt;&gt;COLUMNS(B724:D724),723,"")</f>
        <v>0</v>
      </c>
      <c r="C724" s="1">
        <f>IF(B724="", "", "rat metagenome")</f>
        <v>0</v>
      </c>
      <c r="D724" s="1">
        <f>IF(B724="", "", "1427740")</f>
        <v>0</v>
      </c>
    </row>
    <row r="725" spans="1:4">
      <c r="A725">
        <f>IF(COUNTBLANK(B725:D725)&lt;&gt;COLUMNS(B725:D725),724,"")</f>
        <v>0</v>
      </c>
      <c r="C725" s="1">
        <f>IF(B725="", "", "rat metagenome")</f>
        <v>0</v>
      </c>
      <c r="D725" s="1">
        <f>IF(B725="", "", "1427740")</f>
        <v>0</v>
      </c>
    </row>
    <row r="726" spans="1:4">
      <c r="A726">
        <f>IF(COUNTBLANK(B726:D726)&lt;&gt;COLUMNS(B726:D726),725,"")</f>
        <v>0</v>
      </c>
      <c r="C726" s="1">
        <f>IF(B726="", "", "rat metagenome")</f>
        <v>0</v>
      </c>
      <c r="D726" s="1">
        <f>IF(B726="", "", "1427740")</f>
        <v>0</v>
      </c>
    </row>
    <row r="727" spans="1:4">
      <c r="A727">
        <f>IF(COUNTBLANK(B727:D727)&lt;&gt;COLUMNS(B727:D727),726,"")</f>
        <v>0</v>
      </c>
      <c r="C727" s="1">
        <f>IF(B727="", "", "rat metagenome")</f>
        <v>0</v>
      </c>
      <c r="D727" s="1">
        <f>IF(B727="", "", "1427740")</f>
        <v>0</v>
      </c>
    </row>
    <row r="728" spans="1:4">
      <c r="A728">
        <f>IF(COUNTBLANK(B728:D728)&lt;&gt;COLUMNS(B728:D728),727,"")</f>
        <v>0</v>
      </c>
      <c r="C728" s="1">
        <f>IF(B728="", "", "rat metagenome")</f>
        <v>0</v>
      </c>
      <c r="D728" s="1">
        <f>IF(B728="", "", "1427740")</f>
        <v>0</v>
      </c>
    </row>
    <row r="729" spans="1:4">
      <c r="A729">
        <f>IF(COUNTBLANK(B729:D729)&lt;&gt;COLUMNS(B729:D729),728,"")</f>
        <v>0</v>
      </c>
      <c r="C729" s="1">
        <f>IF(B729="", "", "rat metagenome")</f>
        <v>0</v>
      </c>
      <c r="D729" s="1">
        <f>IF(B729="", "", "1427740")</f>
        <v>0</v>
      </c>
    </row>
    <row r="730" spans="1:4">
      <c r="A730">
        <f>IF(COUNTBLANK(B730:D730)&lt;&gt;COLUMNS(B730:D730),729,"")</f>
        <v>0</v>
      </c>
      <c r="C730" s="1">
        <f>IF(B730="", "", "rat metagenome")</f>
        <v>0</v>
      </c>
      <c r="D730" s="1">
        <f>IF(B730="", "", "1427740")</f>
        <v>0</v>
      </c>
    </row>
    <row r="731" spans="1:4">
      <c r="A731">
        <f>IF(COUNTBLANK(B731:D731)&lt;&gt;COLUMNS(B731:D731),730,"")</f>
        <v>0</v>
      </c>
      <c r="C731" s="1">
        <f>IF(B731="", "", "rat metagenome")</f>
        <v>0</v>
      </c>
      <c r="D731" s="1">
        <f>IF(B731="", "", "1427740")</f>
        <v>0</v>
      </c>
    </row>
    <row r="732" spans="1:4">
      <c r="A732">
        <f>IF(COUNTBLANK(B732:D732)&lt;&gt;COLUMNS(B732:D732),731,"")</f>
        <v>0</v>
      </c>
      <c r="C732" s="1">
        <f>IF(B732="", "", "rat metagenome")</f>
        <v>0</v>
      </c>
      <c r="D732" s="1">
        <f>IF(B732="", "", "1427740")</f>
        <v>0</v>
      </c>
    </row>
    <row r="733" spans="1:4">
      <c r="A733">
        <f>IF(COUNTBLANK(B733:D733)&lt;&gt;COLUMNS(B733:D733),732,"")</f>
        <v>0</v>
      </c>
      <c r="C733" s="1">
        <f>IF(B733="", "", "rat metagenome")</f>
        <v>0</v>
      </c>
      <c r="D733" s="1">
        <f>IF(B733="", "", "1427740")</f>
        <v>0</v>
      </c>
    </row>
    <row r="734" spans="1:4">
      <c r="A734">
        <f>IF(COUNTBLANK(B734:D734)&lt;&gt;COLUMNS(B734:D734),733,"")</f>
        <v>0</v>
      </c>
      <c r="C734" s="1">
        <f>IF(B734="", "", "rat metagenome")</f>
        <v>0</v>
      </c>
      <c r="D734" s="1">
        <f>IF(B734="", "", "1427740")</f>
        <v>0</v>
      </c>
    </row>
    <row r="735" spans="1:4">
      <c r="A735">
        <f>IF(COUNTBLANK(B735:D735)&lt;&gt;COLUMNS(B735:D735),734,"")</f>
        <v>0</v>
      </c>
      <c r="C735" s="1">
        <f>IF(B735="", "", "rat metagenome")</f>
        <v>0</v>
      </c>
      <c r="D735" s="1">
        <f>IF(B735="", "", "1427740")</f>
        <v>0</v>
      </c>
    </row>
    <row r="736" spans="1:4">
      <c r="A736">
        <f>IF(COUNTBLANK(B736:D736)&lt;&gt;COLUMNS(B736:D736),735,"")</f>
        <v>0</v>
      </c>
      <c r="C736" s="1">
        <f>IF(B736="", "", "rat metagenome")</f>
        <v>0</v>
      </c>
      <c r="D736" s="1">
        <f>IF(B736="", "", "1427740")</f>
        <v>0</v>
      </c>
    </row>
    <row r="737" spans="1:4">
      <c r="A737">
        <f>IF(COUNTBLANK(B737:D737)&lt;&gt;COLUMNS(B737:D737),736,"")</f>
        <v>0</v>
      </c>
      <c r="C737" s="1">
        <f>IF(B737="", "", "rat metagenome")</f>
        <v>0</v>
      </c>
      <c r="D737" s="1">
        <f>IF(B737="", "", "1427740")</f>
        <v>0</v>
      </c>
    </row>
    <row r="738" spans="1:4">
      <c r="A738">
        <f>IF(COUNTBLANK(B738:D738)&lt;&gt;COLUMNS(B738:D738),737,"")</f>
        <v>0</v>
      </c>
      <c r="C738" s="1">
        <f>IF(B738="", "", "rat metagenome")</f>
        <v>0</v>
      </c>
      <c r="D738" s="1">
        <f>IF(B738="", "", "1427740")</f>
        <v>0</v>
      </c>
    </row>
    <row r="739" spans="1:4">
      <c r="A739">
        <f>IF(COUNTBLANK(B739:D739)&lt;&gt;COLUMNS(B739:D739),738,"")</f>
        <v>0</v>
      </c>
      <c r="C739" s="1">
        <f>IF(B739="", "", "rat metagenome")</f>
        <v>0</v>
      </c>
      <c r="D739" s="1">
        <f>IF(B739="", "", "1427740")</f>
        <v>0</v>
      </c>
    </row>
    <row r="740" spans="1:4">
      <c r="A740">
        <f>IF(COUNTBLANK(B740:D740)&lt;&gt;COLUMNS(B740:D740),739,"")</f>
        <v>0</v>
      </c>
      <c r="C740" s="1">
        <f>IF(B740="", "", "rat metagenome")</f>
        <v>0</v>
      </c>
      <c r="D740" s="1">
        <f>IF(B740="", "", "1427740")</f>
        <v>0</v>
      </c>
    </row>
    <row r="741" spans="1:4">
      <c r="A741">
        <f>IF(COUNTBLANK(B741:D741)&lt;&gt;COLUMNS(B741:D741),740,"")</f>
        <v>0</v>
      </c>
      <c r="C741" s="1">
        <f>IF(B741="", "", "rat metagenome")</f>
        <v>0</v>
      </c>
      <c r="D741" s="1">
        <f>IF(B741="", "", "1427740")</f>
        <v>0</v>
      </c>
    </row>
    <row r="742" spans="1:4">
      <c r="A742">
        <f>IF(COUNTBLANK(B742:D742)&lt;&gt;COLUMNS(B742:D742),741,"")</f>
        <v>0</v>
      </c>
      <c r="C742" s="1">
        <f>IF(B742="", "", "rat metagenome")</f>
        <v>0</v>
      </c>
      <c r="D742" s="1">
        <f>IF(B742="", "", "1427740")</f>
        <v>0</v>
      </c>
    </row>
    <row r="743" spans="1:4">
      <c r="A743">
        <f>IF(COUNTBLANK(B743:D743)&lt;&gt;COLUMNS(B743:D743),742,"")</f>
        <v>0</v>
      </c>
      <c r="C743" s="1">
        <f>IF(B743="", "", "rat metagenome")</f>
        <v>0</v>
      </c>
      <c r="D743" s="1">
        <f>IF(B743="", "", "1427740")</f>
        <v>0</v>
      </c>
    </row>
    <row r="744" spans="1:4">
      <c r="A744">
        <f>IF(COUNTBLANK(B744:D744)&lt;&gt;COLUMNS(B744:D744),743,"")</f>
        <v>0</v>
      </c>
      <c r="C744" s="1">
        <f>IF(B744="", "", "rat metagenome")</f>
        <v>0</v>
      </c>
      <c r="D744" s="1">
        <f>IF(B744="", "", "1427740")</f>
        <v>0</v>
      </c>
    </row>
    <row r="745" spans="1:4">
      <c r="A745">
        <f>IF(COUNTBLANK(B745:D745)&lt;&gt;COLUMNS(B745:D745),744,"")</f>
        <v>0</v>
      </c>
      <c r="C745" s="1">
        <f>IF(B745="", "", "rat metagenome")</f>
        <v>0</v>
      </c>
      <c r="D745" s="1">
        <f>IF(B745="", "", "1427740")</f>
        <v>0</v>
      </c>
    </row>
    <row r="746" spans="1:4">
      <c r="A746">
        <f>IF(COUNTBLANK(B746:D746)&lt;&gt;COLUMNS(B746:D746),745,"")</f>
        <v>0</v>
      </c>
      <c r="C746" s="1">
        <f>IF(B746="", "", "rat metagenome")</f>
        <v>0</v>
      </c>
      <c r="D746" s="1">
        <f>IF(B746="", "", "1427740")</f>
        <v>0</v>
      </c>
    </row>
    <row r="747" spans="1:4">
      <c r="A747">
        <f>IF(COUNTBLANK(B747:D747)&lt;&gt;COLUMNS(B747:D747),746,"")</f>
        <v>0</v>
      </c>
      <c r="C747" s="1">
        <f>IF(B747="", "", "rat metagenome")</f>
        <v>0</v>
      </c>
      <c r="D747" s="1">
        <f>IF(B747="", "", "1427740")</f>
        <v>0</v>
      </c>
    </row>
    <row r="748" spans="1:4">
      <c r="A748">
        <f>IF(COUNTBLANK(B748:D748)&lt;&gt;COLUMNS(B748:D748),747,"")</f>
        <v>0</v>
      </c>
      <c r="C748" s="1">
        <f>IF(B748="", "", "rat metagenome")</f>
        <v>0</v>
      </c>
      <c r="D748" s="1">
        <f>IF(B748="", "", "1427740")</f>
        <v>0</v>
      </c>
    </row>
    <row r="749" spans="1:4">
      <c r="A749">
        <f>IF(COUNTBLANK(B749:D749)&lt;&gt;COLUMNS(B749:D749),748,"")</f>
        <v>0</v>
      </c>
      <c r="C749" s="1">
        <f>IF(B749="", "", "rat metagenome")</f>
        <v>0</v>
      </c>
      <c r="D749" s="1">
        <f>IF(B749="", "", "1427740")</f>
        <v>0</v>
      </c>
    </row>
    <row r="750" spans="1:4">
      <c r="A750">
        <f>IF(COUNTBLANK(B750:D750)&lt;&gt;COLUMNS(B750:D750),749,"")</f>
        <v>0</v>
      </c>
      <c r="C750" s="1">
        <f>IF(B750="", "", "rat metagenome")</f>
        <v>0</v>
      </c>
      <c r="D750" s="1">
        <f>IF(B750="", "", "1427740")</f>
        <v>0</v>
      </c>
    </row>
    <row r="751" spans="1:4">
      <c r="A751">
        <f>IF(COUNTBLANK(B751:D751)&lt;&gt;COLUMNS(B751:D751),750,"")</f>
        <v>0</v>
      </c>
      <c r="C751" s="1">
        <f>IF(B751="", "", "rat metagenome")</f>
        <v>0</v>
      </c>
      <c r="D751" s="1">
        <f>IF(B751="", "", "1427740")</f>
        <v>0</v>
      </c>
    </row>
    <row r="752" spans="1:4">
      <c r="A752">
        <f>IF(COUNTBLANK(B752:D752)&lt;&gt;COLUMNS(B752:D752),751,"")</f>
        <v>0</v>
      </c>
      <c r="C752" s="1">
        <f>IF(B752="", "", "rat metagenome")</f>
        <v>0</v>
      </c>
      <c r="D752" s="1">
        <f>IF(B752="", "", "1427740")</f>
        <v>0</v>
      </c>
    </row>
    <row r="753" spans="1:4">
      <c r="A753">
        <f>IF(COUNTBLANK(B753:D753)&lt;&gt;COLUMNS(B753:D753),752,"")</f>
        <v>0</v>
      </c>
      <c r="C753" s="1">
        <f>IF(B753="", "", "rat metagenome")</f>
        <v>0</v>
      </c>
      <c r="D753" s="1">
        <f>IF(B753="", "", "1427740")</f>
        <v>0</v>
      </c>
    </row>
    <row r="754" spans="1:4">
      <c r="A754">
        <f>IF(COUNTBLANK(B754:D754)&lt;&gt;COLUMNS(B754:D754),753,"")</f>
        <v>0</v>
      </c>
      <c r="C754" s="1">
        <f>IF(B754="", "", "rat metagenome")</f>
        <v>0</v>
      </c>
      <c r="D754" s="1">
        <f>IF(B754="", "", "1427740")</f>
        <v>0</v>
      </c>
    </row>
    <row r="755" spans="1:4">
      <c r="A755">
        <f>IF(COUNTBLANK(B755:D755)&lt;&gt;COLUMNS(B755:D755),754,"")</f>
        <v>0</v>
      </c>
      <c r="C755" s="1">
        <f>IF(B755="", "", "rat metagenome")</f>
        <v>0</v>
      </c>
      <c r="D755" s="1">
        <f>IF(B755="", "", "1427740")</f>
        <v>0</v>
      </c>
    </row>
    <row r="756" spans="1:4">
      <c r="A756">
        <f>IF(COUNTBLANK(B756:D756)&lt;&gt;COLUMNS(B756:D756),755,"")</f>
        <v>0</v>
      </c>
      <c r="C756" s="1">
        <f>IF(B756="", "", "rat metagenome")</f>
        <v>0</v>
      </c>
      <c r="D756" s="1">
        <f>IF(B756="", "", "1427740")</f>
        <v>0</v>
      </c>
    </row>
    <row r="757" spans="1:4">
      <c r="A757">
        <f>IF(COUNTBLANK(B757:D757)&lt;&gt;COLUMNS(B757:D757),756,"")</f>
        <v>0</v>
      </c>
      <c r="C757" s="1">
        <f>IF(B757="", "", "rat metagenome")</f>
        <v>0</v>
      </c>
      <c r="D757" s="1">
        <f>IF(B757="", "", "1427740")</f>
        <v>0</v>
      </c>
    </row>
    <row r="758" spans="1:4">
      <c r="A758">
        <f>IF(COUNTBLANK(B758:D758)&lt;&gt;COLUMNS(B758:D758),757,"")</f>
        <v>0</v>
      </c>
      <c r="C758" s="1">
        <f>IF(B758="", "", "rat metagenome")</f>
        <v>0</v>
      </c>
      <c r="D758" s="1">
        <f>IF(B758="", "", "1427740")</f>
        <v>0</v>
      </c>
    </row>
    <row r="759" spans="1:4">
      <c r="A759">
        <f>IF(COUNTBLANK(B759:D759)&lt;&gt;COLUMNS(B759:D759),758,"")</f>
        <v>0</v>
      </c>
      <c r="C759" s="1">
        <f>IF(B759="", "", "rat metagenome")</f>
        <v>0</v>
      </c>
      <c r="D759" s="1">
        <f>IF(B759="", "", "1427740")</f>
        <v>0</v>
      </c>
    </row>
    <row r="760" spans="1:4">
      <c r="A760">
        <f>IF(COUNTBLANK(B760:D760)&lt;&gt;COLUMNS(B760:D760),759,"")</f>
        <v>0</v>
      </c>
      <c r="C760" s="1">
        <f>IF(B760="", "", "rat metagenome")</f>
        <v>0</v>
      </c>
      <c r="D760" s="1">
        <f>IF(B760="", "", "1427740")</f>
        <v>0</v>
      </c>
    </row>
    <row r="761" spans="1:4">
      <c r="A761">
        <f>IF(COUNTBLANK(B761:D761)&lt;&gt;COLUMNS(B761:D761),760,"")</f>
        <v>0</v>
      </c>
      <c r="C761" s="1">
        <f>IF(B761="", "", "rat metagenome")</f>
        <v>0</v>
      </c>
      <c r="D761" s="1">
        <f>IF(B761="", "", "1427740")</f>
        <v>0</v>
      </c>
    </row>
    <row r="762" spans="1:4">
      <c r="A762">
        <f>IF(COUNTBLANK(B762:D762)&lt;&gt;COLUMNS(B762:D762),761,"")</f>
        <v>0</v>
      </c>
      <c r="C762" s="1">
        <f>IF(B762="", "", "rat metagenome")</f>
        <v>0</v>
      </c>
      <c r="D762" s="1">
        <f>IF(B762="", "", "1427740")</f>
        <v>0</v>
      </c>
    </row>
    <row r="763" spans="1:4">
      <c r="A763">
        <f>IF(COUNTBLANK(B763:D763)&lt;&gt;COLUMNS(B763:D763),762,"")</f>
        <v>0</v>
      </c>
      <c r="C763" s="1">
        <f>IF(B763="", "", "rat metagenome")</f>
        <v>0</v>
      </c>
      <c r="D763" s="1">
        <f>IF(B763="", "", "1427740")</f>
        <v>0</v>
      </c>
    </row>
    <row r="764" spans="1:4">
      <c r="A764">
        <f>IF(COUNTBLANK(B764:D764)&lt;&gt;COLUMNS(B764:D764),763,"")</f>
        <v>0</v>
      </c>
      <c r="C764" s="1">
        <f>IF(B764="", "", "rat metagenome")</f>
        <v>0</v>
      </c>
      <c r="D764" s="1">
        <f>IF(B764="", "", "1427740")</f>
        <v>0</v>
      </c>
    </row>
    <row r="765" spans="1:4">
      <c r="A765">
        <f>IF(COUNTBLANK(B765:D765)&lt;&gt;COLUMNS(B765:D765),764,"")</f>
        <v>0</v>
      </c>
      <c r="C765" s="1">
        <f>IF(B765="", "", "rat metagenome")</f>
        <v>0</v>
      </c>
      <c r="D765" s="1">
        <f>IF(B765="", "", "1427740")</f>
        <v>0</v>
      </c>
    </row>
    <row r="766" spans="1:4">
      <c r="A766">
        <f>IF(COUNTBLANK(B766:D766)&lt;&gt;COLUMNS(B766:D766),765,"")</f>
        <v>0</v>
      </c>
      <c r="C766" s="1">
        <f>IF(B766="", "", "rat metagenome")</f>
        <v>0</v>
      </c>
      <c r="D766" s="1">
        <f>IF(B766="", "", "1427740")</f>
        <v>0</v>
      </c>
    </row>
    <row r="767" spans="1:4">
      <c r="A767">
        <f>IF(COUNTBLANK(B767:D767)&lt;&gt;COLUMNS(B767:D767),766,"")</f>
        <v>0</v>
      </c>
      <c r="C767" s="1">
        <f>IF(B767="", "", "rat metagenome")</f>
        <v>0</v>
      </c>
      <c r="D767" s="1">
        <f>IF(B767="", "", "1427740")</f>
        <v>0</v>
      </c>
    </row>
    <row r="768" spans="1:4">
      <c r="A768">
        <f>IF(COUNTBLANK(B768:D768)&lt;&gt;COLUMNS(B768:D768),767,"")</f>
        <v>0</v>
      </c>
      <c r="C768" s="1">
        <f>IF(B768="", "", "rat metagenome")</f>
        <v>0</v>
      </c>
      <c r="D768" s="1">
        <f>IF(B768="", "", "1427740")</f>
        <v>0</v>
      </c>
    </row>
    <row r="769" spans="1:4">
      <c r="A769">
        <f>IF(COUNTBLANK(B769:D769)&lt;&gt;COLUMNS(B769:D769),768,"")</f>
        <v>0</v>
      </c>
      <c r="C769" s="1">
        <f>IF(B769="", "", "rat metagenome")</f>
        <v>0</v>
      </c>
      <c r="D769" s="1">
        <f>IF(B769="", "", "1427740")</f>
        <v>0</v>
      </c>
    </row>
    <row r="770" spans="1:4">
      <c r="A770">
        <f>IF(COUNTBLANK(B770:D770)&lt;&gt;COLUMNS(B770:D770),769,"")</f>
        <v>0</v>
      </c>
      <c r="C770" s="1">
        <f>IF(B770="", "", "rat metagenome")</f>
        <v>0</v>
      </c>
      <c r="D770" s="1">
        <f>IF(B770="", "", "1427740")</f>
        <v>0</v>
      </c>
    </row>
    <row r="771" spans="1:4">
      <c r="A771">
        <f>IF(COUNTBLANK(B771:D771)&lt;&gt;COLUMNS(B771:D771),770,"")</f>
        <v>0</v>
      </c>
      <c r="C771" s="1">
        <f>IF(B771="", "", "rat metagenome")</f>
        <v>0</v>
      </c>
      <c r="D771" s="1">
        <f>IF(B771="", "", "1427740")</f>
        <v>0</v>
      </c>
    </row>
    <row r="772" spans="1:4">
      <c r="A772">
        <f>IF(COUNTBLANK(B772:D772)&lt;&gt;COLUMNS(B772:D772),771,"")</f>
        <v>0</v>
      </c>
      <c r="C772" s="1">
        <f>IF(B772="", "", "rat metagenome")</f>
        <v>0</v>
      </c>
      <c r="D772" s="1">
        <f>IF(B772="", "", "1427740")</f>
        <v>0</v>
      </c>
    </row>
    <row r="773" spans="1:4">
      <c r="A773">
        <f>IF(COUNTBLANK(B773:D773)&lt;&gt;COLUMNS(B773:D773),772,"")</f>
        <v>0</v>
      </c>
      <c r="C773" s="1">
        <f>IF(B773="", "", "rat metagenome")</f>
        <v>0</v>
      </c>
      <c r="D773" s="1">
        <f>IF(B773="", "", "1427740")</f>
        <v>0</v>
      </c>
    </row>
    <row r="774" spans="1:4">
      <c r="A774">
        <f>IF(COUNTBLANK(B774:D774)&lt;&gt;COLUMNS(B774:D774),773,"")</f>
        <v>0</v>
      </c>
      <c r="C774" s="1">
        <f>IF(B774="", "", "rat metagenome")</f>
        <v>0</v>
      </c>
      <c r="D774" s="1">
        <f>IF(B774="", "", "1427740")</f>
        <v>0</v>
      </c>
    </row>
    <row r="775" spans="1:4">
      <c r="A775">
        <f>IF(COUNTBLANK(B775:D775)&lt;&gt;COLUMNS(B775:D775),774,"")</f>
        <v>0</v>
      </c>
      <c r="C775" s="1">
        <f>IF(B775="", "", "rat metagenome")</f>
        <v>0</v>
      </c>
      <c r="D775" s="1">
        <f>IF(B775="", "", "1427740")</f>
        <v>0</v>
      </c>
    </row>
    <row r="776" spans="1:4">
      <c r="A776">
        <f>IF(COUNTBLANK(B776:D776)&lt;&gt;COLUMNS(B776:D776),775,"")</f>
        <v>0</v>
      </c>
      <c r="C776" s="1">
        <f>IF(B776="", "", "rat metagenome")</f>
        <v>0</v>
      </c>
      <c r="D776" s="1">
        <f>IF(B776="", "", "1427740")</f>
        <v>0</v>
      </c>
    </row>
    <row r="777" spans="1:4">
      <c r="A777">
        <f>IF(COUNTBLANK(B777:D777)&lt;&gt;COLUMNS(B777:D777),776,"")</f>
        <v>0</v>
      </c>
      <c r="C777" s="1">
        <f>IF(B777="", "", "rat metagenome")</f>
        <v>0</v>
      </c>
      <c r="D777" s="1">
        <f>IF(B777="", "", "1427740")</f>
        <v>0</v>
      </c>
    </row>
    <row r="778" spans="1:4">
      <c r="A778">
        <f>IF(COUNTBLANK(B778:D778)&lt;&gt;COLUMNS(B778:D778),777,"")</f>
        <v>0</v>
      </c>
      <c r="C778" s="1">
        <f>IF(B778="", "", "rat metagenome")</f>
        <v>0</v>
      </c>
      <c r="D778" s="1">
        <f>IF(B778="", "", "1427740")</f>
        <v>0</v>
      </c>
    </row>
    <row r="779" spans="1:4">
      <c r="A779">
        <f>IF(COUNTBLANK(B779:D779)&lt;&gt;COLUMNS(B779:D779),778,"")</f>
        <v>0</v>
      </c>
      <c r="C779" s="1">
        <f>IF(B779="", "", "rat metagenome")</f>
        <v>0</v>
      </c>
      <c r="D779" s="1">
        <f>IF(B779="", "", "1427740")</f>
        <v>0</v>
      </c>
    </row>
    <row r="780" spans="1:4">
      <c r="A780">
        <f>IF(COUNTBLANK(B780:D780)&lt;&gt;COLUMNS(B780:D780),779,"")</f>
        <v>0</v>
      </c>
      <c r="C780" s="1">
        <f>IF(B780="", "", "rat metagenome")</f>
        <v>0</v>
      </c>
      <c r="D780" s="1">
        <f>IF(B780="", "", "1427740")</f>
        <v>0</v>
      </c>
    </row>
    <row r="781" spans="1:4">
      <c r="A781">
        <f>IF(COUNTBLANK(B781:D781)&lt;&gt;COLUMNS(B781:D781),780,"")</f>
        <v>0</v>
      </c>
      <c r="C781" s="1">
        <f>IF(B781="", "", "rat metagenome")</f>
        <v>0</v>
      </c>
      <c r="D781" s="1">
        <f>IF(B781="", "", "1427740")</f>
        <v>0</v>
      </c>
    </row>
    <row r="782" spans="1:4">
      <c r="A782">
        <f>IF(COUNTBLANK(B782:D782)&lt;&gt;COLUMNS(B782:D782),781,"")</f>
        <v>0</v>
      </c>
      <c r="C782" s="1">
        <f>IF(B782="", "", "rat metagenome")</f>
        <v>0</v>
      </c>
      <c r="D782" s="1">
        <f>IF(B782="", "", "1427740")</f>
        <v>0</v>
      </c>
    </row>
    <row r="783" spans="1:4">
      <c r="A783">
        <f>IF(COUNTBLANK(B783:D783)&lt;&gt;COLUMNS(B783:D783),782,"")</f>
        <v>0</v>
      </c>
      <c r="C783" s="1">
        <f>IF(B783="", "", "rat metagenome")</f>
        <v>0</v>
      </c>
      <c r="D783" s="1">
        <f>IF(B783="", "", "1427740")</f>
        <v>0</v>
      </c>
    </row>
    <row r="784" spans="1:4">
      <c r="A784">
        <f>IF(COUNTBLANK(B784:D784)&lt;&gt;COLUMNS(B784:D784),783,"")</f>
        <v>0</v>
      </c>
      <c r="C784" s="1">
        <f>IF(B784="", "", "rat metagenome")</f>
        <v>0</v>
      </c>
      <c r="D784" s="1">
        <f>IF(B784="", "", "1427740")</f>
        <v>0</v>
      </c>
    </row>
    <row r="785" spans="1:4">
      <c r="A785">
        <f>IF(COUNTBLANK(B785:D785)&lt;&gt;COLUMNS(B785:D785),784,"")</f>
        <v>0</v>
      </c>
      <c r="C785" s="1">
        <f>IF(B785="", "", "rat metagenome")</f>
        <v>0</v>
      </c>
      <c r="D785" s="1">
        <f>IF(B785="", "", "1427740")</f>
        <v>0</v>
      </c>
    </row>
    <row r="786" spans="1:4">
      <c r="A786">
        <f>IF(COUNTBLANK(B786:D786)&lt;&gt;COLUMNS(B786:D786),785,"")</f>
        <v>0</v>
      </c>
      <c r="C786" s="1">
        <f>IF(B786="", "", "rat metagenome")</f>
        <v>0</v>
      </c>
      <c r="D786" s="1">
        <f>IF(B786="", "", "1427740")</f>
        <v>0</v>
      </c>
    </row>
    <row r="787" spans="1:4">
      <c r="A787">
        <f>IF(COUNTBLANK(B787:D787)&lt;&gt;COLUMNS(B787:D787),786,"")</f>
        <v>0</v>
      </c>
      <c r="C787" s="1">
        <f>IF(B787="", "", "rat metagenome")</f>
        <v>0</v>
      </c>
      <c r="D787" s="1">
        <f>IF(B787="", "", "1427740")</f>
        <v>0</v>
      </c>
    </row>
    <row r="788" spans="1:4">
      <c r="A788">
        <f>IF(COUNTBLANK(B788:D788)&lt;&gt;COLUMNS(B788:D788),787,"")</f>
        <v>0</v>
      </c>
      <c r="C788" s="1">
        <f>IF(B788="", "", "rat metagenome")</f>
        <v>0</v>
      </c>
      <c r="D788" s="1">
        <f>IF(B788="", "", "1427740")</f>
        <v>0</v>
      </c>
    </row>
    <row r="789" spans="1:4">
      <c r="A789">
        <f>IF(COUNTBLANK(B789:D789)&lt;&gt;COLUMNS(B789:D789),788,"")</f>
        <v>0</v>
      </c>
      <c r="C789" s="1">
        <f>IF(B789="", "", "rat metagenome")</f>
        <v>0</v>
      </c>
      <c r="D789" s="1">
        <f>IF(B789="", "", "1427740")</f>
        <v>0</v>
      </c>
    </row>
    <row r="790" spans="1:4">
      <c r="A790">
        <f>IF(COUNTBLANK(B790:D790)&lt;&gt;COLUMNS(B790:D790),789,"")</f>
        <v>0</v>
      </c>
      <c r="C790" s="1">
        <f>IF(B790="", "", "rat metagenome")</f>
        <v>0</v>
      </c>
      <c r="D790" s="1">
        <f>IF(B790="", "", "1427740")</f>
        <v>0</v>
      </c>
    </row>
    <row r="791" spans="1:4">
      <c r="A791">
        <f>IF(COUNTBLANK(B791:D791)&lt;&gt;COLUMNS(B791:D791),790,"")</f>
        <v>0</v>
      </c>
      <c r="C791" s="1">
        <f>IF(B791="", "", "rat metagenome")</f>
        <v>0</v>
      </c>
      <c r="D791" s="1">
        <f>IF(B791="", "", "1427740")</f>
        <v>0</v>
      </c>
    </row>
    <row r="792" spans="1:4">
      <c r="A792">
        <f>IF(COUNTBLANK(B792:D792)&lt;&gt;COLUMNS(B792:D792),791,"")</f>
        <v>0</v>
      </c>
      <c r="C792" s="1">
        <f>IF(B792="", "", "rat metagenome")</f>
        <v>0</v>
      </c>
      <c r="D792" s="1">
        <f>IF(B792="", "", "1427740")</f>
        <v>0</v>
      </c>
    </row>
    <row r="793" spans="1:4">
      <c r="A793">
        <f>IF(COUNTBLANK(B793:D793)&lt;&gt;COLUMNS(B793:D793),792,"")</f>
        <v>0</v>
      </c>
      <c r="C793" s="1">
        <f>IF(B793="", "", "rat metagenome")</f>
        <v>0</v>
      </c>
      <c r="D793" s="1">
        <f>IF(B793="", "", "1427740")</f>
        <v>0</v>
      </c>
    </row>
    <row r="794" spans="1:4">
      <c r="A794">
        <f>IF(COUNTBLANK(B794:D794)&lt;&gt;COLUMNS(B794:D794),793,"")</f>
        <v>0</v>
      </c>
      <c r="C794" s="1">
        <f>IF(B794="", "", "rat metagenome")</f>
        <v>0</v>
      </c>
      <c r="D794" s="1">
        <f>IF(B794="", "", "1427740")</f>
        <v>0</v>
      </c>
    </row>
    <row r="795" spans="1:4">
      <c r="A795">
        <f>IF(COUNTBLANK(B795:D795)&lt;&gt;COLUMNS(B795:D795),794,"")</f>
        <v>0</v>
      </c>
      <c r="C795" s="1">
        <f>IF(B795="", "", "rat metagenome")</f>
        <v>0</v>
      </c>
      <c r="D795" s="1">
        <f>IF(B795="", "", "1427740")</f>
        <v>0</v>
      </c>
    </row>
    <row r="796" spans="1:4">
      <c r="A796">
        <f>IF(COUNTBLANK(B796:D796)&lt;&gt;COLUMNS(B796:D796),795,"")</f>
        <v>0</v>
      </c>
      <c r="C796" s="1">
        <f>IF(B796="", "", "rat metagenome")</f>
        <v>0</v>
      </c>
      <c r="D796" s="1">
        <f>IF(B796="", "", "1427740")</f>
        <v>0</v>
      </c>
    </row>
    <row r="797" spans="1:4">
      <c r="A797">
        <f>IF(COUNTBLANK(B797:D797)&lt;&gt;COLUMNS(B797:D797),796,"")</f>
        <v>0</v>
      </c>
      <c r="C797" s="1">
        <f>IF(B797="", "", "rat metagenome")</f>
        <v>0</v>
      </c>
      <c r="D797" s="1">
        <f>IF(B797="", "", "1427740")</f>
        <v>0</v>
      </c>
    </row>
    <row r="798" spans="1:4">
      <c r="A798">
        <f>IF(COUNTBLANK(B798:D798)&lt;&gt;COLUMNS(B798:D798),797,"")</f>
        <v>0</v>
      </c>
      <c r="C798" s="1">
        <f>IF(B798="", "", "rat metagenome")</f>
        <v>0</v>
      </c>
      <c r="D798" s="1">
        <f>IF(B798="", "", "1427740")</f>
        <v>0</v>
      </c>
    </row>
    <row r="799" spans="1:4">
      <c r="A799">
        <f>IF(COUNTBLANK(B799:D799)&lt;&gt;COLUMNS(B799:D799),798,"")</f>
        <v>0</v>
      </c>
      <c r="C799" s="1">
        <f>IF(B799="", "", "rat metagenome")</f>
        <v>0</v>
      </c>
      <c r="D799" s="1">
        <f>IF(B799="", "", "1427740")</f>
        <v>0</v>
      </c>
    </row>
    <row r="800" spans="1:4">
      <c r="A800">
        <f>IF(COUNTBLANK(B800:D800)&lt;&gt;COLUMNS(B800:D800),799,"")</f>
        <v>0</v>
      </c>
      <c r="C800" s="1">
        <f>IF(B800="", "", "rat metagenome")</f>
        <v>0</v>
      </c>
      <c r="D800" s="1">
        <f>IF(B800="", "", "1427740")</f>
        <v>0</v>
      </c>
    </row>
    <row r="801" spans="1:4">
      <c r="A801">
        <f>IF(COUNTBLANK(B801:D801)&lt;&gt;COLUMNS(B801:D801),800,"")</f>
        <v>0</v>
      </c>
      <c r="C801" s="1">
        <f>IF(B801="", "", "rat metagenome")</f>
        <v>0</v>
      </c>
      <c r="D801" s="1">
        <f>IF(B801="", "", "1427740")</f>
        <v>0</v>
      </c>
    </row>
    <row r="802" spans="1:4">
      <c r="A802">
        <f>IF(COUNTBLANK(B802:D802)&lt;&gt;COLUMNS(B802:D802),801,"")</f>
        <v>0</v>
      </c>
      <c r="C802" s="1">
        <f>IF(B802="", "", "rat metagenome")</f>
        <v>0</v>
      </c>
      <c r="D802" s="1">
        <f>IF(B802="", "", "1427740")</f>
        <v>0</v>
      </c>
    </row>
    <row r="803" spans="1:4">
      <c r="A803">
        <f>IF(COUNTBLANK(B803:D803)&lt;&gt;COLUMNS(B803:D803),802,"")</f>
        <v>0</v>
      </c>
      <c r="C803" s="1">
        <f>IF(B803="", "", "rat metagenome")</f>
        <v>0</v>
      </c>
      <c r="D803" s="1">
        <f>IF(B803="", "", "1427740")</f>
        <v>0</v>
      </c>
    </row>
    <row r="804" spans="1:4">
      <c r="A804">
        <f>IF(COUNTBLANK(B804:D804)&lt;&gt;COLUMNS(B804:D804),803,"")</f>
        <v>0</v>
      </c>
      <c r="C804" s="1">
        <f>IF(B804="", "", "rat metagenome")</f>
        <v>0</v>
      </c>
      <c r="D804" s="1">
        <f>IF(B804="", "", "1427740")</f>
        <v>0</v>
      </c>
    </row>
    <row r="805" spans="1:4">
      <c r="A805">
        <f>IF(COUNTBLANK(B805:D805)&lt;&gt;COLUMNS(B805:D805),804,"")</f>
        <v>0</v>
      </c>
      <c r="C805" s="1">
        <f>IF(B805="", "", "rat metagenome")</f>
        <v>0</v>
      </c>
      <c r="D805" s="1">
        <f>IF(B805="", "", "1427740")</f>
        <v>0</v>
      </c>
    </row>
    <row r="806" spans="1:4">
      <c r="A806">
        <f>IF(COUNTBLANK(B806:D806)&lt;&gt;COLUMNS(B806:D806),805,"")</f>
        <v>0</v>
      </c>
      <c r="C806" s="1">
        <f>IF(B806="", "", "rat metagenome")</f>
        <v>0</v>
      </c>
      <c r="D806" s="1">
        <f>IF(B806="", "", "1427740")</f>
        <v>0</v>
      </c>
    </row>
    <row r="807" spans="1:4">
      <c r="A807">
        <f>IF(COUNTBLANK(B807:D807)&lt;&gt;COLUMNS(B807:D807),806,"")</f>
        <v>0</v>
      </c>
      <c r="C807" s="1">
        <f>IF(B807="", "", "rat metagenome")</f>
        <v>0</v>
      </c>
      <c r="D807" s="1">
        <f>IF(B807="", "", "1427740")</f>
        <v>0</v>
      </c>
    </row>
    <row r="808" spans="1:4">
      <c r="A808">
        <f>IF(COUNTBLANK(B808:D808)&lt;&gt;COLUMNS(B808:D808),807,"")</f>
        <v>0</v>
      </c>
      <c r="C808" s="1">
        <f>IF(B808="", "", "rat metagenome")</f>
        <v>0</v>
      </c>
      <c r="D808" s="1">
        <f>IF(B808="", "", "1427740")</f>
        <v>0</v>
      </c>
    </row>
    <row r="809" spans="1:4">
      <c r="A809">
        <f>IF(COUNTBLANK(B809:D809)&lt;&gt;COLUMNS(B809:D809),808,"")</f>
        <v>0</v>
      </c>
      <c r="C809" s="1">
        <f>IF(B809="", "", "rat metagenome")</f>
        <v>0</v>
      </c>
      <c r="D809" s="1">
        <f>IF(B809="", "", "1427740")</f>
        <v>0</v>
      </c>
    </row>
    <row r="810" spans="1:4">
      <c r="A810">
        <f>IF(COUNTBLANK(B810:D810)&lt;&gt;COLUMNS(B810:D810),809,"")</f>
        <v>0</v>
      </c>
      <c r="C810" s="1">
        <f>IF(B810="", "", "rat metagenome")</f>
        <v>0</v>
      </c>
      <c r="D810" s="1">
        <f>IF(B810="", "", "1427740")</f>
        <v>0</v>
      </c>
    </row>
    <row r="811" spans="1:4">
      <c r="A811">
        <f>IF(COUNTBLANK(B811:D811)&lt;&gt;COLUMNS(B811:D811),810,"")</f>
        <v>0</v>
      </c>
      <c r="C811" s="1">
        <f>IF(B811="", "", "rat metagenome")</f>
        <v>0</v>
      </c>
      <c r="D811" s="1">
        <f>IF(B811="", "", "1427740")</f>
        <v>0</v>
      </c>
    </row>
    <row r="812" spans="1:4">
      <c r="A812">
        <f>IF(COUNTBLANK(B812:D812)&lt;&gt;COLUMNS(B812:D812),811,"")</f>
        <v>0</v>
      </c>
      <c r="C812" s="1">
        <f>IF(B812="", "", "rat metagenome")</f>
        <v>0</v>
      </c>
      <c r="D812" s="1">
        <f>IF(B812="", "", "1427740")</f>
        <v>0</v>
      </c>
    </row>
    <row r="813" spans="1:4">
      <c r="A813">
        <f>IF(COUNTBLANK(B813:D813)&lt;&gt;COLUMNS(B813:D813),812,"")</f>
        <v>0</v>
      </c>
      <c r="C813" s="1">
        <f>IF(B813="", "", "rat metagenome")</f>
        <v>0</v>
      </c>
      <c r="D813" s="1">
        <f>IF(B813="", "", "1427740")</f>
        <v>0</v>
      </c>
    </row>
    <row r="814" spans="1:4">
      <c r="A814">
        <f>IF(COUNTBLANK(B814:D814)&lt;&gt;COLUMNS(B814:D814),813,"")</f>
        <v>0</v>
      </c>
      <c r="C814" s="1">
        <f>IF(B814="", "", "rat metagenome")</f>
        <v>0</v>
      </c>
      <c r="D814" s="1">
        <f>IF(B814="", "", "1427740")</f>
        <v>0</v>
      </c>
    </row>
    <row r="815" spans="1:4">
      <c r="A815">
        <f>IF(COUNTBLANK(B815:D815)&lt;&gt;COLUMNS(B815:D815),814,"")</f>
        <v>0</v>
      </c>
      <c r="C815" s="1">
        <f>IF(B815="", "", "rat metagenome")</f>
        <v>0</v>
      </c>
      <c r="D815" s="1">
        <f>IF(B815="", "", "1427740")</f>
        <v>0</v>
      </c>
    </row>
    <row r="816" spans="1:4">
      <c r="A816">
        <f>IF(COUNTBLANK(B816:D816)&lt;&gt;COLUMNS(B816:D816),815,"")</f>
        <v>0</v>
      </c>
      <c r="C816" s="1">
        <f>IF(B816="", "", "rat metagenome")</f>
        <v>0</v>
      </c>
      <c r="D816" s="1">
        <f>IF(B816="", "", "1427740")</f>
        <v>0</v>
      </c>
    </row>
    <row r="817" spans="1:4">
      <c r="A817">
        <f>IF(COUNTBLANK(B817:D817)&lt;&gt;COLUMNS(B817:D817),816,"")</f>
        <v>0</v>
      </c>
      <c r="C817" s="1">
        <f>IF(B817="", "", "rat metagenome")</f>
        <v>0</v>
      </c>
      <c r="D817" s="1">
        <f>IF(B817="", "", "1427740")</f>
        <v>0</v>
      </c>
    </row>
    <row r="818" spans="1:4">
      <c r="A818">
        <f>IF(COUNTBLANK(B818:D818)&lt;&gt;COLUMNS(B818:D818),817,"")</f>
        <v>0</v>
      </c>
      <c r="C818" s="1">
        <f>IF(B818="", "", "rat metagenome")</f>
        <v>0</v>
      </c>
      <c r="D818" s="1">
        <f>IF(B818="", "", "1427740")</f>
        <v>0</v>
      </c>
    </row>
    <row r="819" spans="1:4">
      <c r="A819">
        <f>IF(COUNTBLANK(B819:D819)&lt;&gt;COLUMNS(B819:D819),818,"")</f>
        <v>0</v>
      </c>
      <c r="C819" s="1">
        <f>IF(B819="", "", "rat metagenome")</f>
        <v>0</v>
      </c>
      <c r="D819" s="1">
        <f>IF(B819="", "", "1427740")</f>
        <v>0</v>
      </c>
    </row>
    <row r="820" spans="1:4">
      <c r="A820">
        <f>IF(COUNTBLANK(B820:D820)&lt;&gt;COLUMNS(B820:D820),819,"")</f>
        <v>0</v>
      </c>
      <c r="C820" s="1">
        <f>IF(B820="", "", "rat metagenome")</f>
        <v>0</v>
      </c>
      <c r="D820" s="1">
        <f>IF(B820="", "", "1427740")</f>
        <v>0</v>
      </c>
    </row>
    <row r="821" spans="1:4">
      <c r="A821">
        <f>IF(COUNTBLANK(B821:D821)&lt;&gt;COLUMNS(B821:D821),820,"")</f>
        <v>0</v>
      </c>
      <c r="C821" s="1">
        <f>IF(B821="", "", "rat metagenome")</f>
        <v>0</v>
      </c>
      <c r="D821" s="1">
        <f>IF(B821="", "", "1427740")</f>
        <v>0</v>
      </c>
    </row>
    <row r="822" spans="1:4">
      <c r="A822">
        <f>IF(COUNTBLANK(B822:D822)&lt;&gt;COLUMNS(B822:D822),821,"")</f>
        <v>0</v>
      </c>
      <c r="C822" s="1">
        <f>IF(B822="", "", "rat metagenome")</f>
        <v>0</v>
      </c>
      <c r="D822" s="1">
        <f>IF(B822="", "", "1427740")</f>
        <v>0</v>
      </c>
    </row>
    <row r="823" spans="1:4">
      <c r="A823">
        <f>IF(COUNTBLANK(B823:D823)&lt;&gt;COLUMNS(B823:D823),822,"")</f>
        <v>0</v>
      </c>
      <c r="C823" s="1">
        <f>IF(B823="", "", "rat metagenome")</f>
        <v>0</v>
      </c>
      <c r="D823" s="1">
        <f>IF(B823="", "", "1427740")</f>
        <v>0</v>
      </c>
    </row>
    <row r="824" spans="1:4">
      <c r="A824">
        <f>IF(COUNTBLANK(B824:D824)&lt;&gt;COLUMNS(B824:D824),823,"")</f>
        <v>0</v>
      </c>
      <c r="C824" s="1">
        <f>IF(B824="", "", "rat metagenome")</f>
        <v>0</v>
      </c>
      <c r="D824" s="1">
        <f>IF(B824="", "", "1427740")</f>
        <v>0</v>
      </c>
    </row>
    <row r="825" spans="1:4">
      <c r="A825">
        <f>IF(COUNTBLANK(B825:D825)&lt;&gt;COLUMNS(B825:D825),824,"")</f>
        <v>0</v>
      </c>
      <c r="C825" s="1">
        <f>IF(B825="", "", "rat metagenome")</f>
        <v>0</v>
      </c>
      <c r="D825" s="1">
        <f>IF(B825="", "", "1427740")</f>
        <v>0</v>
      </c>
    </row>
    <row r="826" spans="1:4">
      <c r="A826">
        <f>IF(COUNTBLANK(B826:D826)&lt;&gt;COLUMNS(B826:D826),825,"")</f>
        <v>0</v>
      </c>
      <c r="C826" s="1">
        <f>IF(B826="", "", "rat metagenome")</f>
        <v>0</v>
      </c>
      <c r="D826" s="1">
        <f>IF(B826="", "", "1427740")</f>
        <v>0</v>
      </c>
    </row>
    <row r="827" spans="1:4">
      <c r="A827">
        <f>IF(COUNTBLANK(B827:D827)&lt;&gt;COLUMNS(B827:D827),826,"")</f>
        <v>0</v>
      </c>
      <c r="C827" s="1">
        <f>IF(B827="", "", "rat metagenome")</f>
        <v>0</v>
      </c>
      <c r="D827" s="1">
        <f>IF(B827="", "", "1427740")</f>
        <v>0</v>
      </c>
    </row>
    <row r="828" spans="1:4">
      <c r="A828">
        <f>IF(COUNTBLANK(B828:D828)&lt;&gt;COLUMNS(B828:D828),827,"")</f>
        <v>0</v>
      </c>
      <c r="C828" s="1">
        <f>IF(B828="", "", "rat metagenome")</f>
        <v>0</v>
      </c>
      <c r="D828" s="1">
        <f>IF(B828="", "", "1427740")</f>
        <v>0</v>
      </c>
    </row>
    <row r="829" spans="1:4">
      <c r="A829">
        <f>IF(COUNTBLANK(B829:D829)&lt;&gt;COLUMNS(B829:D829),828,"")</f>
        <v>0</v>
      </c>
      <c r="C829" s="1">
        <f>IF(B829="", "", "rat metagenome")</f>
        <v>0</v>
      </c>
      <c r="D829" s="1">
        <f>IF(B829="", "", "1427740")</f>
        <v>0</v>
      </c>
    </row>
    <row r="830" spans="1:4">
      <c r="A830">
        <f>IF(COUNTBLANK(B830:D830)&lt;&gt;COLUMNS(B830:D830),829,"")</f>
        <v>0</v>
      </c>
      <c r="C830" s="1">
        <f>IF(B830="", "", "rat metagenome")</f>
        <v>0</v>
      </c>
      <c r="D830" s="1">
        <f>IF(B830="", "", "1427740")</f>
        <v>0</v>
      </c>
    </row>
    <row r="831" spans="1:4">
      <c r="A831">
        <f>IF(COUNTBLANK(B831:D831)&lt;&gt;COLUMNS(B831:D831),830,"")</f>
        <v>0</v>
      </c>
      <c r="C831" s="1">
        <f>IF(B831="", "", "rat metagenome")</f>
        <v>0</v>
      </c>
      <c r="D831" s="1">
        <f>IF(B831="", "", "1427740")</f>
        <v>0</v>
      </c>
    </row>
    <row r="832" spans="1:4">
      <c r="A832">
        <f>IF(COUNTBLANK(B832:D832)&lt;&gt;COLUMNS(B832:D832),831,"")</f>
        <v>0</v>
      </c>
      <c r="C832" s="1">
        <f>IF(B832="", "", "rat metagenome")</f>
        <v>0</v>
      </c>
      <c r="D832" s="1">
        <f>IF(B832="", "", "1427740")</f>
        <v>0</v>
      </c>
    </row>
    <row r="833" spans="1:4">
      <c r="A833">
        <f>IF(COUNTBLANK(B833:D833)&lt;&gt;COLUMNS(B833:D833),832,"")</f>
        <v>0</v>
      </c>
      <c r="C833" s="1">
        <f>IF(B833="", "", "rat metagenome")</f>
        <v>0</v>
      </c>
      <c r="D833" s="1">
        <f>IF(B833="", "", "1427740")</f>
        <v>0</v>
      </c>
    </row>
    <row r="834" spans="1:4">
      <c r="A834">
        <f>IF(COUNTBLANK(B834:D834)&lt;&gt;COLUMNS(B834:D834),833,"")</f>
        <v>0</v>
      </c>
      <c r="C834" s="1">
        <f>IF(B834="", "", "rat metagenome")</f>
        <v>0</v>
      </c>
      <c r="D834" s="1">
        <f>IF(B834="", "", "1427740")</f>
        <v>0</v>
      </c>
    </row>
    <row r="835" spans="1:4">
      <c r="A835">
        <f>IF(COUNTBLANK(B835:D835)&lt;&gt;COLUMNS(B835:D835),834,"")</f>
        <v>0</v>
      </c>
      <c r="C835" s="1">
        <f>IF(B835="", "", "rat metagenome")</f>
        <v>0</v>
      </c>
      <c r="D835" s="1">
        <f>IF(B835="", "", "1427740")</f>
        <v>0</v>
      </c>
    </row>
    <row r="836" spans="1:4">
      <c r="A836">
        <f>IF(COUNTBLANK(B836:D836)&lt;&gt;COLUMNS(B836:D836),835,"")</f>
        <v>0</v>
      </c>
      <c r="C836" s="1">
        <f>IF(B836="", "", "rat metagenome")</f>
        <v>0</v>
      </c>
      <c r="D836" s="1">
        <f>IF(B836="", "", "1427740")</f>
        <v>0</v>
      </c>
    </row>
    <row r="837" spans="1:4">
      <c r="A837">
        <f>IF(COUNTBLANK(B837:D837)&lt;&gt;COLUMNS(B837:D837),836,"")</f>
        <v>0</v>
      </c>
      <c r="C837" s="1">
        <f>IF(B837="", "", "rat metagenome")</f>
        <v>0</v>
      </c>
      <c r="D837" s="1">
        <f>IF(B837="", "", "1427740")</f>
        <v>0</v>
      </c>
    </row>
    <row r="838" spans="1:4">
      <c r="A838">
        <f>IF(COUNTBLANK(B838:D838)&lt;&gt;COLUMNS(B838:D838),837,"")</f>
        <v>0</v>
      </c>
      <c r="C838" s="1">
        <f>IF(B838="", "", "rat metagenome")</f>
        <v>0</v>
      </c>
      <c r="D838" s="1">
        <f>IF(B838="", "", "1427740")</f>
        <v>0</v>
      </c>
    </row>
    <row r="839" spans="1:4">
      <c r="A839">
        <f>IF(COUNTBLANK(B839:D839)&lt;&gt;COLUMNS(B839:D839),838,"")</f>
        <v>0</v>
      </c>
      <c r="C839" s="1">
        <f>IF(B839="", "", "rat metagenome")</f>
        <v>0</v>
      </c>
      <c r="D839" s="1">
        <f>IF(B839="", "", "1427740")</f>
        <v>0</v>
      </c>
    </row>
    <row r="840" spans="1:4">
      <c r="A840">
        <f>IF(COUNTBLANK(B840:D840)&lt;&gt;COLUMNS(B840:D840),839,"")</f>
        <v>0</v>
      </c>
      <c r="C840" s="1">
        <f>IF(B840="", "", "rat metagenome")</f>
        <v>0</v>
      </c>
      <c r="D840" s="1">
        <f>IF(B840="", "", "1427740")</f>
        <v>0</v>
      </c>
    </row>
    <row r="841" spans="1:4">
      <c r="A841">
        <f>IF(COUNTBLANK(B841:D841)&lt;&gt;COLUMNS(B841:D841),840,"")</f>
        <v>0</v>
      </c>
      <c r="C841" s="1">
        <f>IF(B841="", "", "rat metagenome")</f>
        <v>0</v>
      </c>
      <c r="D841" s="1">
        <f>IF(B841="", "", "1427740")</f>
        <v>0</v>
      </c>
    </row>
    <row r="842" spans="1:4">
      <c r="A842">
        <f>IF(COUNTBLANK(B842:D842)&lt;&gt;COLUMNS(B842:D842),841,"")</f>
        <v>0</v>
      </c>
      <c r="C842" s="1">
        <f>IF(B842="", "", "rat metagenome")</f>
        <v>0</v>
      </c>
      <c r="D842" s="1">
        <f>IF(B842="", "", "1427740")</f>
        <v>0</v>
      </c>
    </row>
    <row r="843" spans="1:4">
      <c r="A843">
        <f>IF(COUNTBLANK(B843:D843)&lt;&gt;COLUMNS(B843:D843),842,"")</f>
        <v>0</v>
      </c>
      <c r="C843" s="1">
        <f>IF(B843="", "", "rat metagenome")</f>
        <v>0</v>
      </c>
      <c r="D843" s="1">
        <f>IF(B843="", "", "1427740")</f>
        <v>0</v>
      </c>
    </row>
    <row r="844" spans="1:4">
      <c r="A844">
        <f>IF(COUNTBLANK(B844:D844)&lt;&gt;COLUMNS(B844:D844),843,"")</f>
        <v>0</v>
      </c>
      <c r="C844" s="1">
        <f>IF(B844="", "", "rat metagenome")</f>
        <v>0</v>
      </c>
      <c r="D844" s="1">
        <f>IF(B844="", "", "1427740")</f>
        <v>0</v>
      </c>
    </row>
    <row r="845" spans="1:4">
      <c r="A845">
        <f>IF(COUNTBLANK(B845:D845)&lt;&gt;COLUMNS(B845:D845),844,"")</f>
        <v>0</v>
      </c>
      <c r="C845" s="1">
        <f>IF(B845="", "", "rat metagenome")</f>
        <v>0</v>
      </c>
      <c r="D845" s="1">
        <f>IF(B845="", "", "1427740")</f>
        <v>0</v>
      </c>
    </row>
    <row r="846" spans="1:4">
      <c r="A846">
        <f>IF(COUNTBLANK(B846:D846)&lt;&gt;COLUMNS(B846:D846),845,"")</f>
        <v>0</v>
      </c>
      <c r="C846" s="1">
        <f>IF(B846="", "", "rat metagenome")</f>
        <v>0</v>
      </c>
      <c r="D846" s="1">
        <f>IF(B846="", "", "1427740")</f>
        <v>0</v>
      </c>
    </row>
    <row r="847" spans="1:4">
      <c r="A847">
        <f>IF(COUNTBLANK(B847:D847)&lt;&gt;COLUMNS(B847:D847),846,"")</f>
        <v>0</v>
      </c>
      <c r="C847" s="1">
        <f>IF(B847="", "", "rat metagenome")</f>
        <v>0</v>
      </c>
      <c r="D847" s="1">
        <f>IF(B847="", "", "1427740")</f>
        <v>0</v>
      </c>
    </row>
    <row r="848" spans="1:4">
      <c r="A848">
        <f>IF(COUNTBLANK(B848:D848)&lt;&gt;COLUMNS(B848:D848),847,"")</f>
        <v>0</v>
      </c>
      <c r="C848" s="1">
        <f>IF(B848="", "", "rat metagenome")</f>
        <v>0</v>
      </c>
      <c r="D848" s="1">
        <f>IF(B848="", "", "1427740")</f>
        <v>0</v>
      </c>
    </row>
    <row r="849" spans="1:4">
      <c r="A849">
        <f>IF(COUNTBLANK(B849:D849)&lt;&gt;COLUMNS(B849:D849),848,"")</f>
        <v>0</v>
      </c>
      <c r="C849" s="1">
        <f>IF(B849="", "", "rat metagenome")</f>
        <v>0</v>
      </c>
      <c r="D849" s="1">
        <f>IF(B849="", "", "1427740")</f>
        <v>0</v>
      </c>
    </row>
    <row r="850" spans="1:4">
      <c r="A850">
        <f>IF(COUNTBLANK(B850:D850)&lt;&gt;COLUMNS(B850:D850),849,"")</f>
        <v>0</v>
      </c>
      <c r="C850" s="1">
        <f>IF(B850="", "", "rat metagenome")</f>
        <v>0</v>
      </c>
      <c r="D850" s="1">
        <f>IF(B850="", "", "1427740")</f>
        <v>0</v>
      </c>
    </row>
    <row r="851" spans="1:4">
      <c r="A851">
        <f>IF(COUNTBLANK(B851:D851)&lt;&gt;COLUMNS(B851:D851),850,"")</f>
        <v>0</v>
      </c>
      <c r="C851" s="1">
        <f>IF(B851="", "", "rat metagenome")</f>
        <v>0</v>
      </c>
      <c r="D851" s="1">
        <f>IF(B851="", "", "1427740")</f>
        <v>0</v>
      </c>
    </row>
    <row r="852" spans="1:4">
      <c r="A852">
        <f>IF(COUNTBLANK(B852:D852)&lt;&gt;COLUMNS(B852:D852),851,"")</f>
        <v>0</v>
      </c>
      <c r="C852" s="1">
        <f>IF(B852="", "", "rat metagenome")</f>
        <v>0</v>
      </c>
      <c r="D852" s="1">
        <f>IF(B852="", "", "1427740")</f>
        <v>0</v>
      </c>
    </row>
    <row r="853" spans="1:4">
      <c r="A853">
        <f>IF(COUNTBLANK(B853:D853)&lt;&gt;COLUMNS(B853:D853),852,"")</f>
        <v>0</v>
      </c>
      <c r="C853" s="1">
        <f>IF(B853="", "", "rat metagenome")</f>
        <v>0</v>
      </c>
      <c r="D853" s="1">
        <f>IF(B853="", "", "1427740")</f>
        <v>0</v>
      </c>
    </row>
    <row r="854" spans="1:4">
      <c r="A854">
        <f>IF(COUNTBLANK(B854:D854)&lt;&gt;COLUMNS(B854:D854),853,"")</f>
        <v>0</v>
      </c>
      <c r="C854" s="1">
        <f>IF(B854="", "", "rat metagenome")</f>
        <v>0</v>
      </c>
      <c r="D854" s="1">
        <f>IF(B854="", "", "1427740")</f>
        <v>0</v>
      </c>
    </row>
    <row r="855" spans="1:4">
      <c r="A855">
        <f>IF(COUNTBLANK(B855:D855)&lt;&gt;COLUMNS(B855:D855),854,"")</f>
        <v>0</v>
      </c>
      <c r="C855" s="1">
        <f>IF(B855="", "", "rat metagenome")</f>
        <v>0</v>
      </c>
      <c r="D855" s="1">
        <f>IF(B855="", "", "1427740")</f>
        <v>0</v>
      </c>
    </row>
    <row r="856" spans="1:4">
      <c r="A856">
        <f>IF(COUNTBLANK(B856:D856)&lt;&gt;COLUMNS(B856:D856),855,"")</f>
        <v>0</v>
      </c>
      <c r="C856" s="1">
        <f>IF(B856="", "", "rat metagenome")</f>
        <v>0</v>
      </c>
      <c r="D856" s="1">
        <f>IF(B856="", "", "1427740")</f>
        <v>0</v>
      </c>
    </row>
    <row r="857" spans="1:4">
      <c r="A857">
        <f>IF(COUNTBLANK(B857:D857)&lt;&gt;COLUMNS(B857:D857),856,"")</f>
        <v>0</v>
      </c>
      <c r="C857" s="1">
        <f>IF(B857="", "", "rat metagenome")</f>
        <v>0</v>
      </c>
      <c r="D857" s="1">
        <f>IF(B857="", "", "1427740")</f>
        <v>0</v>
      </c>
    </row>
    <row r="858" spans="1:4">
      <c r="A858">
        <f>IF(COUNTBLANK(B858:D858)&lt;&gt;COLUMNS(B858:D858),857,"")</f>
        <v>0</v>
      </c>
      <c r="C858" s="1">
        <f>IF(B858="", "", "rat metagenome")</f>
        <v>0</v>
      </c>
      <c r="D858" s="1">
        <f>IF(B858="", "", "1427740")</f>
        <v>0</v>
      </c>
    </row>
    <row r="859" spans="1:4">
      <c r="A859">
        <f>IF(COUNTBLANK(B859:D859)&lt;&gt;COLUMNS(B859:D859),858,"")</f>
        <v>0</v>
      </c>
      <c r="C859" s="1">
        <f>IF(B859="", "", "rat metagenome")</f>
        <v>0</v>
      </c>
      <c r="D859" s="1">
        <f>IF(B859="", "", "1427740")</f>
        <v>0</v>
      </c>
    </row>
    <row r="860" spans="1:4">
      <c r="A860">
        <f>IF(COUNTBLANK(B860:D860)&lt;&gt;COLUMNS(B860:D860),859,"")</f>
        <v>0</v>
      </c>
      <c r="C860" s="1">
        <f>IF(B860="", "", "rat metagenome")</f>
        <v>0</v>
      </c>
      <c r="D860" s="1">
        <f>IF(B860="", "", "1427740")</f>
        <v>0</v>
      </c>
    </row>
    <row r="861" spans="1:4">
      <c r="A861">
        <f>IF(COUNTBLANK(B861:D861)&lt;&gt;COLUMNS(B861:D861),860,"")</f>
        <v>0</v>
      </c>
      <c r="C861" s="1">
        <f>IF(B861="", "", "rat metagenome")</f>
        <v>0</v>
      </c>
      <c r="D861" s="1">
        <f>IF(B861="", "", "1427740")</f>
        <v>0</v>
      </c>
    </row>
    <row r="862" spans="1:4">
      <c r="A862">
        <f>IF(COUNTBLANK(B862:D862)&lt;&gt;COLUMNS(B862:D862),861,"")</f>
        <v>0</v>
      </c>
      <c r="C862" s="1">
        <f>IF(B862="", "", "rat metagenome")</f>
        <v>0</v>
      </c>
      <c r="D862" s="1">
        <f>IF(B862="", "", "1427740")</f>
        <v>0</v>
      </c>
    </row>
    <row r="863" spans="1:4">
      <c r="A863">
        <f>IF(COUNTBLANK(B863:D863)&lt;&gt;COLUMNS(B863:D863),862,"")</f>
        <v>0</v>
      </c>
      <c r="C863" s="1">
        <f>IF(B863="", "", "rat metagenome")</f>
        <v>0</v>
      </c>
      <c r="D863" s="1">
        <f>IF(B863="", "", "1427740")</f>
        <v>0</v>
      </c>
    </row>
    <row r="864" spans="1:4">
      <c r="A864">
        <f>IF(COUNTBLANK(B864:D864)&lt;&gt;COLUMNS(B864:D864),863,"")</f>
        <v>0</v>
      </c>
      <c r="C864" s="1">
        <f>IF(B864="", "", "rat metagenome")</f>
        <v>0</v>
      </c>
      <c r="D864" s="1">
        <f>IF(B864="", "", "1427740")</f>
        <v>0</v>
      </c>
    </row>
    <row r="865" spans="1:4">
      <c r="A865">
        <f>IF(COUNTBLANK(B865:D865)&lt;&gt;COLUMNS(B865:D865),864,"")</f>
        <v>0</v>
      </c>
      <c r="C865" s="1">
        <f>IF(B865="", "", "rat metagenome")</f>
        <v>0</v>
      </c>
      <c r="D865" s="1">
        <f>IF(B865="", "", "1427740")</f>
        <v>0</v>
      </c>
    </row>
    <row r="866" spans="1:4">
      <c r="A866">
        <f>IF(COUNTBLANK(B866:D866)&lt;&gt;COLUMNS(B866:D866),865,"")</f>
        <v>0</v>
      </c>
      <c r="C866" s="1">
        <f>IF(B866="", "", "rat metagenome")</f>
        <v>0</v>
      </c>
      <c r="D866" s="1">
        <f>IF(B866="", "", "1427740")</f>
        <v>0</v>
      </c>
    </row>
    <row r="867" spans="1:4">
      <c r="A867">
        <f>IF(COUNTBLANK(B867:D867)&lt;&gt;COLUMNS(B867:D867),866,"")</f>
        <v>0</v>
      </c>
      <c r="C867" s="1">
        <f>IF(B867="", "", "rat metagenome")</f>
        <v>0</v>
      </c>
      <c r="D867" s="1">
        <f>IF(B867="", "", "1427740")</f>
        <v>0</v>
      </c>
    </row>
    <row r="868" spans="1:4">
      <c r="A868">
        <f>IF(COUNTBLANK(B868:D868)&lt;&gt;COLUMNS(B868:D868),867,"")</f>
        <v>0</v>
      </c>
      <c r="C868" s="1">
        <f>IF(B868="", "", "rat metagenome")</f>
        <v>0</v>
      </c>
      <c r="D868" s="1">
        <f>IF(B868="", "", "1427740")</f>
        <v>0</v>
      </c>
    </row>
    <row r="869" spans="1:4">
      <c r="A869">
        <f>IF(COUNTBLANK(B869:D869)&lt;&gt;COLUMNS(B869:D869),868,"")</f>
        <v>0</v>
      </c>
      <c r="C869" s="1">
        <f>IF(B869="", "", "rat metagenome")</f>
        <v>0</v>
      </c>
      <c r="D869" s="1">
        <f>IF(B869="", "", "1427740")</f>
        <v>0</v>
      </c>
    </row>
    <row r="870" spans="1:4">
      <c r="A870">
        <f>IF(COUNTBLANK(B870:D870)&lt;&gt;COLUMNS(B870:D870),869,"")</f>
        <v>0</v>
      </c>
      <c r="C870" s="1">
        <f>IF(B870="", "", "rat metagenome")</f>
        <v>0</v>
      </c>
      <c r="D870" s="1">
        <f>IF(B870="", "", "1427740")</f>
        <v>0</v>
      </c>
    </row>
    <row r="871" spans="1:4">
      <c r="A871">
        <f>IF(COUNTBLANK(B871:D871)&lt;&gt;COLUMNS(B871:D871),870,"")</f>
        <v>0</v>
      </c>
      <c r="C871" s="1">
        <f>IF(B871="", "", "rat metagenome")</f>
        <v>0</v>
      </c>
      <c r="D871" s="1">
        <f>IF(B871="", "", "1427740")</f>
        <v>0</v>
      </c>
    </row>
    <row r="872" spans="1:4">
      <c r="A872">
        <f>IF(COUNTBLANK(B872:D872)&lt;&gt;COLUMNS(B872:D872),871,"")</f>
        <v>0</v>
      </c>
      <c r="C872" s="1">
        <f>IF(B872="", "", "rat metagenome")</f>
        <v>0</v>
      </c>
      <c r="D872" s="1">
        <f>IF(B872="", "", "1427740")</f>
        <v>0</v>
      </c>
    </row>
    <row r="873" spans="1:4">
      <c r="A873">
        <f>IF(COUNTBLANK(B873:D873)&lt;&gt;COLUMNS(B873:D873),872,"")</f>
        <v>0</v>
      </c>
      <c r="C873" s="1">
        <f>IF(B873="", "", "rat metagenome")</f>
        <v>0</v>
      </c>
      <c r="D873" s="1">
        <f>IF(B873="", "", "1427740")</f>
        <v>0</v>
      </c>
    </row>
    <row r="874" spans="1:4">
      <c r="A874">
        <f>IF(COUNTBLANK(B874:D874)&lt;&gt;COLUMNS(B874:D874),873,"")</f>
        <v>0</v>
      </c>
      <c r="C874" s="1">
        <f>IF(B874="", "", "rat metagenome")</f>
        <v>0</v>
      </c>
      <c r="D874" s="1">
        <f>IF(B874="", "", "1427740")</f>
        <v>0</v>
      </c>
    </row>
    <row r="875" spans="1:4">
      <c r="A875">
        <f>IF(COUNTBLANK(B875:D875)&lt;&gt;COLUMNS(B875:D875),874,"")</f>
        <v>0</v>
      </c>
      <c r="C875" s="1">
        <f>IF(B875="", "", "rat metagenome")</f>
        <v>0</v>
      </c>
      <c r="D875" s="1">
        <f>IF(B875="", "", "1427740")</f>
        <v>0</v>
      </c>
    </row>
    <row r="876" spans="1:4">
      <c r="A876">
        <f>IF(COUNTBLANK(B876:D876)&lt;&gt;COLUMNS(B876:D876),875,"")</f>
        <v>0</v>
      </c>
      <c r="C876" s="1">
        <f>IF(B876="", "", "rat metagenome")</f>
        <v>0</v>
      </c>
      <c r="D876" s="1">
        <f>IF(B876="", "", "1427740")</f>
        <v>0</v>
      </c>
    </row>
    <row r="877" spans="1:4">
      <c r="A877">
        <f>IF(COUNTBLANK(B877:D877)&lt;&gt;COLUMNS(B877:D877),876,"")</f>
        <v>0</v>
      </c>
      <c r="C877" s="1">
        <f>IF(B877="", "", "rat metagenome")</f>
        <v>0</v>
      </c>
      <c r="D877" s="1">
        <f>IF(B877="", "", "1427740")</f>
        <v>0</v>
      </c>
    </row>
    <row r="878" spans="1:4">
      <c r="A878">
        <f>IF(COUNTBLANK(B878:D878)&lt;&gt;COLUMNS(B878:D878),877,"")</f>
        <v>0</v>
      </c>
      <c r="C878" s="1">
        <f>IF(B878="", "", "rat metagenome")</f>
        <v>0</v>
      </c>
      <c r="D878" s="1">
        <f>IF(B878="", "", "1427740")</f>
        <v>0</v>
      </c>
    </row>
    <row r="879" spans="1:4">
      <c r="A879">
        <f>IF(COUNTBLANK(B879:D879)&lt;&gt;COLUMNS(B879:D879),878,"")</f>
        <v>0</v>
      </c>
      <c r="C879" s="1">
        <f>IF(B879="", "", "rat metagenome")</f>
        <v>0</v>
      </c>
      <c r="D879" s="1">
        <f>IF(B879="", "", "1427740")</f>
        <v>0</v>
      </c>
    </row>
    <row r="880" spans="1:4">
      <c r="A880">
        <f>IF(COUNTBLANK(B880:D880)&lt;&gt;COLUMNS(B880:D880),879,"")</f>
        <v>0</v>
      </c>
      <c r="C880" s="1">
        <f>IF(B880="", "", "rat metagenome")</f>
        <v>0</v>
      </c>
      <c r="D880" s="1">
        <f>IF(B880="", "", "1427740")</f>
        <v>0</v>
      </c>
    </row>
    <row r="881" spans="1:4">
      <c r="A881">
        <f>IF(COUNTBLANK(B881:D881)&lt;&gt;COLUMNS(B881:D881),880,"")</f>
        <v>0</v>
      </c>
      <c r="C881" s="1">
        <f>IF(B881="", "", "rat metagenome")</f>
        <v>0</v>
      </c>
      <c r="D881" s="1">
        <f>IF(B881="", "", "1427740")</f>
        <v>0</v>
      </c>
    </row>
    <row r="882" spans="1:4">
      <c r="A882">
        <f>IF(COUNTBLANK(B882:D882)&lt;&gt;COLUMNS(B882:D882),881,"")</f>
        <v>0</v>
      </c>
      <c r="C882" s="1">
        <f>IF(B882="", "", "rat metagenome")</f>
        <v>0</v>
      </c>
      <c r="D882" s="1">
        <f>IF(B882="", "", "1427740")</f>
        <v>0</v>
      </c>
    </row>
    <row r="883" spans="1:4">
      <c r="A883">
        <f>IF(COUNTBLANK(B883:D883)&lt;&gt;COLUMNS(B883:D883),882,"")</f>
        <v>0</v>
      </c>
      <c r="C883" s="1">
        <f>IF(B883="", "", "rat metagenome")</f>
        <v>0</v>
      </c>
      <c r="D883" s="1">
        <f>IF(B883="", "", "1427740")</f>
        <v>0</v>
      </c>
    </row>
    <row r="884" spans="1:4">
      <c r="A884">
        <f>IF(COUNTBLANK(B884:D884)&lt;&gt;COLUMNS(B884:D884),883,"")</f>
        <v>0</v>
      </c>
      <c r="C884" s="1">
        <f>IF(B884="", "", "rat metagenome")</f>
        <v>0</v>
      </c>
      <c r="D884" s="1">
        <f>IF(B884="", "", "1427740")</f>
        <v>0</v>
      </c>
    </row>
    <row r="885" spans="1:4">
      <c r="A885">
        <f>IF(COUNTBLANK(B885:D885)&lt;&gt;COLUMNS(B885:D885),884,"")</f>
        <v>0</v>
      </c>
      <c r="C885" s="1">
        <f>IF(B885="", "", "rat metagenome")</f>
        <v>0</v>
      </c>
      <c r="D885" s="1">
        <f>IF(B885="", "", "1427740")</f>
        <v>0</v>
      </c>
    </row>
    <row r="886" spans="1:4">
      <c r="A886">
        <f>IF(COUNTBLANK(B886:D886)&lt;&gt;COLUMNS(B886:D886),885,"")</f>
        <v>0</v>
      </c>
      <c r="C886" s="1">
        <f>IF(B886="", "", "rat metagenome")</f>
        <v>0</v>
      </c>
      <c r="D886" s="1">
        <f>IF(B886="", "", "1427740")</f>
        <v>0</v>
      </c>
    </row>
    <row r="887" spans="1:4">
      <c r="A887">
        <f>IF(COUNTBLANK(B887:D887)&lt;&gt;COLUMNS(B887:D887),886,"")</f>
        <v>0</v>
      </c>
      <c r="C887" s="1">
        <f>IF(B887="", "", "rat metagenome")</f>
        <v>0</v>
      </c>
      <c r="D887" s="1">
        <f>IF(B887="", "", "1427740")</f>
        <v>0</v>
      </c>
    </row>
    <row r="888" spans="1:4">
      <c r="A888">
        <f>IF(COUNTBLANK(B888:D888)&lt;&gt;COLUMNS(B888:D888),887,"")</f>
        <v>0</v>
      </c>
      <c r="C888" s="1">
        <f>IF(B888="", "", "rat metagenome")</f>
        <v>0</v>
      </c>
      <c r="D888" s="1">
        <f>IF(B888="", "", "1427740")</f>
        <v>0</v>
      </c>
    </row>
    <row r="889" spans="1:4">
      <c r="A889">
        <f>IF(COUNTBLANK(B889:D889)&lt;&gt;COLUMNS(B889:D889),888,"")</f>
        <v>0</v>
      </c>
      <c r="C889" s="1">
        <f>IF(B889="", "", "rat metagenome")</f>
        <v>0</v>
      </c>
      <c r="D889" s="1">
        <f>IF(B889="", "", "1427740")</f>
        <v>0</v>
      </c>
    </row>
    <row r="890" spans="1:4">
      <c r="A890">
        <f>IF(COUNTBLANK(B890:D890)&lt;&gt;COLUMNS(B890:D890),889,"")</f>
        <v>0</v>
      </c>
      <c r="C890" s="1">
        <f>IF(B890="", "", "rat metagenome")</f>
        <v>0</v>
      </c>
      <c r="D890" s="1">
        <f>IF(B890="", "", "1427740")</f>
        <v>0</v>
      </c>
    </row>
    <row r="891" spans="1:4">
      <c r="A891">
        <f>IF(COUNTBLANK(B891:D891)&lt;&gt;COLUMNS(B891:D891),890,"")</f>
        <v>0</v>
      </c>
      <c r="C891" s="1">
        <f>IF(B891="", "", "rat metagenome")</f>
        <v>0</v>
      </c>
      <c r="D891" s="1">
        <f>IF(B891="", "", "1427740")</f>
        <v>0</v>
      </c>
    </row>
    <row r="892" spans="1:4">
      <c r="A892">
        <f>IF(COUNTBLANK(B892:D892)&lt;&gt;COLUMNS(B892:D892),891,"")</f>
        <v>0</v>
      </c>
      <c r="C892" s="1">
        <f>IF(B892="", "", "rat metagenome")</f>
        <v>0</v>
      </c>
      <c r="D892" s="1">
        <f>IF(B892="", "", "1427740")</f>
        <v>0</v>
      </c>
    </row>
    <row r="893" spans="1:4">
      <c r="A893">
        <f>IF(COUNTBLANK(B893:D893)&lt;&gt;COLUMNS(B893:D893),892,"")</f>
        <v>0</v>
      </c>
      <c r="C893" s="1">
        <f>IF(B893="", "", "rat metagenome")</f>
        <v>0</v>
      </c>
      <c r="D893" s="1">
        <f>IF(B893="", "", "1427740")</f>
        <v>0</v>
      </c>
    </row>
    <row r="894" spans="1:4">
      <c r="A894">
        <f>IF(COUNTBLANK(B894:D894)&lt;&gt;COLUMNS(B894:D894),893,"")</f>
        <v>0</v>
      </c>
      <c r="C894" s="1">
        <f>IF(B894="", "", "rat metagenome")</f>
        <v>0</v>
      </c>
      <c r="D894" s="1">
        <f>IF(B894="", "", "1427740")</f>
        <v>0</v>
      </c>
    </row>
    <row r="895" spans="1:4">
      <c r="A895">
        <f>IF(COUNTBLANK(B895:D895)&lt;&gt;COLUMNS(B895:D895),894,"")</f>
        <v>0</v>
      </c>
      <c r="C895" s="1">
        <f>IF(B895="", "", "rat metagenome")</f>
        <v>0</v>
      </c>
      <c r="D895" s="1">
        <f>IF(B895="", "", "1427740")</f>
        <v>0</v>
      </c>
    </row>
    <row r="896" spans="1:4">
      <c r="A896">
        <f>IF(COUNTBLANK(B896:D896)&lt;&gt;COLUMNS(B896:D896),895,"")</f>
        <v>0</v>
      </c>
      <c r="C896" s="1">
        <f>IF(B896="", "", "rat metagenome")</f>
        <v>0</v>
      </c>
      <c r="D896" s="1">
        <f>IF(B896="", "", "1427740")</f>
        <v>0</v>
      </c>
    </row>
    <row r="897" spans="1:4">
      <c r="A897">
        <f>IF(COUNTBLANK(B897:D897)&lt;&gt;COLUMNS(B897:D897),896,"")</f>
        <v>0</v>
      </c>
      <c r="C897" s="1">
        <f>IF(B897="", "", "rat metagenome")</f>
        <v>0</v>
      </c>
      <c r="D897" s="1">
        <f>IF(B897="", "", "1427740")</f>
        <v>0</v>
      </c>
    </row>
    <row r="898" spans="1:4">
      <c r="A898">
        <f>IF(COUNTBLANK(B898:D898)&lt;&gt;COLUMNS(B898:D898),897,"")</f>
        <v>0</v>
      </c>
      <c r="C898" s="1">
        <f>IF(B898="", "", "rat metagenome")</f>
        <v>0</v>
      </c>
      <c r="D898" s="1">
        <f>IF(B898="", "", "1427740")</f>
        <v>0</v>
      </c>
    </row>
    <row r="899" spans="1:4">
      <c r="A899">
        <f>IF(COUNTBLANK(B899:D899)&lt;&gt;COLUMNS(B899:D899),898,"")</f>
        <v>0</v>
      </c>
      <c r="C899" s="1">
        <f>IF(B899="", "", "rat metagenome")</f>
        <v>0</v>
      </c>
      <c r="D899" s="1">
        <f>IF(B899="", "", "1427740")</f>
        <v>0</v>
      </c>
    </row>
    <row r="900" spans="1:4">
      <c r="A900">
        <f>IF(COUNTBLANK(B900:D900)&lt;&gt;COLUMNS(B900:D900),899,"")</f>
        <v>0</v>
      </c>
      <c r="C900" s="1">
        <f>IF(B900="", "", "rat metagenome")</f>
        <v>0</v>
      </c>
      <c r="D900" s="1">
        <f>IF(B900="", "", "1427740")</f>
        <v>0</v>
      </c>
    </row>
    <row r="901" spans="1:4">
      <c r="A901">
        <f>IF(COUNTBLANK(B901:D901)&lt;&gt;COLUMNS(B901:D901),900,"")</f>
        <v>0</v>
      </c>
      <c r="C901" s="1">
        <f>IF(B901="", "", "rat metagenome")</f>
        <v>0</v>
      </c>
      <c r="D901" s="1">
        <f>IF(B901="", "", "1427740")</f>
        <v>0</v>
      </c>
    </row>
    <row r="902" spans="1:4">
      <c r="A902">
        <f>IF(COUNTBLANK(B902:D902)&lt;&gt;COLUMNS(B902:D902),901,"")</f>
        <v>0</v>
      </c>
      <c r="C902" s="1">
        <f>IF(B902="", "", "rat metagenome")</f>
        <v>0</v>
      </c>
      <c r="D902" s="1">
        <f>IF(B902="", "", "1427740")</f>
        <v>0</v>
      </c>
    </row>
    <row r="903" spans="1:4">
      <c r="A903">
        <f>IF(COUNTBLANK(B903:D903)&lt;&gt;COLUMNS(B903:D903),902,"")</f>
        <v>0</v>
      </c>
      <c r="C903" s="1">
        <f>IF(B903="", "", "rat metagenome")</f>
        <v>0</v>
      </c>
      <c r="D903" s="1">
        <f>IF(B903="", "", "1427740")</f>
        <v>0</v>
      </c>
    </row>
    <row r="904" spans="1:4">
      <c r="A904">
        <f>IF(COUNTBLANK(B904:D904)&lt;&gt;COLUMNS(B904:D904),903,"")</f>
        <v>0</v>
      </c>
      <c r="C904" s="1">
        <f>IF(B904="", "", "rat metagenome")</f>
        <v>0</v>
      </c>
      <c r="D904" s="1">
        <f>IF(B904="", "", "1427740")</f>
        <v>0</v>
      </c>
    </row>
    <row r="905" spans="1:4">
      <c r="A905">
        <f>IF(COUNTBLANK(B905:D905)&lt;&gt;COLUMNS(B905:D905),904,"")</f>
        <v>0</v>
      </c>
      <c r="C905" s="1">
        <f>IF(B905="", "", "rat metagenome")</f>
        <v>0</v>
      </c>
      <c r="D905" s="1">
        <f>IF(B905="", "", "1427740")</f>
        <v>0</v>
      </c>
    </row>
    <row r="906" spans="1:4">
      <c r="A906">
        <f>IF(COUNTBLANK(B906:D906)&lt;&gt;COLUMNS(B906:D906),905,"")</f>
        <v>0</v>
      </c>
      <c r="C906" s="1">
        <f>IF(B906="", "", "rat metagenome")</f>
        <v>0</v>
      </c>
      <c r="D906" s="1">
        <f>IF(B906="", "", "1427740")</f>
        <v>0</v>
      </c>
    </row>
    <row r="907" spans="1:4">
      <c r="A907">
        <f>IF(COUNTBLANK(B907:D907)&lt;&gt;COLUMNS(B907:D907),906,"")</f>
        <v>0</v>
      </c>
      <c r="C907" s="1">
        <f>IF(B907="", "", "rat metagenome")</f>
        <v>0</v>
      </c>
      <c r="D907" s="1">
        <f>IF(B907="", "", "1427740")</f>
        <v>0</v>
      </c>
    </row>
    <row r="908" spans="1:4">
      <c r="A908">
        <f>IF(COUNTBLANK(B908:D908)&lt;&gt;COLUMNS(B908:D908),907,"")</f>
        <v>0</v>
      </c>
      <c r="C908" s="1">
        <f>IF(B908="", "", "rat metagenome")</f>
        <v>0</v>
      </c>
      <c r="D908" s="1">
        <f>IF(B908="", "", "1427740")</f>
        <v>0</v>
      </c>
    </row>
    <row r="909" spans="1:4">
      <c r="A909">
        <f>IF(COUNTBLANK(B909:D909)&lt;&gt;COLUMNS(B909:D909),908,"")</f>
        <v>0</v>
      </c>
      <c r="C909" s="1">
        <f>IF(B909="", "", "rat metagenome")</f>
        <v>0</v>
      </c>
      <c r="D909" s="1">
        <f>IF(B909="", "", "1427740")</f>
        <v>0</v>
      </c>
    </row>
    <row r="910" spans="1:4">
      <c r="A910">
        <f>IF(COUNTBLANK(B910:D910)&lt;&gt;COLUMNS(B910:D910),909,"")</f>
        <v>0</v>
      </c>
      <c r="C910" s="1">
        <f>IF(B910="", "", "rat metagenome")</f>
        <v>0</v>
      </c>
      <c r="D910" s="1">
        <f>IF(B910="", "", "1427740")</f>
        <v>0</v>
      </c>
    </row>
    <row r="911" spans="1:4">
      <c r="A911">
        <f>IF(COUNTBLANK(B911:D911)&lt;&gt;COLUMNS(B911:D911),910,"")</f>
        <v>0</v>
      </c>
      <c r="C911" s="1">
        <f>IF(B911="", "", "rat metagenome")</f>
        <v>0</v>
      </c>
      <c r="D911" s="1">
        <f>IF(B911="", "", "1427740")</f>
        <v>0</v>
      </c>
    </row>
    <row r="912" spans="1:4">
      <c r="A912">
        <f>IF(COUNTBLANK(B912:D912)&lt;&gt;COLUMNS(B912:D912),911,"")</f>
        <v>0</v>
      </c>
      <c r="C912" s="1">
        <f>IF(B912="", "", "rat metagenome")</f>
        <v>0</v>
      </c>
      <c r="D912" s="1">
        <f>IF(B912="", "", "1427740")</f>
        <v>0</v>
      </c>
    </row>
    <row r="913" spans="1:4">
      <c r="A913">
        <f>IF(COUNTBLANK(B913:D913)&lt;&gt;COLUMNS(B913:D913),912,"")</f>
        <v>0</v>
      </c>
      <c r="C913" s="1">
        <f>IF(B913="", "", "rat metagenome")</f>
        <v>0</v>
      </c>
      <c r="D913" s="1">
        <f>IF(B913="", "", "1427740")</f>
        <v>0</v>
      </c>
    </row>
    <row r="914" spans="1:4">
      <c r="A914">
        <f>IF(COUNTBLANK(B914:D914)&lt;&gt;COLUMNS(B914:D914),913,"")</f>
        <v>0</v>
      </c>
      <c r="C914" s="1">
        <f>IF(B914="", "", "rat metagenome")</f>
        <v>0</v>
      </c>
      <c r="D914" s="1">
        <f>IF(B914="", "", "1427740")</f>
        <v>0</v>
      </c>
    </row>
    <row r="915" spans="1:4">
      <c r="A915">
        <f>IF(COUNTBLANK(B915:D915)&lt;&gt;COLUMNS(B915:D915),914,"")</f>
        <v>0</v>
      </c>
      <c r="C915" s="1">
        <f>IF(B915="", "", "rat metagenome")</f>
        <v>0</v>
      </c>
      <c r="D915" s="1">
        <f>IF(B915="", "", "1427740")</f>
        <v>0</v>
      </c>
    </row>
    <row r="916" spans="1:4">
      <c r="A916">
        <f>IF(COUNTBLANK(B916:D916)&lt;&gt;COLUMNS(B916:D916),915,"")</f>
        <v>0</v>
      </c>
      <c r="C916" s="1">
        <f>IF(B916="", "", "rat metagenome")</f>
        <v>0</v>
      </c>
      <c r="D916" s="1">
        <f>IF(B916="", "", "1427740")</f>
        <v>0</v>
      </c>
    </row>
    <row r="917" spans="1:4">
      <c r="A917">
        <f>IF(COUNTBLANK(B917:D917)&lt;&gt;COLUMNS(B917:D917),916,"")</f>
        <v>0</v>
      </c>
      <c r="C917" s="1">
        <f>IF(B917="", "", "rat metagenome")</f>
        <v>0</v>
      </c>
      <c r="D917" s="1">
        <f>IF(B917="", "", "1427740")</f>
        <v>0</v>
      </c>
    </row>
    <row r="918" spans="1:4">
      <c r="A918">
        <f>IF(COUNTBLANK(B918:D918)&lt;&gt;COLUMNS(B918:D918),917,"")</f>
        <v>0</v>
      </c>
      <c r="C918" s="1">
        <f>IF(B918="", "", "rat metagenome")</f>
        <v>0</v>
      </c>
      <c r="D918" s="1">
        <f>IF(B918="", "", "1427740")</f>
        <v>0</v>
      </c>
    </row>
    <row r="919" spans="1:4">
      <c r="A919">
        <f>IF(COUNTBLANK(B919:D919)&lt;&gt;COLUMNS(B919:D919),918,"")</f>
        <v>0</v>
      </c>
      <c r="C919" s="1">
        <f>IF(B919="", "", "rat metagenome")</f>
        <v>0</v>
      </c>
      <c r="D919" s="1">
        <f>IF(B919="", "", "1427740")</f>
        <v>0</v>
      </c>
    </row>
    <row r="920" spans="1:4">
      <c r="A920">
        <f>IF(COUNTBLANK(B920:D920)&lt;&gt;COLUMNS(B920:D920),919,"")</f>
        <v>0</v>
      </c>
      <c r="C920" s="1">
        <f>IF(B920="", "", "rat metagenome")</f>
        <v>0</v>
      </c>
      <c r="D920" s="1">
        <f>IF(B920="", "", "1427740")</f>
        <v>0</v>
      </c>
    </row>
    <row r="921" spans="1:4">
      <c r="A921">
        <f>IF(COUNTBLANK(B921:D921)&lt;&gt;COLUMNS(B921:D921),920,"")</f>
        <v>0</v>
      </c>
      <c r="C921" s="1">
        <f>IF(B921="", "", "rat metagenome")</f>
        <v>0</v>
      </c>
      <c r="D921" s="1">
        <f>IF(B921="", "", "1427740")</f>
        <v>0</v>
      </c>
    </row>
    <row r="922" spans="1:4">
      <c r="A922">
        <f>IF(COUNTBLANK(B922:D922)&lt;&gt;COLUMNS(B922:D922),921,"")</f>
        <v>0</v>
      </c>
      <c r="C922" s="1">
        <f>IF(B922="", "", "rat metagenome")</f>
        <v>0</v>
      </c>
      <c r="D922" s="1">
        <f>IF(B922="", "", "1427740")</f>
        <v>0</v>
      </c>
    </row>
    <row r="923" spans="1:4">
      <c r="A923">
        <f>IF(COUNTBLANK(B923:D923)&lt;&gt;COLUMNS(B923:D923),922,"")</f>
        <v>0</v>
      </c>
      <c r="C923" s="1">
        <f>IF(B923="", "", "rat metagenome")</f>
        <v>0</v>
      </c>
      <c r="D923" s="1">
        <f>IF(B923="", "", "1427740")</f>
        <v>0</v>
      </c>
    </row>
    <row r="924" spans="1:4">
      <c r="A924">
        <f>IF(COUNTBLANK(B924:D924)&lt;&gt;COLUMNS(B924:D924),923,"")</f>
        <v>0</v>
      </c>
      <c r="C924" s="1">
        <f>IF(B924="", "", "rat metagenome")</f>
        <v>0</v>
      </c>
      <c r="D924" s="1">
        <f>IF(B924="", "", "1427740")</f>
        <v>0</v>
      </c>
    </row>
    <row r="925" spans="1:4">
      <c r="A925">
        <f>IF(COUNTBLANK(B925:D925)&lt;&gt;COLUMNS(B925:D925),924,"")</f>
        <v>0</v>
      </c>
      <c r="C925" s="1">
        <f>IF(B925="", "", "rat metagenome")</f>
        <v>0</v>
      </c>
      <c r="D925" s="1">
        <f>IF(B925="", "", "1427740")</f>
        <v>0</v>
      </c>
    </row>
    <row r="926" spans="1:4">
      <c r="A926">
        <f>IF(COUNTBLANK(B926:D926)&lt;&gt;COLUMNS(B926:D926),925,"")</f>
        <v>0</v>
      </c>
      <c r="C926" s="1">
        <f>IF(B926="", "", "rat metagenome")</f>
        <v>0</v>
      </c>
      <c r="D926" s="1">
        <f>IF(B926="", "", "1427740")</f>
        <v>0</v>
      </c>
    </row>
    <row r="927" spans="1:4">
      <c r="A927">
        <f>IF(COUNTBLANK(B927:D927)&lt;&gt;COLUMNS(B927:D927),926,"")</f>
        <v>0</v>
      </c>
      <c r="C927" s="1">
        <f>IF(B927="", "", "rat metagenome")</f>
        <v>0</v>
      </c>
      <c r="D927" s="1">
        <f>IF(B927="", "", "1427740")</f>
        <v>0</v>
      </c>
    </row>
    <row r="928" spans="1:4">
      <c r="A928">
        <f>IF(COUNTBLANK(B928:D928)&lt;&gt;COLUMNS(B928:D928),927,"")</f>
        <v>0</v>
      </c>
      <c r="C928" s="1">
        <f>IF(B928="", "", "rat metagenome")</f>
        <v>0</v>
      </c>
      <c r="D928" s="1">
        <f>IF(B928="", "", "1427740")</f>
        <v>0</v>
      </c>
    </row>
    <row r="929" spans="1:4">
      <c r="A929">
        <f>IF(COUNTBLANK(B929:D929)&lt;&gt;COLUMNS(B929:D929),928,"")</f>
        <v>0</v>
      </c>
      <c r="C929" s="1">
        <f>IF(B929="", "", "rat metagenome")</f>
        <v>0</v>
      </c>
      <c r="D929" s="1">
        <f>IF(B929="", "", "1427740")</f>
        <v>0</v>
      </c>
    </row>
    <row r="930" spans="1:4">
      <c r="A930">
        <f>IF(COUNTBLANK(B930:D930)&lt;&gt;COLUMNS(B930:D930),929,"")</f>
        <v>0</v>
      </c>
      <c r="C930" s="1">
        <f>IF(B930="", "", "rat metagenome")</f>
        <v>0</v>
      </c>
      <c r="D930" s="1">
        <f>IF(B930="", "", "1427740")</f>
        <v>0</v>
      </c>
    </row>
    <row r="931" spans="1:4">
      <c r="A931">
        <f>IF(COUNTBLANK(B931:D931)&lt;&gt;COLUMNS(B931:D931),930,"")</f>
        <v>0</v>
      </c>
      <c r="C931" s="1">
        <f>IF(B931="", "", "rat metagenome")</f>
        <v>0</v>
      </c>
      <c r="D931" s="1">
        <f>IF(B931="", "", "1427740")</f>
        <v>0</v>
      </c>
    </row>
    <row r="932" spans="1:4">
      <c r="A932">
        <f>IF(COUNTBLANK(B932:D932)&lt;&gt;COLUMNS(B932:D932),931,"")</f>
        <v>0</v>
      </c>
      <c r="C932" s="1">
        <f>IF(B932="", "", "rat metagenome")</f>
        <v>0</v>
      </c>
      <c r="D932" s="1">
        <f>IF(B932="", "", "1427740")</f>
        <v>0</v>
      </c>
    </row>
    <row r="933" spans="1:4">
      <c r="A933">
        <f>IF(COUNTBLANK(B933:D933)&lt;&gt;COLUMNS(B933:D933),932,"")</f>
        <v>0</v>
      </c>
      <c r="C933" s="1">
        <f>IF(B933="", "", "rat metagenome")</f>
        <v>0</v>
      </c>
      <c r="D933" s="1">
        <f>IF(B933="", "", "1427740")</f>
        <v>0</v>
      </c>
    </row>
    <row r="934" spans="1:4">
      <c r="A934">
        <f>IF(COUNTBLANK(B934:D934)&lt;&gt;COLUMNS(B934:D934),933,"")</f>
        <v>0</v>
      </c>
      <c r="C934" s="1">
        <f>IF(B934="", "", "rat metagenome")</f>
        <v>0</v>
      </c>
      <c r="D934" s="1">
        <f>IF(B934="", "", "1427740")</f>
        <v>0</v>
      </c>
    </row>
    <row r="935" spans="1:4">
      <c r="A935">
        <f>IF(COUNTBLANK(B935:D935)&lt;&gt;COLUMNS(B935:D935),934,"")</f>
        <v>0</v>
      </c>
      <c r="C935" s="1">
        <f>IF(B935="", "", "rat metagenome")</f>
        <v>0</v>
      </c>
      <c r="D935" s="1">
        <f>IF(B935="", "", "1427740")</f>
        <v>0</v>
      </c>
    </row>
    <row r="936" spans="1:4">
      <c r="A936">
        <f>IF(COUNTBLANK(B936:D936)&lt;&gt;COLUMNS(B936:D936),935,"")</f>
        <v>0</v>
      </c>
      <c r="C936" s="1">
        <f>IF(B936="", "", "rat metagenome")</f>
        <v>0</v>
      </c>
      <c r="D936" s="1">
        <f>IF(B936="", "", "1427740")</f>
        <v>0</v>
      </c>
    </row>
    <row r="937" spans="1:4">
      <c r="A937">
        <f>IF(COUNTBLANK(B937:D937)&lt;&gt;COLUMNS(B937:D937),936,"")</f>
        <v>0</v>
      </c>
      <c r="C937" s="1">
        <f>IF(B937="", "", "rat metagenome")</f>
        <v>0</v>
      </c>
      <c r="D937" s="1">
        <f>IF(B937="", "", "1427740")</f>
        <v>0</v>
      </c>
    </row>
    <row r="938" spans="1:4">
      <c r="A938">
        <f>IF(COUNTBLANK(B938:D938)&lt;&gt;COLUMNS(B938:D938),937,"")</f>
        <v>0</v>
      </c>
      <c r="C938" s="1">
        <f>IF(B938="", "", "rat metagenome")</f>
        <v>0</v>
      </c>
      <c r="D938" s="1">
        <f>IF(B938="", "", "1427740")</f>
        <v>0</v>
      </c>
    </row>
    <row r="939" spans="1:4">
      <c r="A939">
        <f>IF(COUNTBLANK(B939:D939)&lt;&gt;COLUMNS(B939:D939),938,"")</f>
        <v>0</v>
      </c>
      <c r="C939" s="1">
        <f>IF(B939="", "", "rat metagenome")</f>
        <v>0</v>
      </c>
      <c r="D939" s="1">
        <f>IF(B939="", "", "1427740")</f>
        <v>0</v>
      </c>
    </row>
    <row r="940" spans="1:4">
      <c r="A940">
        <f>IF(COUNTBLANK(B940:D940)&lt;&gt;COLUMNS(B940:D940),939,"")</f>
        <v>0</v>
      </c>
      <c r="C940" s="1">
        <f>IF(B940="", "", "rat metagenome")</f>
        <v>0</v>
      </c>
      <c r="D940" s="1">
        <f>IF(B940="", "", "1427740")</f>
        <v>0</v>
      </c>
    </row>
    <row r="941" spans="1:4">
      <c r="A941">
        <f>IF(COUNTBLANK(B941:D941)&lt;&gt;COLUMNS(B941:D941),940,"")</f>
        <v>0</v>
      </c>
      <c r="C941" s="1">
        <f>IF(B941="", "", "rat metagenome")</f>
        <v>0</v>
      </c>
      <c r="D941" s="1">
        <f>IF(B941="", "", "1427740")</f>
        <v>0</v>
      </c>
    </row>
    <row r="942" spans="1:4">
      <c r="A942">
        <f>IF(COUNTBLANK(B942:D942)&lt;&gt;COLUMNS(B942:D942),941,"")</f>
        <v>0</v>
      </c>
      <c r="C942" s="1">
        <f>IF(B942="", "", "rat metagenome")</f>
        <v>0</v>
      </c>
      <c r="D942" s="1">
        <f>IF(B942="", "", "1427740")</f>
        <v>0</v>
      </c>
    </row>
    <row r="943" spans="1:4">
      <c r="A943">
        <f>IF(COUNTBLANK(B943:D943)&lt;&gt;COLUMNS(B943:D943),942,"")</f>
        <v>0</v>
      </c>
      <c r="C943" s="1">
        <f>IF(B943="", "", "rat metagenome")</f>
        <v>0</v>
      </c>
      <c r="D943" s="1">
        <f>IF(B943="", "", "1427740")</f>
        <v>0</v>
      </c>
    </row>
    <row r="944" spans="1:4">
      <c r="A944">
        <f>IF(COUNTBLANK(B944:D944)&lt;&gt;COLUMNS(B944:D944),943,"")</f>
        <v>0</v>
      </c>
      <c r="C944" s="1">
        <f>IF(B944="", "", "rat metagenome")</f>
        <v>0</v>
      </c>
      <c r="D944" s="1">
        <f>IF(B944="", "", "1427740")</f>
        <v>0</v>
      </c>
    </row>
    <row r="945" spans="1:4">
      <c r="A945">
        <f>IF(COUNTBLANK(B945:D945)&lt;&gt;COLUMNS(B945:D945),944,"")</f>
        <v>0</v>
      </c>
      <c r="C945" s="1">
        <f>IF(B945="", "", "rat metagenome")</f>
        <v>0</v>
      </c>
      <c r="D945" s="1">
        <f>IF(B945="", "", "1427740")</f>
        <v>0</v>
      </c>
    </row>
    <row r="946" spans="1:4">
      <c r="A946">
        <f>IF(COUNTBLANK(B946:D946)&lt;&gt;COLUMNS(B946:D946),945,"")</f>
        <v>0</v>
      </c>
      <c r="C946" s="1">
        <f>IF(B946="", "", "rat metagenome")</f>
        <v>0</v>
      </c>
      <c r="D946" s="1">
        <f>IF(B946="", "", "1427740")</f>
        <v>0</v>
      </c>
    </row>
    <row r="947" spans="1:4">
      <c r="A947">
        <f>IF(COUNTBLANK(B947:D947)&lt;&gt;COLUMNS(B947:D947),946,"")</f>
        <v>0</v>
      </c>
      <c r="C947" s="1">
        <f>IF(B947="", "", "rat metagenome")</f>
        <v>0</v>
      </c>
      <c r="D947" s="1">
        <f>IF(B947="", "", "1427740")</f>
        <v>0</v>
      </c>
    </row>
    <row r="948" spans="1:4">
      <c r="A948">
        <f>IF(COUNTBLANK(B948:D948)&lt;&gt;COLUMNS(B948:D948),947,"")</f>
        <v>0</v>
      </c>
      <c r="C948" s="1">
        <f>IF(B948="", "", "rat metagenome")</f>
        <v>0</v>
      </c>
      <c r="D948" s="1">
        <f>IF(B948="", "", "1427740")</f>
        <v>0</v>
      </c>
    </row>
    <row r="949" spans="1:4">
      <c r="A949">
        <f>IF(COUNTBLANK(B949:D949)&lt;&gt;COLUMNS(B949:D949),948,"")</f>
        <v>0</v>
      </c>
      <c r="C949" s="1">
        <f>IF(B949="", "", "rat metagenome")</f>
        <v>0</v>
      </c>
      <c r="D949" s="1">
        <f>IF(B949="", "", "1427740")</f>
        <v>0</v>
      </c>
    </row>
    <row r="950" spans="1:4">
      <c r="A950">
        <f>IF(COUNTBLANK(B950:D950)&lt;&gt;COLUMNS(B950:D950),949,"")</f>
        <v>0</v>
      </c>
      <c r="C950" s="1">
        <f>IF(B950="", "", "rat metagenome")</f>
        <v>0</v>
      </c>
      <c r="D950" s="1">
        <f>IF(B950="", "", "1427740")</f>
        <v>0</v>
      </c>
    </row>
    <row r="951" spans="1:4">
      <c r="A951">
        <f>IF(COUNTBLANK(B951:D951)&lt;&gt;COLUMNS(B951:D951),950,"")</f>
        <v>0</v>
      </c>
      <c r="C951" s="1">
        <f>IF(B951="", "", "rat metagenome")</f>
        <v>0</v>
      </c>
      <c r="D951" s="1">
        <f>IF(B951="", "", "1427740")</f>
        <v>0</v>
      </c>
    </row>
    <row r="952" spans="1:4">
      <c r="A952">
        <f>IF(COUNTBLANK(B952:D952)&lt;&gt;COLUMNS(B952:D952),951,"")</f>
        <v>0</v>
      </c>
      <c r="C952" s="1">
        <f>IF(B952="", "", "rat metagenome")</f>
        <v>0</v>
      </c>
      <c r="D952" s="1">
        <f>IF(B952="", "", "1427740")</f>
        <v>0</v>
      </c>
    </row>
    <row r="953" spans="1:4">
      <c r="A953">
        <f>IF(COUNTBLANK(B953:D953)&lt;&gt;COLUMNS(B953:D953),952,"")</f>
        <v>0</v>
      </c>
      <c r="C953" s="1">
        <f>IF(B953="", "", "rat metagenome")</f>
        <v>0</v>
      </c>
      <c r="D953" s="1">
        <f>IF(B953="", "", "1427740")</f>
        <v>0</v>
      </c>
    </row>
    <row r="954" spans="1:4">
      <c r="A954">
        <f>IF(COUNTBLANK(B954:D954)&lt;&gt;COLUMNS(B954:D954),953,"")</f>
        <v>0</v>
      </c>
      <c r="C954" s="1">
        <f>IF(B954="", "", "rat metagenome")</f>
        <v>0</v>
      </c>
      <c r="D954" s="1">
        <f>IF(B954="", "", "1427740")</f>
        <v>0</v>
      </c>
    </row>
    <row r="955" spans="1:4">
      <c r="A955">
        <f>IF(COUNTBLANK(B955:D955)&lt;&gt;COLUMNS(B955:D955),954,"")</f>
        <v>0</v>
      </c>
      <c r="C955" s="1">
        <f>IF(B955="", "", "rat metagenome")</f>
        <v>0</v>
      </c>
      <c r="D955" s="1">
        <f>IF(B955="", "", "1427740")</f>
        <v>0</v>
      </c>
    </row>
    <row r="956" spans="1:4">
      <c r="A956">
        <f>IF(COUNTBLANK(B956:D956)&lt;&gt;COLUMNS(B956:D956),955,"")</f>
        <v>0</v>
      </c>
      <c r="C956" s="1">
        <f>IF(B956="", "", "rat metagenome")</f>
        <v>0</v>
      </c>
      <c r="D956" s="1">
        <f>IF(B956="", "", "1427740")</f>
        <v>0</v>
      </c>
    </row>
    <row r="957" spans="1:4">
      <c r="A957">
        <f>IF(COUNTBLANK(B957:D957)&lt;&gt;COLUMNS(B957:D957),956,"")</f>
        <v>0</v>
      </c>
      <c r="C957" s="1">
        <f>IF(B957="", "", "rat metagenome")</f>
        <v>0</v>
      </c>
      <c r="D957" s="1">
        <f>IF(B957="", "", "1427740")</f>
        <v>0</v>
      </c>
    </row>
    <row r="958" spans="1:4">
      <c r="A958">
        <f>IF(COUNTBLANK(B958:D958)&lt;&gt;COLUMNS(B958:D958),957,"")</f>
        <v>0</v>
      </c>
      <c r="C958" s="1">
        <f>IF(B958="", "", "rat metagenome")</f>
        <v>0</v>
      </c>
      <c r="D958" s="1">
        <f>IF(B958="", "", "1427740")</f>
        <v>0</v>
      </c>
    </row>
    <row r="959" spans="1:4">
      <c r="A959">
        <f>IF(COUNTBLANK(B959:D959)&lt;&gt;COLUMNS(B959:D959),958,"")</f>
        <v>0</v>
      </c>
      <c r="C959" s="1">
        <f>IF(B959="", "", "rat metagenome")</f>
        <v>0</v>
      </c>
      <c r="D959" s="1">
        <f>IF(B959="", "", "1427740")</f>
        <v>0</v>
      </c>
    </row>
    <row r="960" spans="1:4">
      <c r="A960">
        <f>IF(COUNTBLANK(B960:D960)&lt;&gt;COLUMNS(B960:D960),959,"")</f>
        <v>0</v>
      </c>
      <c r="C960" s="1">
        <f>IF(B960="", "", "rat metagenome")</f>
        <v>0</v>
      </c>
      <c r="D960" s="1">
        <f>IF(B960="", "", "1427740")</f>
        <v>0</v>
      </c>
    </row>
    <row r="961" spans="1:4">
      <c r="A961">
        <f>IF(COUNTBLANK(B961:D961)&lt;&gt;COLUMNS(B961:D961),960,"")</f>
        <v>0</v>
      </c>
      <c r="C961" s="1">
        <f>IF(B961="", "", "rat metagenome")</f>
        <v>0</v>
      </c>
      <c r="D961" s="1">
        <f>IF(B961="", "", "1427740")</f>
        <v>0</v>
      </c>
    </row>
    <row r="962" spans="1:4">
      <c r="A962">
        <f>IF(COUNTBLANK(B962:D962)&lt;&gt;COLUMNS(B962:D962),961,"")</f>
        <v>0</v>
      </c>
      <c r="C962" s="1">
        <f>IF(B962="", "", "rat metagenome")</f>
        <v>0</v>
      </c>
      <c r="D962" s="1">
        <f>IF(B962="", "", "1427740")</f>
        <v>0</v>
      </c>
    </row>
    <row r="963" spans="1:4">
      <c r="A963">
        <f>IF(COUNTBLANK(B963:D963)&lt;&gt;COLUMNS(B963:D963),962,"")</f>
        <v>0</v>
      </c>
      <c r="C963" s="1">
        <f>IF(B963="", "", "rat metagenome")</f>
        <v>0</v>
      </c>
      <c r="D963" s="1">
        <f>IF(B963="", "", "1427740")</f>
        <v>0</v>
      </c>
    </row>
    <row r="964" spans="1:4">
      <c r="A964">
        <f>IF(COUNTBLANK(B964:D964)&lt;&gt;COLUMNS(B964:D964),963,"")</f>
        <v>0</v>
      </c>
      <c r="C964" s="1">
        <f>IF(B964="", "", "rat metagenome")</f>
        <v>0</v>
      </c>
      <c r="D964" s="1">
        <f>IF(B964="", "", "1427740")</f>
        <v>0</v>
      </c>
    </row>
    <row r="965" spans="1:4">
      <c r="A965">
        <f>IF(COUNTBLANK(B965:D965)&lt;&gt;COLUMNS(B965:D965),964,"")</f>
        <v>0</v>
      </c>
      <c r="C965" s="1">
        <f>IF(B965="", "", "rat metagenome")</f>
        <v>0</v>
      </c>
      <c r="D965" s="1">
        <f>IF(B965="", "", "1427740")</f>
        <v>0</v>
      </c>
    </row>
    <row r="966" spans="1:4">
      <c r="A966">
        <f>IF(COUNTBLANK(B966:D966)&lt;&gt;COLUMNS(B966:D966),965,"")</f>
        <v>0</v>
      </c>
      <c r="C966" s="1">
        <f>IF(B966="", "", "rat metagenome")</f>
        <v>0</v>
      </c>
      <c r="D966" s="1">
        <f>IF(B966="", "", "1427740")</f>
        <v>0</v>
      </c>
    </row>
    <row r="967" spans="1:4">
      <c r="A967">
        <f>IF(COUNTBLANK(B967:D967)&lt;&gt;COLUMNS(B967:D967),966,"")</f>
        <v>0</v>
      </c>
      <c r="C967" s="1">
        <f>IF(B967="", "", "rat metagenome")</f>
        <v>0</v>
      </c>
      <c r="D967" s="1">
        <f>IF(B967="", "", "1427740")</f>
        <v>0</v>
      </c>
    </row>
    <row r="968" spans="1:4">
      <c r="A968">
        <f>IF(COUNTBLANK(B968:D968)&lt;&gt;COLUMNS(B968:D968),967,"")</f>
        <v>0</v>
      </c>
      <c r="C968" s="1">
        <f>IF(B968="", "", "rat metagenome")</f>
        <v>0</v>
      </c>
      <c r="D968" s="1">
        <f>IF(B968="", "", "1427740")</f>
        <v>0</v>
      </c>
    </row>
    <row r="969" spans="1:4">
      <c r="A969">
        <f>IF(COUNTBLANK(B969:D969)&lt;&gt;COLUMNS(B969:D969),968,"")</f>
        <v>0</v>
      </c>
      <c r="C969" s="1">
        <f>IF(B969="", "", "rat metagenome")</f>
        <v>0</v>
      </c>
      <c r="D969" s="1">
        <f>IF(B969="", "", "1427740")</f>
        <v>0</v>
      </c>
    </row>
    <row r="970" spans="1:4">
      <c r="A970">
        <f>IF(COUNTBLANK(B970:D970)&lt;&gt;COLUMNS(B970:D970),969,"")</f>
        <v>0</v>
      </c>
      <c r="C970" s="1">
        <f>IF(B970="", "", "rat metagenome")</f>
        <v>0</v>
      </c>
      <c r="D970" s="1">
        <f>IF(B970="", "", "1427740")</f>
        <v>0</v>
      </c>
    </row>
    <row r="971" spans="1:4">
      <c r="A971">
        <f>IF(COUNTBLANK(B971:D971)&lt;&gt;COLUMNS(B971:D971),970,"")</f>
        <v>0</v>
      </c>
      <c r="C971" s="1">
        <f>IF(B971="", "", "rat metagenome")</f>
        <v>0</v>
      </c>
      <c r="D971" s="1">
        <f>IF(B971="", "", "1427740")</f>
        <v>0</v>
      </c>
    </row>
    <row r="972" spans="1:4">
      <c r="A972">
        <f>IF(COUNTBLANK(B972:D972)&lt;&gt;COLUMNS(B972:D972),971,"")</f>
        <v>0</v>
      </c>
      <c r="C972" s="1">
        <f>IF(B972="", "", "rat metagenome")</f>
        <v>0</v>
      </c>
      <c r="D972" s="1">
        <f>IF(B972="", "", "1427740")</f>
        <v>0</v>
      </c>
    </row>
    <row r="973" spans="1:4">
      <c r="A973">
        <f>IF(COUNTBLANK(B973:D973)&lt;&gt;COLUMNS(B973:D973),972,"")</f>
        <v>0</v>
      </c>
      <c r="C973" s="1">
        <f>IF(B973="", "", "rat metagenome")</f>
        <v>0</v>
      </c>
      <c r="D973" s="1">
        <f>IF(B973="", "", "1427740")</f>
        <v>0</v>
      </c>
    </row>
    <row r="974" spans="1:4">
      <c r="A974">
        <f>IF(COUNTBLANK(B974:D974)&lt;&gt;COLUMNS(B974:D974),973,"")</f>
        <v>0</v>
      </c>
      <c r="C974" s="1">
        <f>IF(B974="", "", "rat metagenome")</f>
        <v>0</v>
      </c>
      <c r="D974" s="1">
        <f>IF(B974="", "", "1427740")</f>
        <v>0</v>
      </c>
    </row>
    <row r="975" spans="1:4">
      <c r="A975">
        <f>IF(COUNTBLANK(B975:D975)&lt;&gt;COLUMNS(B975:D975),974,"")</f>
        <v>0</v>
      </c>
      <c r="C975" s="1">
        <f>IF(B975="", "", "rat metagenome")</f>
        <v>0</v>
      </c>
      <c r="D975" s="1">
        <f>IF(B975="", "", "1427740")</f>
        <v>0</v>
      </c>
    </row>
    <row r="976" spans="1:4">
      <c r="A976">
        <f>IF(COUNTBLANK(B976:D976)&lt;&gt;COLUMNS(B976:D976),975,"")</f>
        <v>0</v>
      </c>
      <c r="C976" s="1">
        <f>IF(B976="", "", "rat metagenome")</f>
        <v>0</v>
      </c>
      <c r="D976" s="1">
        <f>IF(B976="", "", "1427740")</f>
        <v>0</v>
      </c>
    </row>
    <row r="977" spans="1:4">
      <c r="A977">
        <f>IF(COUNTBLANK(B977:D977)&lt;&gt;COLUMNS(B977:D977),976,"")</f>
        <v>0</v>
      </c>
      <c r="C977" s="1">
        <f>IF(B977="", "", "rat metagenome")</f>
        <v>0</v>
      </c>
      <c r="D977" s="1">
        <f>IF(B977="", "", "1427740")</f>
        <v>0</v>
      </c>
    </row>
    <row r="978" spans="1:4">
      <c r="A978">
        <f>IF(COUNTBLANK(B978:D978)&lt;&gt;COLUMNS(B978:D978),977,"")</f>
        <v>0</v>
      </c>
      <c r="C978" s="1">
        <f>IF(B978="", "", "rat metagenome")</f>
        <v>0</v>
      </c>
      <c r="D978" s="1">
        <f>IF(B978="", "", "1427740")</f>
        <v>0</v>
      </c>
    </row>
    <row r="979" spans="1:4">
      <c r="A979">
        <f>IF(COUNTBLANK(B979:D979)&lt;&gt;COLUMNS(B979:D979),978,"")</f>
        <v>0</v>
      </c>
      <c r="C979" s="1">
        <f>IF(B979="", "", "rat metagenome")</f>
        <v>0</v>
      </c>
      <c r="D979" s="1">
        <f>IF(B979="", "", "1427740")</f>
        <v>0</v>
      </c>
    </row>
    <row r="980" spans="1:4">
      <c r="A980">
        <f>IF(COUNTBLANK(B980:D980)&lt;&gt;COLUMNS(B980:D980),979,"")</f>
        <v>0</v>
      </c>
      <c r="C980" s="1">
        <f>IF(B980="", "", "rat metagenome")</f>
        <v>0</v>
      </c>
      <c r="D980" s="1">
        <f>IF(B980="", "", "1427740")</f>
        <v>0</v>
      </c>
    </row>
    <row r="981" spans="1:4">
      <c r="A981">
        <f>IF(COUNTBLANK(B981:D981)&lt;&gt;COLUMNS(B981:D981),980,"")</f>
        <v>0</v>
      </c>
      <c r="C981" s="1">
        <f>IF(B981="", "", "rat metagenome")</f>
        <v>0</v>
      </c>
      <c r="D981" s="1">
        <f>IF(B981="", "", "1427740")</f>
        <v>0</v>
      </c>
    </row>
    <row r="982" spans="1:4">
      <c r="A982">
        <f>IF(COUNTBLANK(B982:D982)&lt;&gt;COLUMNS(B982:D982),981,"")</f>
        <v>0</v>
      </c>
      <c r="C982" s="1">
        <f>IF(B982="", "", "rat metagenome")</f>
        <v>0</v>
      </c>
      <c r="D982" s="1">
        <f>IF(B982="", "", "1427740")</f>
        <v>0</v>
      </c>
    </row>
    <row r="983" spans="1:4">
      <c r="A983">
        <f>IF(COUNTBLANK(B983:D983)&lt;&gt;COLUMNS(B983:D983),982,"")</f>
        <v>0</v>
      </c>
      <c r="C983" s="1">
        <f>IF(B983="", "", "rat metagenome")</f>
        <v>0</v>
      </c>
      <c r="D983" s="1">
        <f>IF(B983="", "", "1427740")</f>
        <v>0</v>
      </c>
    </row>
    <row r="984" spans="1:4">
      <c r="A984">
        <f>IF(COUNTBLANK(B984:D984)&lt;&gt;COLUMNS(B984:D984),983,"")</f>
        <v>0</v>
      </c>
      <c r="C984" s="1">
        <f>IF(B984="", "", "rat metagenome")</f>
        <v>0</v>
      </c>
      <c r="D984" s="1">
        <f>IF(B984="", "", "1427740")</f>
        <v>0</v>
      </c>
    </row>
    <row r="985" spans="1:4">
      <c r="A985">
        <f>IF(COUNTBLANK(B985:D985)&lt;&gt;COLUMNS(B985:D985),984,"")</f>
        <v>0</v>
      </c>
      <c r="C985" s="1">
        <f>IF(B985="", "", "rat metagenome")</f>
        <v>0</v>
      </c>
      <c r="D985" s="1">
        <f>IF(B985="", "", "1427740")</f>
        <v>0</v>
      </c>
    </row>
    <row r="986" spans="1:4">
      <c r="A986">
        <f>IF(COUNTBLANK(B986:D986)&lt;&gt;COLUMNS(B986:D986),985,"")</f>
        <v>0</v>
      </c>
      <c r="C986" s="1">
        <f>IF(B986="", "", "rat metagenome")</f>
        <v>0</v>
      </c>
      <c r="D986" s="1">
        <f>IF(B986="", "", "1427740")</f>
        <v>0</v>
      </c>
    </row>
    <row r="987" spans="1:4">
      <c r="A987">
        <f>IF(COUNTBLANK(B987:D987)&lt;&gt;COLUMNS(B987:D987),986,"")</f>
        <v>0</v>
      </c>
      <c r="C987" s="1">
        <f>IF(B987="", "", "rat metagenome")</f>
        <v>0</v>
      </c>
      <c r="D987" s="1">
        <f>IF(B987="", "", "1427740")</f>
        <v>0</v>
      </c>
    </row>
    <row r="988" spans="1:4">
      <c r="A988">
        <f>IF(COUNTBLANK(B988:D988)&lt;&gt;COLUMNS(B988:D988),987,"")</f>
        <v>0</v>
      </c>
      <c r="C988" s="1">
        <f>IF(B988="", "", "rat metagenome")</f>
        <v>0</v>
      </c>
      <c r="D988" s="1">
        <f>IF(B988="", "", "1427740")</f>
        <v>0</v>
      </c>
    </row>
    <row r="989" spans="1:4">
      <c r="A989">
        <f>IF(COUNTBLANK(B989:D989)&lt;&gt;COLUMNS(B989:D989),988,"")</f>
        <v>0</v>
      </c>
      <c r="C989" s="1">
        <f>IF(B989="", "", "rat metagenome")</f>
        <v>0</v>
      </c>
      <c r="D989" s="1">
        <f>IF(B989="", "", "1427740")</f>
        <v>0</v>
      </c>
    </row>
    <row r="990" spans="1:4">
      <c r="A990">
        <f>IF(COUNTBLANK(B990:D990)&lt;&gt;COLUMNS(B990:D990),989,"")</f>
        <v>0</v>
      </c>
      <c r="C990" s="1">
        <f>IF(B990="", "", "rat metagenome")</f>
        <v>0</v>
      </c>
      <c r="D990" s="1">
        <f>IF(B990="", "", "1427740")</f>
        <v>0</v>
      </c>
    </row>
    <row r="991" spans="1:4">
      <c r="A991">
        <f>IF(COUNTBLANK(B991:D991)&lt;&gt;COLUMNS(B991:D991),990,"")</f>
        <v>0</v>
      </c>
      <c r="C991" s="1">
        <f>IF(B991="", "", "rat metagenome")</f>
        <v>0</v>
      </c>
      <c r="D991" s="1">
        <f>IF(B991="", "", "1427740")</f>
        <v>0</v>
      </c>
    </row>
    <row r="992" spans="1:4">
      <c r="A992">
        <f>IF(COUNTBLANK(B992:D992)&lt;&gt;COLUMNS(B992:D992),991,"")</f>
        <v>0</v>
      </c>
      <c r="C992" s="1">
        <f>IF(B992="", "", "rat metagenome")</f>
        <v>0</v>
      </c>
      <c r="D992" s="1">
        <f>IF(B992="", "", "1427740")</f>
        <v>0</v>
      </c>
    </row>
    <row r="993" spans="1:4">
      <c r="A993">
        <f>IF(COUNTBLANK(B993:D993)&lt;&gt;COLUMNS(B993:D993),992,"")</f>
        <v>0</v>
      </c>
      <c r="C993" s="1">
        <f>IF(B993="", "", "rat metagenome")</f>
        <v>0</v>
      </c>
      <c r="D993" s="1">
        <f>IF(B993="", "", "1427740")</f>
        <v>0</v>
      </c>
    </row>
    <row r="994" spans="1:4">
      <c r="A994">
        <f>IF(COUNTBLANK(B994:D994)&lt;&gt;COLUMNS(B994:D994),993,"")</f>
        <v>0</v>
      </c>
      <c r="C994" s="1">
        <f>IF(B994="", "", "rat metagenome")</f>
        <v>0</v>
      </c>
      <c r="D994" s="1">
        <f>IF(B994="", "", "1427740")</f>
        <v>0</v>
      </c>
    </row>
    <row r="995" spans="1:4">
      <c r="A995">
        <f>IF(COUNTBLANK(B995:D995)&lt;&gt;COLUMNS(B995:D995),994,"")</f>
        <v>0</v>
      </c>
      <c r="C995" s="1">
        <f>IF(B995="", "", "rat metagenome")</f>
        <v>0</v>
      </c>
      <c r="D995" s="1">
        <f>IF(B995="", "", "1427740")</f>
        <v>0</v>
      </c>
    </row>
    <row r="996" spans="1:4">
      <c r="A996">
        <f>IF(COUNTBLANK(B996:D996)&lt;&gt;COLUMNS(B996:D996),995,"")</f>
        <v>0</v>
      </c>
      <c r="C996" s="1">
        <f>IF(B996="", "", "rat metagenome")</f>
        <v>0</v>
      </c>
      <c r="D996" s="1">
        <f>IF(B996="", "", "1427740")</f>
        <v>0</v>
      </c>
    </row>
    <row r="997" spans="1:4">
      <c r="A997">
        <f>IF(COUNTBLANK(B997:D997)&lt;&gt;COLUMNS(B997:D997),996,"")</f>
        <v>0</v>
      </c>
      <c r="C997" s="1">
        <f>IF(B997="", "", "rat metagenome")</f>
        <v>0</v>
      </c>
      <c r="D997" s="1">
        <f>IF(B997="", "", "1427740")</f>
        <v>0</v>
      </c>
    </row>
    <row r="998" spans="1:4">
      <c r="A998">
        <f>IF(COUNTBLANK(B998:D998)&lt;&gt;COLUMNS(B998:D998),997,"")</f>
        <v>0</v>
      </c>
      <c r="C998" s="1">
        <f>IF(B998="", "", "rat metagenome")</f>
        <v>0</v>
      </c>
      <c r="D998" s="1">
        <f>IF(B998="", "", "1427740")</f>
        <v>0</v>
      </c>
    </row>
    <row r="999" spans="1:4">
      <c r="A999">
        <f>IF(COUNTBLANK(B999:D999)&lt;&gt;COLUMNS(B999:D999),998,"")</f>
        <v>0</v>
      </c>
      <c r="C999" s="1">
        <f>IF(B999="", "", "rat metagenome")</f>
        <v>0</v>
      </c>
      <c r="D999" s="1">
        <f>IF(B999="", "", "1427740")</f>
        <v>0</v>
      </c>
    </row>
    <row r="1000" spans="1:4">
      <c r="A1000">
        <f>IF(COUNTBLANK(B1000:D1000)&lt;&gt;COLUMNS(B1000:D1000),999,"")</f>
        <v>0</v>
      </c>
      <c r="C1000" s="1">
        <f>IF(B1000="", "", "rat metagenome")</f>
        <v>0</v>
      </c>
      <c r="D1000" s="1">
        <f>IF(B1000="", "", "1427740")</f>
        <v>0</v>
      </c>
    </row>
    <row r="1001" spans="1:4">
      <c r="A1001">
        <f>IF(COUNTBLANK(B1001:D1001)&lt;&gt;COLUMNS(B1001:D1001),1000,"")</f>
        <v>0</v>
      </c>
      <c r="C1001" s="1">
        <f>IF(B1001="", "", "rat metagenome")</f>
        <v>0</v>
      </c>
      <c r="D1001" s="1">
        <f>IF(B1001="", "", "1427740")</f>
        <v>0</v>
      </c>
    </row>
    <row r="1002" spans="1:4">
      <c r="B1002" s="2" t="s">
        <v>2</v>
      </c>
    </row>
  </sheetData>
  <sheetProtection password="EE32"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rat metagenome&quot;. The default value is rat metagenome." promptTitle="Enter scientific_name" prompt="The value must be a string and must equal &quot;rat metagenome&quot;. The default value is rat metagenome." sqref="C2:C1001">
      <formula1>"rat metagenome"</formula1>
    </dataValidation>
    <dataValidation type="list" allowBlank="1" showInputMessage="1" showErrorMessage="1" errorTitle="Invalid taxon_id" error="The taxon_id value entered is not valid. The value must be a string and must equal &quot;1427740&quot;. The default value is 1427740." promptTitle="Enter taxon_id" prompt="The value must be a string and must equal &quot;1427740&quot;. The default value is 1427740." sqref="D2:D1001">
      <formula1>"1427740"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8" max="14" width="0" hidden="1" customWidth="1"/>
    <col min="15" max="17" width="0" hidden="1" customWidth="1"/>
  </cols>
  <sheetData>
    <row r="1" spans="1:17">
      <c r="A1" s="2" t="s">
        <v>1</v>
      </c>
      <c r="B1" s="2">
        <f>IF(B2=" ", " ", INDEX($O$1:$Q$1, 1, MATCH(COLUMNS($O$1006:O1006),$O$1006:$Q$1006,0)))</f>
        <v>0</v>
      </c>
      <c r="C1" s="2">
        <f>IF(C2=" ", " ", INDEX($O$1:$Q$1, 1, MATCH(COLUMNS($O$1006:P1006),$O$1006:$Q$1006,0)))</f>
        <v>0</v>
      </c>
      <c r="D1" s="2">
        <f>IF(D2=" ", " ", INDEX($O$1:$Q$1, 1, MATCH(COLUMNS($O$1006:Q1006),$O$1006:$Q$1006,0)))</f>
        <v>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>
      <c r="A2" s="4">
        <f>IF(B2=" "," ",HYPERLINK(CONCATENATE("#metadata!",ADDRESS(INDEX($J$2:$J$1001,MATCH(ROWS($H$2:H2),$H$2:$H$1001,0),0),1)),INDEX($M$2:$M$1001,MATCH(ROWS($H$2:H2),$H$2:$H$1001,0),0)))</f>
        <v>0</v>
      </c>
      <c r="B2" s="3">
        <f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>0</v>
      </c>
      <c r="C2" s="3">
        <f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>0</v>
      </c>
      <c r="D2" s="3">
        <f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>0</v>
      </c>
      <c r="H2">
        <f t="array" ref="H2:H1001">COUNTIF(I$2:I$1001,"&lt;="&amp;$I2:$I1001)</f>
        <v>0</v>
      </c>
      <c r="I2">
        <f t="array" ref="I2:I1001">INT(K2:K1001)*100000+$J$2:$J$1001</f>
        <v>0</v>
      </c>
      <c r="J2">
        <f t="array" ref="J2:J1001">ROW(Metadata!B2:B1001)</f>
        <v>0</v>
      </c>
      <c r="K2">
        <f>IF(L2,TRUE,AND(O2:Q2))</f>
        <v>0</v>
      </c>
      <c r="L2">
        <f>COUNTBLANK(Metadata!B2:D2)=COLUMNS(Metadata!B2:D2)</f>
        <v>0</v>
      </c>
      <c r="M2">
        <f t="array" ref="M2:M1001">IF(Metadata!B2:B1001="","",Metadata!B2:B1001)</f>
        <v>0</v>
      </c>
      <c r="O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>
        <f>AND(IF(Metadata!C2="",FALSE,TRUE),exact(Metadata!C2,"rat metagenome"))</f>
        <v>0</v>
      </c>
      <c r="Q2">
        <f>AND(IF(Metadata!D2="",FALSE,TRUE),exact(Metadata!D2,"1427740"))</f>
        <v>0</v>
      </c>
    </row>
    <row r="3" spans="1:17">
      <c r="A3" s="4">
        <f>IF(B3=" "," ",HYPERLINK(CONCATENATE("#metadata!",ADDRESS(INDEX($J$2:$J$1001,MATCH(ROWS($H$2:H3),$H$2:$H$1001,0),0),1)),INDEX($M$2:$M$1001,MATCH(ROWS($H$2:H3),$H$2:$H$1001,0),0)))</f>
        <v>0</v>
      </c>
      <c r="B3" s="3">
        <f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>0</v>
      </c>
      <c r="C3" s="3">
        <f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>0</v>
      </c>
      <c r="D3" s="3">
        <f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>0</v>
      </c>
      <c r="H3">
        <v>0</v>
      </c>
      <c r="I3">
        <v>0</v>
      </c>
      <c r="J3">
        <v>0</v>
      </c>
      <c r="K3">
        <f>IF(L3,TRUE,AND(O3:Q3))</f>
        <v>0</v>
      </c>
      <c r="L3">
        <f>COUNTBLANK(Metadata!B3:D3)=COLUMNS(Metadata!B3:D3)</f>
        <v>0</v>
      </c>
      <c r="M3">
        <v>0</v>
      </c>
      <c r="O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>
        <f>AND(IF(Metadata!C3="",FALSE,TRUE),exact(Metadata!C3,"rat metagenome"))</f>
        <v>0</v>
      </c>
      <c r="Q3">
        <f>AND(IF(Metadata!D3="",FALSE,TRUE),exact(Metadata!D3,"1427740"))</f>
        <v>0</v>
      </c>
    </row>
    <row r="4" spans="1:17">
      <c r="A4" s="4">
        <f>IF(B4=" "," ",HYPERLINK(CONCATENATE("#metadata!",ADDRESS(INDEX($J$2:$J$1001,MATCH(ROWS($H$2:H4),$H$2:$H$1001,0),0),1)),INDEX($M$2:$M$1001,MATCH(ROWS($H$2:H4),$H$2:$H$1001,0),0)))</f>
        <v>0</v>
      </c>
      <c r="B4" s="3">
        <f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>0</v>
      </c>
      <c r="C4" s="3">
        <f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>0</v>
      </c>
      <c r="D4" s="3">
        <f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>0</v>
      </c>
      <c r="H4">
        <v>0</v>
      </c>
      <c r="I4">
        <v>0</v>
      </c>
      <c r="J4">
        <v>0</v>
      </c>
      <c r="K4">
        <f>IF(L4,TRUE,AND(O4:Q4))</f>
        <v>0</v>
      </c>
      <c r="L4">
        <f>COUNTBLANK(Metadata!B4:D4)=COLUMNS(Metadata!B4:D4)</f>
        <v>0</v>
      </c>
      <c r="M4">
        <v>0</v>
      </c>
      <c r="O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>
        <f>AND(IF(Metadata!C4="",FALSE,TRUE),exact(Metadata!C4,"rat metagenome"))</f>
        <v>0</v>
      </c>
      <c r="Q4">
        <f>AND(IF(Metadata!D4="",FALSE,TRUE),exact(Metadata!D4,"1427740"))</f>
        <v>0</v>
      </c>
    </row>
    <row r="5" spans="1:17">
      <c r="A5" s="4">
        <f>IF(B5=" "," ",HYPERLINK(CONCATENATE("#metadata!",ADDRESS(INDEX($J$2:$J$1001,MATCH(ROWS($H$2:H5),$H$2:$H$1001,0),0),1)),INDEX($M$2:$M$1001,MATCH(ROWS($H$2:H5),$H$2:$H$1001,0),0)))</f>
        <v>0</v>
      </c>
      <c r="B5" s="3">
        <f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>0</v>
      </c>
      <c r="C5" s="3">
        <f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>0</v>
      </c>
      <c r="D5" s="3">
        <f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>0</v>
      </c>
      <c r="H5">
        <v>0</v>
      </c>
      <c r="I5">
        <v>0</v>
      </c>
      <c r="J5">
        <v>0</v>
      </c>
      <c r="K5">
        <f>IF(L5,TRUE,AND(O5:Q5))</f>
        <v>0</v>
      </c>
      <c r="L5">
        <f>COUNTBLANK(Metadata!B5:D5)=COLUMNS(Metadata!B5:D5)</f>
        <v>0</v>
      </c>
      <c r="M5">
        <v>0</v>
      </c>
      <c r="O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>
        <f>AND(IF(Metadata!C5="",FALSE,TRUE),exact(Metadata!C5,"rat metagenome"))</f>
        <v>0</v>
      </c>
      <c r="Q5">
        <f>AND(IF(Metadata!D5="",FALSE,TRUE),exact(Metadata!D5,"1427740"))</f>
        <v>0</v>
      </c>
    </row>
    <row r="6" spans="1:17">
      <c r="A6" s="4">
        <f>IF(B6=" "," ",HYPERLINK(CONCATENATE("#metadata!",ADDRESS(INDEX($J$2:$J$1001,MATCH(ROWS($H$2:H6),$H$2:$H$1001,0),0),1)),INDEX($M$2:$M$1001,MATCH(ROWS($H$2:H6),$H$2:$H$1001,0),0)))</f>
        <v>0</v>
      </c>
      <c r="B6" s="3">
        <f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>0</v>
      </c>
      <c r="C6" s="3">
        <f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>0</v>
      </c>
      <c r="D6" s="3">
        <f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>0</v>
      </c>
      <c r="H6">
        <v>0</v>
      </c>
      <c r="I6">
        <v>0</v>
      </c>
      <c r="J6">
        <v>0</v>
      </c>
      <c r="K6">
        <f>IF(L6,TRUE,AND(O6:Q6))</f>
        <v>0</v>
      </c>
      <c r="L6">
        <f>COUNTBLANK(Metadata!B6:D6)=COLUMNS(Metadata!B6:D6)</f>
        <v>0</v>
      </c>
      <c r="M6">
        <v>0</v>
      </c>
      <c r="O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>
        <f>AND(IF(Metadata!C6="",FALSE,TRUE),exact(Metadata!C6,"rat metagenome"))</f>
        <v>0</v>
      </c>
      <c r="Q6">
        <f>AND(IF(Metadata!D6="",FALSE,TRUE),exact(Metadata!D6,"1427740"))</f>
        <v>0</v>
      </c>
    </row>
    <row r="7" spans="1:17">
      <c r="A7" s="4">
        <f>IF(B7=" "," ",HYPERLINK(CONCATENATE("#metadata!",ADDRESS(INDEX($J$2:$J$1001,MATCH(ROWS($H$2:H7),$H$2:$H$1001,0),0),1)),INDEX($M$2:$M$1001,MATCH(ROWS($H$2:H7),$H$2:$H$1001,0),0)))</f>
        <v>0</v>
      </c>
      <c r="B7" s="3">
        <f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>0</v>
      </c>
      <c r="C7" s="3">
        <f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>0</v>
      </c>
      <c r="D7" s="3">
        <f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>0</v>
      </c>
      <c r="H7">
        <v>0</v>
      </c>
      <c r="I7">
        <v>0</v>
      </c>
      <c r="J7">
        <v>0</v>
      </c>
      <c r="K7">
        <f>IF(L7,TRUE,AND(O7:Q7))</f>
        <v>0</v>
      </c>
      <c r="L7">
        <f>COUNTBLANK(Metadata!B7:D7)=COLUMNS(Metadata!B7:D7)</f>
        <v>0</v>
      </c>
      <c r="M7">
        <v>0</v>
      </c>
      <c r="O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>
        <f>AND(IF(Metadata!C7="",FALSE,TRUE),exact(Metadata!C7,"rat metagenome"))</f>
        <v>0</v>
      </c>
      <c r="Q7">
        <f>AND(IF(Metadata!D7="",FALSE,TRUE),exact(Metadata!D7,"1427740"))</f>
        <v>0</v>
      </c>
    </row>
    <row r="8" spans="1:17">
      <c r="A8" s="4">
        <f>IF(B8=" "," ",HYPERLINK(CONCATENATE("#metadata!",ADDRESS(INDEX($J$2:$J$1001,MATCH(ROWS($H$2:H8),$H$2:$H$1001,0),0),1)),INDEX($M$2:$M$1001,MATCH(ROWS($H$2:H8),$H$2:$H$1001,0),0)))</f>
        <v>0</v>
      </c>
      <c r="B8" s="3">
        <f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>0</v>
      </c>
      <c r="C8" s="3">
        <f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>0</v>
      </c>
      <c r="D8" s="3">
        <f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>0</v>
      </c>
      <c r="H8">
        <v>0</v>
      </c>
      <c r="I8">
        <v>0</v>
      </c>
      <c r="J8">
        <v>0</v>
      </c>
      <c r="K8">
        <f>IF(L8,TRUE,AND(O8:Q8))</f>
        <v>0</v>
      </c>
      <c r="L8">
        <f>COUNTBLANK(Metadata!B8:D8)=COLUMNS(Metadata!B8:D8)</f>
        <v>0</v>
      </c>
      <c r="M8">
        <v>0</v>
      </c>
      <c r="O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>
        <f>AND(IF(Metadata!C8="",FALSE,TRUE),exact(Metadata!C8,"rat metagenome"))</f>
        <v>0</v>
      </c>
      <c r="Q8">
        <f>AND(IF(Metadata!D8="",FALSE,TRUE),exact(Metadata!D8,"1427740"))</f>
        <v>0</v>
      </c>
    </row>
    <row r="9" spans="1:17">
      <c r="A9" s="4">
        <f>IF(B9=" "," ",HYPERLINK(CONCATENATE("#metadata!",ADDRESS(INDEX($J$2:$J$1001,MATCH(ROWS($H$2:H9),$H$2:$H$1001,0),0),1)),INDEX($M$2:$M$1001,MATCH(ROWS($H$2:H9),$H$2:$H$1001,0),0)))</f>
        <v>0</v>
      </c>
      <c r="B9" s="3">
        <f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>0</v>
      </c>
      <c r="C9" s="3">
        <f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>0</v>
      </c>
      <c r="D9" s="3">
        <f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>0</v>
      </c>
      <c r="H9">
        <v>0</v>
      </c>
      <c r="I9">
        <v>0</v>
      </c>
      <c r="J9">
        <v>0</v>
      </c>
      <c r="K9">
        <f>IF(L9,TRUE,AND(O9:Q9))</f>
        <v>0</v>
      </c>
      <c r="L9">
        <f>COUNTBLANK(Metadata!B9:D9)=COLUMNS(Metadata!B9:D9)</f>
        <v>0</v>
      </c>
      <c r="M9">
        <v>0</v>
      </c>
      <c r="O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>
        <f>AND(IF(Metadata!C9="",FALSE,TRUE),exact(Metadata!C9,"rat metagenome"))</f>
        <v>0</v>
      </c>
      <c r="Q9">
        <f>AND(IF(Metadata!D9="",FALSE,TRUE),exact(Metadata!D9,"1427740"))</f>
        <v>0</v>
      </c>
    </row>
    <row r="10" spans="1:17">
      <c r="A10" s="4">
        <f>IF(B10=" "," ",HYPERLINK(CONCATENATE("#metadata!",ADDRESS(INDEX($J$2:$J$1001,MATCH(ROWS($H$2:H10),$H$2:$H$1001,0),0),1)),INDEX($M$2:$M$1001,MATCH(ROWS($H$2:H10),$H$2:$H$1001,0),0)))</f>
        <v>0</v>
      </c>
      <c r="B10" s="3">
        <f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>0</v>
      </c>
      <c r="C10" s="3">
        <f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>0</v>
      </c>
      <c r="D10" s="3">
        <f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>0</v>
      </c>
      <c r="H10">
        <v>0</v>
      </c>
      <c r="I10">
        <v>0</v>
      </c>
      <c r="J10">
        <v>0</v>
      </c>
      <c r="K10">
        <f>IF(L10,TRUE,AND(O10:Q10))</f>
        <v>0</v>
      </c>
      <c r="L10">
        <f>COUNTBLANK(Metadata!B10:D10)=COLUMNS(Metadata!B10:D10)</f>
        <v>0</v>
      </c>
      <c r="M10">
        <v>0</v>
      </c>
      <c r="O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>
        <f>AND(IF(Metadata!C10="",FALSE,TRUE),exact(Metadata!C10,"rat metagenome"))</f>
        <v>0</v>
      </c>
      <c r="Q10">
        <f>AND(IF(Metadata!D10="",FALSE,TRUE),exact(Metadata!D10,"1427740"))</f>
        <v>0</v>
      </c>
    </row>
    <row r="11" spans="1:17">
      <c r="A11" s="4">
        <f>IF(B11=" "," ",HYPERLINK(CONCATENATE("#metadata!",ADDRESS(INDEX($J$2:$J$1001,MATCH(ROWS($H$2:H11),$H$2:$H$1001,0),0),1)),INDEX($M$2:$M$1001,MATCH(ROWS($H$2:H11),$H$2:$H$1001,0),0)))</f>
        <v>0</v>
      </c>
      <c r="B11" s="3">
        <f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>0</v>
      </c>
      <c r="C11" s="3">
        <f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>0</v>
      </c>
      <c r="D11" s="3">
        <f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>0</v>
      </c>
      <c r="H11">
        <v>0</v>
      </c>
      <c r="I11">
        <v>0</v>
      </c>
      <c r="J11">
        <v>0</v>
      </c>
      <c r="K11">
        <f>IF(L11,TRUE,AND(O11:Q11))</f>
        <v>0</v>
      </c>
      <c r="L11">
        <f>COUNTBLANK(Metadata!B11:D11)=COLUMNS(Metadata!B11:D11)</f>
        <v>0</v>
      </c>
      <c r="M11">
        <v>0</v>
      </c>
      <c r="O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>
        <f>AND(IF(Metadata!C11="",FALSE,TRUE),exact(Metadata!C11,"rat metagenome"))</f>
        <v>0</v>
      </c>
      <c r="Q11">
        <f>AND(IF(Metadata!D11="",FALSE,TRUE),exact(Metadata!D11,"1427740"))</f>
        <v>0</v>
      </c>
    </row>
    <row r="12" spans="1:17">
      <c r="A12" s="4">
        <f>IF(B12=" "," ",HYPERLINK(CONCATENATE("#metadata!",ADDRESS(INDEX($J$2:$J$1001,MATCH(ROWS($H$2:H12),$H$2:$H$1001,0),0),1)),INDEX($M$2:$M$1001,MATCH(ROWS($H$2:H12),$H$2:$H$1001,0),0)))</f>
        <v>0</v>
      </c>
      <c r="B12" s="3">
        <f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>0</v>
      </c>
      <c r="C12" s="3">
        <f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>0</v>
      </c>
      <c r="D12" s="3">
        <f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>0</v>
      </c>
      <c r="H12">
        <v>0</v>
      </c>
      <c r="I12">
        <v>0</v>
      </c>
      <c r="J12">
        <v>0</v>
      </c>
      <c r="K12">
        <f>IF(L12,TRUE,AND(O12:Q12))</f>
        <v>0</v>
      </c>
      <c r="L12">
        <f>COUNTBLANK(Metadata!B12:D12)=COLUMNS(Metadata!B12:D12)</f>
        <v>0</v>
      </c>
      <c r="M12">
        <v>0</v>
      </c>
      <c r="O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>
        <f>AND(IF(Metadata!C12="",FALSE,TRUE),exact(Metadata!C12,"rat metagenome"))</f>
        <v>0</v>
      </c>
      <c r="Q12">
        <f>AND(IF(Metadata!D12="",FALSE,TRUE),exact(Metadata!D12,"1427740"))</f>
        <v>0</v>
      </c>
    </row>
    <row r="13" spans="1:17">
      <c r="A13" s="4">
        <f>IF(B13=" "," ",HYPERLINK(CONCATENATE("#metadata!",ADDRESS(INDEX($J$2:$J$1001,MATCH(ROWS($H$2:H13),$H$2:$H$1001,0),0),1)),INDEX($M$2:$M$1001,MATCH(ROWS($H$2:H13),$H$2:$H$1001,0),0)))</f>
        <v>0</v>
      </c>
      <c r="B13" s="3">
        <f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>0</v>
      </c>
      <c r="C13" s="3">
        <f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>0</v>
      </c>
      <c r="D13" s="3">
        <f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>0</v>
      </c>
      <c r="H13">
        <v>0</v>
      </c>
      <c r="I13">
        <v>0</v>
      </c>
      <c r="J13">
        <v>0</v>
      </c>
      <c r="K13">
        <f>IF(L13,TRUE,AND(O13:Q13))</f>
        <v>0</v>
      </c>
      <c r="L13">
        <f>COUNTBLANK(Metadata!B13:D13)=COLUMNS(Metadata!B13:D13)</f>
        <v>0</v>
      </c>
      <c r="M13">
        <v>0</v>
      </c>
      <c r="O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>
        <f>AND(IF(Metadata!C13="",FALSE,TRUE),exact(Metadata!C13,"rat metagenome"))</f>
        <v>0</v>
      </c>
      <c r="Q13">
        <f>AND(IF(Metadata!D13="",FALSE,TRUE),exact(Metadata!D13,"1427740"))</f>
        <v>0</v>
      </c>
    </row>
    <row r="14" spans="1:17">
      <c r="A14" s="4">
        <f>IF(B14=" "," ",HYPERLINK(CONCATENATE("#metadata!",ADDRESS(INDEX($J$2:$J$1001,MATCH(ROWS($H$2:H14),$H$2:$H$1001,0),0),1)),INDEX($M$2:$M$1001,MATCH(ROWS($H$2:H14),$H$2:$H$1001,0),0)))</f>
        <v>0</v>
      </c>
      <c r="B14" s="3">
        <f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>0</v>
      </c>
      <c r="C14" s="3">
        <f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>0</v>
      </c>
      <c r="D14" s="3">
        <f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>0</v>
      </c>
      <c r="H14">
        <v>0</v>
      </c>
      <c r="I14">
        <v>0</v>
      </c>
      <c r="J14">
        <v>0</v>
      </c>
      <c r="K14">
        <f>IF(L14,TRUE,AND(O14:Q14))</f>
        <v>0</v>
      </c>
      <c r="L14">
        <f>COUNTBLANK(Metadata!B14:D14)=COLUMNS(Metadata!B14:D14)</f>
        <v>0</v>
      </c>
      <c r="M14">
        <v>0</v>
      </c>
      <c r="O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>
        <f>AND(IF(Metadata!C14="",FALSE,TRUE),exact(Metadata!C14,"rat metagenome"))</f>
        <v>0</v>
      </c>
      <c r="Q14">
        <f>AND(IF(Metadata!D14="",FALSE,TRUE),exact(Metadata!D14,"1427740"))</f>
        <v>0</v>
      </c>
    </row>
    <row r="15" spans="1:17">
      <c r="A15" s="4">
        <f>IF(B15=" "," ",HYPERLINK(CONCATENATE("#metadata!",ADDRESS(INDEX($J$2:$J$1001,MATCH(ROWS($H$2:H15),$H$2:$H$1001,0),0),1)),INDEX($M$2:$M$1001,MATCH(ROWS($H$2:H15),$H$2:$H$1001,0),0)))</f>
        <v>0</v>
      </c>
      <c r="B15" s="3">
        <f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>0</v>
      </c>
      <c r="C15" s="3">
        <f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>0</v>
      </c>
      <c r="D15" s="3">
        <f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>0</v>
      </c>
      <c r="H15">
        <v>0</v>
      </c>
      <c r="I15">
        <v>0</v>
      </c>
      <c r="J15">
        <v>0</v>
      </c>
      <c r="K15">
        <f>IF(L15,TRUE,AND(O15:Q15))</f>
        <v>0</v>
      </c>
      <c r="L15">
        <f>COUNTBLANK(Metadata!B15:D15)=COLUMNS(Metadata!B15:D15)</f>
        <v>0</v>
      </c>
      <c r="M15">
        <v>0</v>
      </c>
      <c r="O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>
        <f>AND(IF(Metadata!C15="",FALSE,TRUE),exact(Metadata!C15,"rat metagenome"))</f>
        <v>0</v>
      </c>
      <c r="Q15">
        <f>AND(IF(Metadata!D15="",FALSE,TRUE),exact(Metadata!D15,"1427740"))</f>
        <v>0</v>
      </c>
    </row>
    <row r="16" spans="1:17">
      <c r="A16" s="4">
        <f>IF(B16=" "," ",HYPERLINK(CONCATENATE("#metadata!",ADDRESS(INDEX($J$2:$J$1001,MATCH(ROWS($H$2:H16),$H$2:$H$1001,0),0),1)),INDEX($M$2:$M$1001,MATCH(ROWS($H$2:H16),$H$2:$H$1001,0),0)))</f>
        <v>0</v>
      </c>
      <c r="B16" s="3">
        <f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>0</v>
      </c>
      <c r="C16" s="3">
        <f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>0</v>
      </c>
      <c r="D16" s="3">
        <f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>0</v>
      </c>
      <c r="H16">
        <v>0</v>
      </c>
      <c r="I16">
        <v>0</v>
      </c>
      <c r="J16">
        <v>0</v>
      </c>
      <c r="K16">
        <f>IF(L16,TRUE,AND(O16:Q16))</f>
        <v>0</v>
      </c>
      <c r="L16">
        <f>COUNTBLANK(Metadata!B16:D16)=COLUMNS(Metadata!B16:D16)</f>
        <v>0</v>
      </c>
      <c r="M16">
        <v>0</v>
      </c>
      <c r="O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>
        <f>AND(IF(Metadata!C16="",FALSE,TRUE),exact(Metadata!C16,"rat metagenome"))</f>
        <v>0</v>
      </c>
      <c r="Q16">
        <f>AND(IF(Metadata!D16="",FALSE,TRUE),exact(Metadata!D16,"1427740"))</f>
        <v>0</v>
      </c>
    </row>
    <row r="17" spans="1:17">
      <c r="A17" s="4">
        <f>IF(B17=" "," ",HYPERLINK(CONCATENATE("#metadata!",ADDRESS(INDEX($J$2:$J$1001,MATCH(ROWS($H$2:H17),$H$2:$H$1001,0),0),1)),INDEX($M$2:$M$1001,MATCH(ROWS($H$2:H17),$H$2:$H$1001,0),0)))</f>
        <v>0</v>
      </c>
      <c r="B17" s="3">
        <f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>0</v>
      </c>
      <c r="C17" s="3">
        <f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>0</v>
      </c>
      <c r="D17" s="3">
        <f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>0</v>
      </c>
      <c r="H17">
        <v>0</v>
      </c>
      <c r="I17">
        <v>0</v>
      </c>
      <c r="J17">
        <v>0</v>
      </c>
      <c r="K17">
        <f>IF(L17,TRUE,AND(O17:Q17))</f>
        <v>0</v>
      </c>
      <c r="L17">
        <f>COUNTBLANK(Metadata!B17:D17)=COLUMNS(Metadata!B17:D17)</f>
        <v>0</v>
      </c>
      <c r="M17">
        <v>0</v>
      </c>
      <c r="O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>
        <f>AND(IF(Metadata!C17="",FALSE,TRUE),exact(Metadata!C17,"rat metagenome"))</f>
        <v>0</v>
      </c>
      <c r="Q17">
        <f>AND(IF(Metadata!D17="",FALSE,TRUE),exact(Metadata!D17,"1427740"))</f>
        <v>0</v>
      </c>
    </row>
    <row r="18" spans="1:17">
      <c r="A18" s="4">
        <f>IF(B18=" "," ",HYPERLINK(CONCATENATE("#metadata!",ADDRESS(INDEX($J$2:$J$1001,MATCH(ROWS($H$2:H18),$H$2:$H$1001,0),0),1)),INDEX($M$2:$M$1001,MATCH(ROWS($H$2:H18),$H$2:$H$1001,0),0)))</f>
        <v>0</v>
      </c>
      <c r="B18" s="3">
        <f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>0</v>
      </c>
      <c r="C18" s="3">
        <f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>0</v>
      </c>
      <c r="D18" s="3">
        <f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>0</v>
      </c>
      <c r="H18">
        <v>0</v>
      </c>
      <c r="I18">
        <v>0</v>
      </c>
      <c r="J18">
        <v>0</v>
      </c>
      <c r="K18">
        <f>IF(L18,TRUE,AND(O18:Q18))</f>
        <v>0</v>
      </c>
      <c r="L18">
        <f>COUNTBLANK(Metadata!B18:D18)=COLUMNS(Metadata!B18:D18)</f>
        <v>0</v>
      </c>
      <c r="M18">
        <v>0</v>
      </c>
      <c r="O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>
        <f>AND(IF(Metadata!C18="",FALSE,TRUE),exact(Metadata!C18,"rat metagenome"))</f>
        <v>0</v>
      </c>
      <c r="Q18">
        <f>AND(IF(Metadata!D18="",FALSE,TRUE),exact(Metadata!D18,"1427740"))</f>
        <v>0</v>
      </c>
    </row>
    <row r="19" spans="1:17">
      <c r="A19" s="4">
        <f>IF(B19=" "," ",HYPERLINK(CONCATENATE("#metadata!",ADDRESS(INDEX($J$2:$J$1001,MATCH(ROWS($H$2:H19),$H$2:$H$1001,0),0),1)),INDEX($M$2:$M$1001,MATCH(ROWS($H$2:H19),$H$2:$H$1001,0),0)))</f>
        <v>0</v>
      </c>
      <c r="B19" s="3">
        <f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>0</v>
      </c>
      <c r="C19" s="3">
        <f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>0</v>
      </c>
      <c r="D19" s="3">
        <f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>0</v>
      </c>
      <c r="H19">
        <v>0</v>
      </c>
      <c r="I19">
        <v>0</v>
      </c>
      <c r="J19">
        <v>0</v>
      </c>
      <c r="K19">
        <f>IF(L19,TRUE,AND(O19:Q19))</f>
        <v>0</v>
      </c>
      <c r="L19">
        <f>COUNTBLANK(Metadata!B19:D19)=COLUMNS(Metadata!B19:D19)</f>
        <v>0</v>
      </c>
      <c r="M19">
        <v>0</v>
      </c>
      <c r="O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>
        <f>AND(IF(Metadata!C19="",FALSE,TRUE),exact(Metadata!C19,"rat metagenome"))</f>
        <v>0</v>
      </c>
      <c r="Q19">
        <f>AND(IF(Metadata!D19="",FALSE,TRUE),exact(Metadata!D19,"1427740"))</f>
        <v>0</v>
      </c>
    </row>
    <row r="20" spans="1:17">
      <c r="A20" s="4">
        <f>IF(B20=" "," ",HYPERLINK(CONCATENATE("#metadata!",ADDRESS(INDEX($J$2:$J$1001,MATCH(ROWS($H$2:H20),$H$2:$H$1001,0),0),1)),INDEX($M$2:$M$1001,MATCH(ROWS($H$2:H20),$H$2:$H$1001,0),0)))</f>
        <v>0</v>
      </c>
      <c r="B20" s="3">
        <f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>0</v>
      </c>
      <c r="C20" s="3">
        <f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>0</v>
      </c>
      <c r="D20" s="3">
        <f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>0</v>
      </c>
      <c r="H20">
        <v>0</v>
      </c>
      <c r="I20">
        <v>0</v>
      </c>
      <c r="J20">
        <v>0</v>
      </c>
      <c r="K20">
        <f>IF(L20,TRUE,AND(O20:Q20))</f>
        <v>0</v>
      </c>
      <c r="L20">
        <f>COUNTBLANK(Metadata!B20:D20)=COLUMNS(Metadata!B20:D20)</f>
        <v>0</v>
      </c>
      <c r="M20">
        <v>0</v>
      </c>
      <c r="O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>
        <f>AND(IF(Metadata!C20="",FALSE,TRUE),exact(Metadata!C20,"rat metagenome"))</f>
        <v>0</v>
      </c>
      <c r="Q20">
        <f>AND(IF(Metadata!D20="",FALSE,TRUE),exact(Metadata!D20,"1427740"))</f>
        <v>0</v>
      </c>
    </row>
    <row r="21" spans="1:17">
      <c r="A21" s="4">
        <f>IF(B21=" "," ",HYPERLINK(CONCATENATE("#metadata!",ADDRESS(INDEX($J$2:$J$1001,MATCH(ROWS($H$2:H21),$H$2:$H$1001,0),0),1)),INDEX($M$2:$M$1001,MATCH(ROWS($H$2:H21),$H$2:$H$1001,0),0)))</f>
        <v>0</v>
      </c>
      <c r="B21" s="3">
        <f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>0</v>
      </c>
      <c r="C21" s="3">
        <f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>0</v>
      </c>
      <c r="D21" s="3">
        <f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>0</v>
      </c>
      <c r="H21">
        <v>0</v>
      </c>
      <c r="I21">
        <v>0</v>
      </c>
      <c r="J21">
        <v>0</v>
      </c>
      <c r="K21">
        <f>IF(L21,TRUE,AND(O21:Q21))</f>
        <v>0</v>
      </c>
      <c r="L21">
        <f>COUNTBLANK(Metadata!B21:D21)=COLUMNS(Metadata!B21:D21)</f>
        <v>0</v>
      </c>
      <c r="M21">
        <v>0</v>
      </c>
      <c r="O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>
        <f>AND(IF(Metadata!C21="",FALSE,TRUE),exact(Metadata!C21,"rat metagenome"))</f>
        <v>0</v>
      </c>
      <c r="Q21">
        <f>AND(IF(Metadata!D21="",FALSE,TRUE),exact(Metadata!D21,"1427740"))</f>
        <v>0</v>
      </c>
    </row>
    <row r="22" spans="1:17">
      <c r="A22" s="4">
        <f>IF(B22=" "," ",HYPERLINK(CONCATENATE("#metadata!",ADDRESS(INDEX($J$2:$J$1001,MATCH(ROWS($H$2:H22),$H$2:$H$1001,0),0),1)),INDEX($M$2:$M$1001,MATCH(ROWS($H$2:H22),$H$2:$H$1001,0),0)))</f>
        <v>0</v>
      </c>
      <c r="B22" s="3">
        <f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>0</v>
      </c>
      <c r="C22" s="3">
        <f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>0</v>
      </c>
      <c r="D22" s="3">
        <f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>0</v>
      </c>
      <c r="H22">
        <v>0</v>
      </c>
      <c r="I22">
        <v>0</v>
      </c>
      <c r="J22">
        <v>0</v>
      </c>
      <c r="K22">
        <f>IF(L22,TRUE,AND(O22:Q22))</f>
        <v>0</v>
      </c>
      <c r="L22">
        <f>COUNTBLANK(Metadata!B22:D22)=COLUMNS(Metadata!B22:D22)</f>
        <v>0</v>
      </c>
      <c r="M22">
        <v>0</v>
      </c>
      <c r="O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>
        <f>AND(IF(Metadata!C22="",FALSE,TRUE),exact(Metadata!C22,"rat metagenome"))</f>
        <v>0</v>
      </c>
      <c r="Q22">
        <f>AND(IF(Metadata!D22="",FALSE,TRUE),exact(Metadata!D22,"1427740"))</f>
        <v>0</v>
      </c>
    </row>
    <row r="23" spans="1:17">
      <c r="A23" s="4">
        <f>IF(B23=" "," ",HYPERLINK(CONCATENATE("#metadata!",ADDRESS(INDEX($J$2:$J$1001,MATCH(ROWS($H$2:H23),$H$2:$H$1001,0),0),1)),INDEX($M$2:$M$1001,MATCH(ROWS($H$2:H23),$H$2:$H$1001,0),0)))</f>
        <v>0</v>
      </c>
      <c r="B23" s="3">
        <f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>0</v>
      </c>
      <c r="C23" s="3">
        <f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>0</v>
      </c>
      <c r="D23" s="3">
        <f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>0</v>
      </c>
      <c r="H23">
        <v>0</v>
      </c>
      <c r="I23">
        <v>0</v>
      </c>
      <c r="J23">
        <v>0</v>
      </c>
      <c r="K23">
        <f>IF(L23,TRUE,AND(O23:Q23))</f>
        <v>0</v>
      </c>
      <c r="L23">
        <f>COUNTBLANK(Metadata!B23:D23)=COLUMNS(Metadata!B23:D23)</f>
        <v>0</v>
      </c>
      <c r="M23">
        <v>0</v>
      </c>
      <c r="O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>
        <f>AND(IF(Metadata!C23="",FALSE,TRUE),exact(Metadata!C23,"rat metagenome"))</f>
        <v>0</v>
      </c>
      <c r="Q23">
        <f>AND(IF(Metadata!D23="",FALSE,TRUE),exact(Metadata!D23,"1427740"))</f>
        <v>0</v>
      </c>
    </row>
    <row r="24" spans="1:17">
      <c r="A24" s="4">
        <f>IF(B24=" "," ",HYPERLINK(CONCATENATE("#metadata!",ADDRESS(INDEX($J$2:$J$1001,MATCH(ROWS($H$2:H24),$H$2:$H$1001,0),0),1)),INDEX($M$2:$M$1001,MATCH(ROWS($H$2:H24),$H$2:$H$1001,0),0)))</f>
        <v>0</v>
      </c>
      <c r="B24" s="3">
        <f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>0</v>
      </c>
      <c r="C24" s="3">
        <f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>0</v>
      </c>
      <c r="D24" s="3">
        <f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>0</v>
      </c>
      <c r="H24">
        <v>0</v>
      </c>
      <c r="I24">
        <v>0</v>
      </c>
      <c r="J24">
        <v>0</v>
      </c>
      <c r="K24">
        <f>IF(L24,TRUE,AND(O24:Q24))</f>
        <v>0</v>
      </c>
      <c r="L24">
        <f>COUNTBLANK(Metadata!B24:D24)=COLUMNS(Metadata!B24:D24)</f>
        <v>0</v>
      </c>
      <c r="M24">
        <v>0</v>
      </c>
      <c r="O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>
        <f>AND(IF(Metadata!C24="",FALSE,TRUE),exact(Metadata!C24,"rat metagenome"))</f>
        <v>0</v>
      </c>
      <c r="Q24">
        <f>AND(IF(Metadata!D24="",FALSE,TRUE),exact(Metadata!D24,"1427740"))</f>
        <v>0</v>
      </c>
    </row>
    <row r="25" spans="1:17">
      <c r="A25" s="4">
        <f>IF(B25=" "," ",HYPERLINK(CONCATENATE("#metadata!",ADDRESS(INDEX($J$2:$J$1001,MATCH(ROWS($H$2:H25),$H$2:$H$1001,0),0),1)),INDEX($M$2:$M$1001,MATCH(ROWS($H$2:H25),$H$2:$H$1001,0),0)))</f>
        <v>0</v>
      </c>
      <c r="B25" s="3">
        <f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>0</v>
      </c>
      <c r="C25" s="3">
        <f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>0</v>
      </c>
      <c r="D25" s="3">
        <f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>0</v>
      </c>
      <c r="H25">
        <v>0</v>
      </c>
      <c r="I25">
        <v>0</v>
      </c>
      <c r="J25">
        <v>0</v>
      </c>
      <c r="K25">
        <f>IF(L25,TRUE,AND(O25:Q25))</f>
        <v>0</v>
      </c>
      <c r="L25">
        <f>COUNTBLANK(Metadata!B25:D25)=COLUMNS(Metadata!B25:D25)</f>
        <v>0</v>
      </c>
      <c r="M25">
        <v>0</v>
      </c>
      <c r="O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>
        <f>AND(IF(Metadata!C25="",FALSE,TRUE),exact(Metadata!C25,"rat metagenome"))</f>
        <v>0</v>
      </c>
      <c r="Q25">
        <f>AND(IF(Metadata!D25="",FALSE,TRUE),exact(Metadata!D25,"1427740"))</f>
        <v>0</v>
      </c>
    </row>
    <row r="26" spans="1:17">
      <c r="A26" s="4">
        <f>IF(B26=" "," ",HYPERLINK(CONCATENATE("#metadata!",ADDRESS(INDEX($J$2:$J$1001,MATCH(ROWS($H$2:H26),$H$2:$H$1001,0),0),1)),INDEX($M$2:$M$1001,MATCH(ROWS($H$2:H26),$H$2:$H$1001,0),0)))</f>
        <v>0</v>
      </c>
      <c r="B26" s="3">
        <f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>0</v>
      </c>
      <c r="C26" s="3">
        <f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>0</v>
      </c>
      <c r="D26" s="3">
        <f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>0</v>
      </c>
      <c r="H26">
        <v>0</v>
      </c>
      <c r="I26">
        <v>0</v>
      </c>
      <c r="J26">
        <v>0</v>
      </c>
      <c r="K26">
        <f>IF(L26,TRUE,AND(O26:Q26))</f>
        <v>0</v>
      </c>
      <c r="L26">
        <f>COUNTBLANK(Metadata!B26:D26)=COLUMNS(Metadata!B26:D26)</f>
        <v>0</v>
      </c>
      <c r="M26">
        <v>0</v>
      </c>
      <c r="O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>
        <f>AND(IF(Metadata!C26="",FALSE,TRUE),exact(Metadata!C26,"rat metagenome"))</f>
        <v>0</v>
      </c>
      <c r="Q26">
        <f>AND(IF(Metadata!D26="",FALSE,TRUE),exact(Metadata!D26,"1427740"))</f>
        <v>0</v>
      </c>
    </row>
    <row r="27" spans="1:17">
      <c r="A27" s="4">
        <f>IF(B27=" "," ",HYPERLINK(CONCATENATE("#metadata!",ADDRESS(INDEX($J$2:$J$1001,MATCH(ROWS($H$2:H27),$H$2:$H$1001,0),0),1)),INDEX($M$2:$M$1001,MATCH(ROWS($H$2:H27),$H$2:$H$1001,0),0)))</f>
        <v>0</v>
      </c>
      <c r="B27" s="3">
        <f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>0</v>
      </c>
      <c r="C27" s="3">
        <f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>0</v>
      </c>
      <c r="D27" s="3">
        <f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>0</v>
      </c>
      <c r="H27">
        <v>0</v>
      </c>
      <c r="I27">
        <v>0</v>
      </c>
      <c r="J27">
        <v>0</v>
      </c>
      <c r="K27">
        <f>IF(L27,TRUE,AND(O27:Q27))</f>
        <v>0</v>
      </c>
      <c r="L27">
        <f>COUNTBLANK(Metadata!B27:D27)=COLUMNS(Metadata!B27:D27)</f>
        <v>0</v>
      </c>
      <c r="M27">
        <v>0</v>
      </c>
      <c r="O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>
        <f>AND(IF(Metadata!C27="",FALSE,TRUE),exact(Metadata!C27,"rat metagenome"))</f>
        <v>0</v>
      </c>
      <c r="Q27">
        <f>AND(IF(Metadata!D27="",FALSE,TRUE),exact(Metadata!D27,"1427740"))</f>
        <v>0</v>
      </c>
    </row>
    <row r="28" spans="1:17">
      <c r="A28" s="4">
        <f>IF(B28=" "," ",HYPERLINK(CONCATENATE("#metadata!",ADDRESS(INDEX($J$2:$J$1001,MATCH(ROWS($H$2:H28),$H$2:$H$1001,0),0),1)),INDEX($M$2:$M$1001,MATCH(ROWS($H$2:H28),$H$2:$H$1001,0),0)))</f>
        <v>0</v>
      </c>
      <c r="B28" s="3">
        <f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>0</v>
      </c>
      <c r="C28" s="3">
        <f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>0</v>
      </c>
      <c r="D28" s="3">
        <f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>0</v>
      </c>
      <c r="H28">
        <v>0</v>
      </c>
      <c r="I28">
        <v>0</v>
      </c>
      <c r="J28">
        <v>0</v>
      </c>
      <c r="K28">
        <f>IF(L28,TRUE,AND(O28:Q28))</f>
        <v>0</v>
      </c>
      <c r="L28">
        <f>COUNTBLANK(Metadata!B28:D28)=COLUMNS(Metadata!B28:D28)</f>
        <v>0</v>
      </c>
      <c r="M28">
        <v>0</v>
      </c>
      <c r="O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>
        <f>AND(IF(Metadata!C28="",FALSE,TRUE),exact(Metadata!C28,"rat metagenome"))</f>
        <v>0</v>
      </c>
      <c r="Q28">
        <f>AND(IF(Metadata!D28="",FALSE,TRUE),exact(Metadata!D28,"1427740"))</f>
        <v>0</v>
      </c>
    </row>
    <row r="29" spans="1:17">
      <c r="A29" s="4">
        <f>IF(B29=" "," ",HYPERLINK(CONCATENATE("#metadata!",ADDRESS(INDEX($J$2:$J$1001,MATCH(ROWS($H$2:H29),$H$2:$H$1001,0),0),1)),INDEX($M$2:$M$1001,MATCH(ROWS($H$2:H29),$H$2:$H$1001,0),0)))</f>
        <v>0</v>
      </c>
      <c r="B29" s="3">
        <f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>0</v>
      </c>
      <c r="C29" s="3">
        <f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>0</v>
      </c>
      <c r="D29" s="3">
        <f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>0</v>
      </c>
      <c r="H29">
        <v>0</v>
      </c>
      <c r="I29">
        <v>0</v>
      </c>
      <c r="J29">
        <v>0</v>
      </c>
      <c r="K29">
        <f>IF(L29,TRUE,AND(O29:Q29))</f>
        <v>0</v>
      </c>
      <c r="L29">
        <f>COUNTBLANK(Metadata!B29:D29)=COLUMNS(Metadata!B29:D29)</f>
        <v>0</v>
      </c>
      <c r="M29">
        <v>0</v>
      </c>
      <c r="O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>
        <f>AND(IF(Metadata!C29="",FALSE,TRUE),exact(Metadata!C29,"rat metagenome"))</f>
        <v>0</v>
      </c>
      <c r="Q29">
        <f>AND(IF(Metadata!D29="",FALSE,TRUE),exact(Metadata!D29,"1427740"))</f>
        <v>0</v>
      </c>
    </row>
    <row r="30" spans="1:17">
      <c r="A30" s="4">
        <f>IF(B30=" "," ",HYPERLINK(CONCATENATE("#metadata!",ADDRESS(INDEX($J$2:$J$1001,MATCH(ROWS($H$2:H30),$H$2:$H$1001,0),0),1)),INDEX($M$2:$M$1001,MATCH(ROWS($H$2:H30),$H$2:$H$1001,0),0)))</f>
        <v>0</v>
      </c>
      <c r="B30" s="3">
        <f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>0</v>
      </c>
      <c r="C30" s="3">
        <f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>0</v>
      </c>
      <c r="D30" s="3">
        <f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>0</v>
      </c>
      <c r="H30">
        <v>0</v>
      </c>
      <c r="I30">
        <v>0</v>
      </c>
      <c r="J30">
        <v>0</v>
      </c>
      <c r="K30">
        <f>IF(L30,TRUE,AND(O30:Q30))</f>
        <v>0</v>
      </c>
      <c r="L30">
        <f>COUNTBLANK(Metadata!B30:D30)=COLUMNS(Metadata!B30:D30)</f>
        <v>0</v>
      </c>
      <c r="M30">
        <v>0</v>
      </c>
      <c r="O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>
        <f>AND(IF(Metadata!C30="",FALSE,TRUE),exact(Metadata!C30,"rat metagenome"))</f>
        <v>0</v>
      </c>
      <c r="Q30">
        <f>AND(IF(Metadata!D30="",FALSE,TRUE),exact(Metadata!D30,"1427740"))</f>
        <v>0</v>
      </c>
    </row>
    <row r="31" spans="1:17">
      <c r="A31" s="4">
        <f>IF(B31=" "," ",HYPERLINK(CONCATENATE("#metadata!",ADDRESS(INDEX($J$2:$J$1001,MATCH(ROWS($H$2:H31),$H$2:$H$1001,0),0),1)),INDEX($M$2:$M$1001,MATCH(ROWS($H$2:H31),$H$2:$H$1001,0),0)))</f>
        <v>0</v>
      </c>
      <c r="B31" s="3">
        <f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>0</v>
      </c>
      <c r="C31" s="3">
        <f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>0</v>
      </c>
      <c r="D31" s="3">
        <f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>0</v>
      </c>
      <c r="H31">
        <v>0</v>
      </c>
      <c r="I31">
        <v>0</v>
      </c>
      <c r="J31">
        <v>0</v>
      </c>
      <c r="K31">
        <f>IF(L31,TRUE,AND(O31:Q31))</f>
        <v>0</v>
      </c>
      <c r="L31">
        <f>COUNTBLANK(Metadata!B31:D31)=COLUMNS(Metadata!B31:D31)</f>
        <v>0</v>
      </c>
      <c r="M31">
        <v>0</v>
      </c>
      <c r="O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>
        <f>AND(IF(Metadata!C31="",FALSE,TRUE),exact(Metadata!C31,"rat metagenome"))</f>
        <v>0</v>
      </c>
      <c r="Q31">
        <f>AND(IF(Metadata!D31="",FALSE,TRUE),exact(Metadata!D31,"1427740"))</f>
        <v>0</v>
      </c>
    </row>
    <row r="32" spans="1:17">
      <c r="A32" s="4">
        <f>IF(B32=" "," ",HYPERLINK(CONCATENATE("#metadata!",ADDRESS(INDEX($J$2:$J$1001,MATCH(ROWS($H$2:H32),$H$2:$H$1001,0),0),1)),INDEX($M$2:$M$1001,MATCH(ROWS($H$2:H32),$H$2:$H$1001,0),0)))</f>
        <v>0</v>
      </c>
      <c r="B32" s="3">
        <f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>0</v>
      </c>
      <c r="C32" s="3">
        <f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>0</v>
      </c>
      <c r="D32" s="3">
        <f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>0</v>
      </c>
      <c r="H32">
        <v>0</v>
      </c>
      <c r="I32">
        <v>0</v>
      </c>
      <c r="J32">
        <v>0</v>
      </c>
      <c r="K32">
        <f>IF(L32,TRUE,AND(O32:Q32))</f>
        <v>0</v>
      </c>
      <c r="L32">
        <f>COUNTBLANK(Metadata!B32:D32)=COLUMNS(Metadata!B32:D32)</f>
        <v>0</v>
      </c>
      <c r="M32">
        <v>0</v>
      </c>
      <c r="O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>
        <f>AND(IF(Metadata!C32="",FALSE,TRUE),exact(Metadata!C32,"rat metagenome"))</f>
        <v>0</v>
      </c>
      <c r="Q32">
        <f>AND(IF(Metadata!D32="",FALSE,TRUE),exact(Metadata!D32,"1427740"))</f>
        <v>0</v>
      </c>
    </row>
    <row r="33" spans="1:17">
      <c r="A33" s="4">
        <f>IF(B33=" "," ",HYPERLINK(CONCATENATE("#metadata!",ADDRESS(INDEX($J$2:$J$1001,MATCH(ROWS($H$2:H33),$H$2:$H$1001,0),0),1)),INDEX($M$2:$M$1001,MATCH(ROWS($H$2:H33),$H$2:$H$1001,0),0)))</f>
        <v>0</v>
      </c>
      <c r="B33" s="3">
        <f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>0</v>
      </c>
      <c r="C33" s="3">
        <f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>0</v>
      </c>
      <c r="D33" s="3">
        <f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>0</v>
      </c>
      <c r="H33">
        <v>0</v>
      </c>
      <c r="I33">
        <v>0</v>
      </c>
      <c r="J33">
        <v>0</v>
      </c>
      <c r="K33">
        <f>IF(L33,TRUE,AND(O33:Q33))</f>
        <v>0</v>
      </c>
      <c r="L33">
        <f>COUNTBLANK(Metadata!B33:D33)=COLUMNS(Metadata!B33:D33)</f>
        <v>0</v>
      </c>
      <c r="M33">
        <v>0</v>
      </c>
      <c r="O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>
        <f>AND(IF(Metadata!C33="",FALSE,TRUE),exact(Metadata!C33,"rat metagenome"))</f>
        <v>0</v>
      </c>
      <c r="Q33">
        <f>AND(IF(Metadata!D33="",FALSE,TRUE),exact(Metadata!D33,"1427740"))</f>
        <v>0</v>
      </c>
    </row>
    <row r="34" spans="1:17">
      <c r="A34" s="4">
        <f>IF(B34=" "," ",HYPERLINK(CONCATENATE("#metadata!",ADDRESS(INDEX($J$2:$J$1001,MATCH(ROWS($H$2:H34),$H$2:$H$1001,0),0),1)),INDEX($M$2:$M$1001,MATCH(ROWS($H$2:H34),$H$2:$H$1001,0),0)))</f>
        <v>0</v>
      </c>
      <c r="B34" s="3">
        <f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>0</v>
      </c>
      <c r="C34" s="3">
        <f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>0</v>
      </c>
      <c r="D34" s="3">
        <f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>0</v>
      </c>
      <c r="H34">
        <v>0</v>
      </c>
      <c r="I34">
        <v>0</v>
      </c>
      <c r="J34">
        <v>0</v>
      </c>
      <c r="K34">
        <f>IF(L34,TRUE,AND(O34:Q34))</f>
        <v>0</v>
      </c>
      <c r="L34">
        <f>COUNTBLANK(Metadata!B34:D34)=COLUMNS(Metadata!B34:D34)</f>
        <v>0</v>
      </c>
      <c r="M34">
        <v>0</v>
      </c>
      <c r="O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>
        <f>AND(IF(Metadata!C34="",FALSE,TRUE),exact(Metadata!C34,"rat metagenome"))</f>
        <v>0</v>
      </c>
      <c r="Q34">
        <f>AND(IF(Metadata!D34="",FALSE,TRUE),exact(Metadata!D34,"1427740"))</f>
        <v>0</v>
      </c>
    </row>
    <row r="35" spans="1:17">
      <c r="A35" s="4">
        <f>IF(B35=" "," ",HYPERLINK(CONCATENATE("#metadata!",ADDRESS(INDEX($J$2:$J$1001,MATCH(ROWS($H$2:H35),$H$2:$H$1001,0),0),1)),INDEX($M$2:$M$1001,MATCH(ROWS($H$2:H35),$H$2:$H$1001,0),0)))</f>
        <v>0</v>
      </c>
      <c r="B35" s="3">
        <f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>0</v>
      </c>
      <c r="C35" s="3">
        <f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>0</v>
      </c>
      <c r="D35" s="3">
        <f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>0</v>
      </c>
      <c r="H35">
        <v>0</v>
      </c>
      <c r="I35">
        <v>0</v>
      </c>
      <c r="J35">
        <v>0</v>
      </c>
      <c r="K35">
        <f>IF(L35,TRUE,AND(O35:Q35))</f>
        <v>0</v>
      </c>
      <c r="L35">
        <f>COUNTBLANK(Metadata!B35:D35)=COLUMNS(Metadata!B35:D35)</f>
        <v>0</v>
      </c>
      <c r="M35">
        <v>0</v>
      </c>
      <c r="O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>
        <f>AND(IF(Metadata!C35="",FALSE,TRUE),exact(Metadata!C35,"rat metagenome"))</f>
        <v>0</v>
      </c>
      <c r="Q35">
        <f>AND(IF(Metadata!D35="",FALSE,TRUE),exact(Metadata!D35,"1427740"))</f>
        <v>0</v>
      </c>
    </row>
    <row r="36" spans="1:17">
      <c r="A36" s="4">
        <f>IF(B36=" "," ",HYPERLINK(CONCATENATE("#metadata!",ADDRESS(INDEX($J$2:$J$1001,MATCH(ROWS($H$2:H36),$H$2:$H$1001,0),0),1)),INDEX($M$2:$M$1001,MATCH(ROWS($H$2:H36),$H$2:$H$1001,0),0)))</f>
        <v>0</v>
      </c>
      <c r="B36" s="3">
        <f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>0</v>
      </c>
      <c r="C36" s="3">
        <f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>0</v>
      </c>
      <c r="D36" s="3">
        <f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>0</v>
      </c>
      <c r="H36">
        <v>0</v>
      </c>
      <c r="I36">
        <v>0</v>
      </c>
      <c r="J36">
        <v>0</v>
      </c>
      <c r="K36">
        <f>IF(L36,TRUE,AND(O36:Q36))</f>
        <v>0</v>
      </c>
      <c r="L36">
        <f>COUNTBLANK(Metadata!B36:D36)=COLUMNS(Metadata!B36:D36)</f>
        <v>0</v>
      </c>
      <c r="M36">
        <v>0</v>
      </c>
      <c r="O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>
        <f>AND(IF(Metadata!C36="",FALSE,TRUE),exact(Metadata!C36,"rat metagenome"))</f>
        <v>0</v>
      </c>
      <c r="Q36">
        <f>AND(IF(Metadata!D36="",FALSE,TRUE),exact(Metadata!D36,"1427740"))</f>
        <v>0</v>
      </c>
    </row>
    <row r="37" spans="1:17">
      <c r="A37" s="4">
        <f>IF(B37=" "," ",HYPERLINK(CONCATENATE("#metadata!",ADDRESS(INDEX($J$2:$J$1001,MATCH(ROWS($H$2:H37),$H$2:$H$1001,0),0),1)),INDEX($M$2:$M$1001,MATCH(ROWS($H$2:H37),$H$2:$H$1001,0),0)))</f>
        <v>0</v>
      </c>
      <c r="B37" s="3">
        <f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>0</v>
      </c>
      <c r="C37" s="3">
        <f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>0</v>
      </c>
      <c r="D37" s="3">
        <f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>0</v>
      </c>
      <c r="H37">
        <v>0</v>
      </c>
      <c r="I37">
        <v>0</v>
      </c>
      <c r="J37">
        <v>0</v>
      </c>
      <c r="K37">
        <f>IF(L37,TRUE,AND(O37:Q37))</f>
        <v>0</v>
      </c>
      <c r="L37">
        <f>COUNTBLANK(Metadata!B37:D37)=COLUMNS(Metadata!B37:D37)</f>
        <v>0</v>
      </c>
      <c r="M37">
        <v>0</v>
      </c>
      <c r="O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>
        <f>AND(IF(Metadata!C37="",FALSE,TRUE),exact(Metadata!C37,"rat metagenome"))</f>
        <v>0</v>
      </c>
      <c r="Q37">
        <f>AND(IF(Metadata!D37="",FALSE,TRUE),exact(Metadata!D37,"1427740"))</f>
        <v>0</v>
      </c>
    </row>
    <row r="38" spans="1:17">
      <c r="A38" s="4">
        <f>IF(B38=" "," ",HYPERLINK(CONCATENATE("#metadata!",ADDRESS(INDEX($J$2:$J$1001,MATCH(ROWS($H$2:H38),$H$2:$H$1001,0),0),1)),INDEX($M$2:$M$1001,MATCH(ROWS($H$2:H38),$H$2:$H$1001,0),0)))</f>
        <v>0</v>
      </c>
      <c r="B38" s="3">
        <f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>0</v>
      </c>
      <c r="C38" s="3">
        <f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>0</v>
      </c>
      <c r="D38" s="3">
        <f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>0</v>
      </c>
      <c r="H38">
        <v>0</v>
      </c>
      <c r="I38">
        <v>0</v>
      </c>
      <c r="J38">
        <v>0</v>
      </c>
      <c r="K38">
        <f>IF(L38,TRUE,AND(O38:Q38))</f>
        <v>0</v>
      </c>
      <c r="L38">
        <f>COUNTBLANK(Metadata!B38:D38)=COLUMNS(Metadata!B38:D38)</f>
        <v>0</v>
      </c>
      <c r="M38">
        <v>0</v>
      </c>
      <c r="O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>
        <f>AND(IF(Metadata!C38="",FALSE,TRUE),exact(Metadata!C38,"rat metagenome"))</f>
        <v>0</v>
      </c>
      <c r="Q38">
        <f>AND(IF(Metadata!D38="",FALSE,TRUE),exact(Metadata!D38,"1427740"))</f>
        <v>0</v>
      </c>
    </row>
    <row r="39" spans="1:17">
      <c r="A39" s="4">
        <f>IF(B39=" "," ",HYPERLINK(CONCATENATE("#metadata!",ADDRESS(INDEX($J$2:$J$1001,MATCH(ROWS($H$2:H39),$H$2:$H$1001,0),0),1)),INDEX($M$2:$M$1001,MATCH(ROWS($H$2:H39),$H$2:$H$1001,0),0)))</f>
        <v>0</v>
      </c>
      <c r="B39" s="3">
        <f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>0</v>
      </c>
      <c r="C39" s="3">
        <f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>0</v>
      </c>
      <c r="D39" s="3">
        <f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>0</v>
      </c>
      <c r="H39">
        <v>0</v>
      </c>
      <c r="I39">
        <v>0</v>
      </c>
      <c r="J39">
        <v>0</v>
      </c>
      <c r="K39">
        <f>IF(L39,TRUE,AND(O39:Q39))</f>
        <v>0</v>
      </c>
      <c r="L39">
        <f>COUNTBLANK(Metadata!B39:D39)=COLUMNS(Metadata!B39:D39)</f>
        <v>0</v>
      </c>
      <c r="M39">
        <v>0</v>
      </c>
      <c r="O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>
        <f>AND(IF(Metadata!C39="",FALSE,TRUE),exact(Metadata!C39,"rat metagenome"))</f>
        <v>0</v>
      </c>
      <c r="Q39">
        <f>AND(IF(Metadata!D39="",FALSE,TRUE),exact(Metadata!D39,"1427740"))</f>
        <v>0</v>
      </c>
    </row>
    <row r="40" spans="1:17">
      <c r="A40" s="4">
        <f>IF(B40=" "," ",HYPERLINK(CONCATENATE("#metadata!",ADDRESS(INDEX($J$2:$J$1001,MATCH(ROWS($H$2:H40),$H$2:$H$1001,0),0),1)),INDEX($M$2:$M$1001,MATCH(ROWS($H$2:H40),$H$2:$H$1001,0),0)))</f>
        <v>0</v>
      </c>
      <c r="B40" s="3">
        <f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>0</v>
      </c>
      <c r="C40" s="3">
        <f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>0</v>
      </c>
      <c r="D40" s="3">
        <f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>0</v>
      </c>
      <c r="H40">
        <v>0</v>
      </c>
      <c r="I40">
        <v>0</v>
      </c>
      <c r="J40">
        <v>0</v>
      </c>
      <c r="K40">
        <f>IF(L40,TRUE,AND(O40:Q40))</f>
        <v>0</v>
      </c>
      <c r="L40">
        <f>COUNTBLANK(Metadata!B40:D40)=COLUMNS(Metadata!B40:D40)</f>
        <v>0</v>
      </c>
      <c r="M40">
        <v>0</v>
      </c>
      <c r="O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>
        <f>AND(IF(Metadata!C40="",FALSE,TRUE),exact(Metadata!C40,"rat metagenome"))</f>
        <v>0</v>
      </c>
      <c r="Q40">
        <f>AND(IF(Metadata!D40="",FALSE,TRUE),exact(Metadata!D40,"1427740"))</f>
        <v>0</v>
      </c>
    </row>
    <row r="41" spans="1:17">
      <c r="A41" s="4">
        <f>IF(B41=" "," ",HYPERLINK(CONCATENATE("#metadata!",ADDRESS(INDEX($J$2:$J$1001,MATCH(ROWS($H$2:H41),$H$2:$H$1001,0),0),1)),INDEX($M$2:$M$1001,MATCH(ROWS($H$2:H41),$H$2:$H$1001,0),0)))</f>
        <v>0</v>
      </c>
      <c r="B41" s="3">
        <f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>0</v>
      </c>
      <c r="C41" s="3">
        <f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>0</v>
      </c>
      <c r="D41" s="3">
        <f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>0</v>
      </c>
      <c r="H41">
        <v>0</v>
      </c>
      <c r="I41">
        <v>0</v>
      </c>
      <c r="J41">
        <v>0</v>
      </c>
      <c r="K41">
        <f>IF(L41,TRUE,AND(O41:Q41))</f>
        <v>0</v>
      </c>
      <c r="L41">
        <f>COUNTBLANK(Metadata!B41:D41)=COLUMNS(Metadata!B41:D41)</f>
        <v>0</v>
      </c>
      <c r="M41">
        <v>0</v>
      </c>
      <c r="O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>
        <f>AND(IF(Metadata!C41="",FALSE,TRUE),exact(Metadata!C41,"rat metagenome"))</f>
        <v>0</v>
      </c>
      <c r="Q41">
        <f>AND(IF(Metadata!D41="",FALSE,TRUE),exact(Metadata!D41,"1427740"))</f>
        <v>0</v>
      </c>
    </row>
    <row r="42" spans="1:17">
      <c r="A42" s="4">
        <f>IF(B42=" "," ",HYPERLINK(CONCATENATE("#metadata!",ADDRESS(INDEX($J$2:$J$1001,MATCH(ROWS($H$2:H42),$H$2:$H$1001,0),0),1)),INDEX($M$2:$M$1001,MATCH(ROWS($H$2:H42),$H$2:$H$1001,0),0)))</f>
        <v>0</v>
      </c>
      <c r="B42" s="3">
        <f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>0</v>
      </c>
      <c r="C42" s="3">
        <f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>0</v>
      </c>
      <c r="D42" s="3">
        <f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>0</v>
      </c>
      <c r="H42">
        <v>0</v>
      </c>
      <c r="I42">
        <v>0</v>
      </c>
      <c r="J42">
        <v>0</v>
      </c>
      <c r="K42">
        <f>IF(L42,TRUE,AND(O42:Q42))</f>
        <v>0</v>
      </c>
      <c r="L42">
        <f>COUNTBLANK(Metadata!B42:D42)=COLUMNS(Metadata!B42:D42)</f>
        <v>0</v>
      </c>
      <c r="M42">
        <v>0</v>
      </c>
      <c r="O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>
        <f>AND(IF(Metadata!C42="",FALSE,TRUE),exact(Metadata!C42,"rat metagenome"))</f>
        <v>0</v>
      </c>
      <c r="Q42">
        <f>AND(IF(Metadata!D42="",FALSE,TRUE),exact(Metadata!D42,"1427740"))</f>
        <v>0</v>
      </c>
    </row>
    <row r="43" spans="1:17">
      <c r="A43" s="4">
        <f>IF(B43=" "," ",HYPERLINK(CONCATENATE("#metadata!",ADDRESS(INDEX($J$2:$J$1001,MATCH(ROWS($H$2:H43),$H$2:$H$1001,0),0),1)),INDEX($M$2:$M$1001,MATCH(ROWS($H$2:H43),$H$2:$H$1001,0),0)))</f>
        <v>0</v>
      </c>
      <c r="B43" s="3">
        <f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>0</v>
      </c>
      <c r="C43" s="3">
        <f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>0</v>
      </c>
      <c r="D43" s="3">
        <f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>0</v>
      </c>
      <c r="H43">
        <v>0</v>
      </c>
      <c r="I43">
        <v>0</v>
      </c>
      <c r="J43">
        <v>0</v>
      </c>
      <c r="K43">
        <f>IF(L43,TRUE,AND(O43:Q43))</f>
        <v>0</v>
      </c>
      <c r="L43">
        <f>COUNTBLANK(Metadata!B43:D43)=COLUMNS(Metadata!B43:D43)</f>
        <v>0</v>
      </c>
      <c r="M43">
        <v>0</v>
      </c>
      <c r="O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>
        <f>AND(IF(Metadata!C43="",FALSE,TRUE),exact(Metadata!C43,"rat metagenome"))</f>
        <v>0</v>
      </c>
      <c r="Q43">
        <f>AND(IF(Metadata!D43="",FALSE,TRUE),exact(Metadata!D43,"1427740"))</f>
        <v>0</v>
      </c>
    </row>
    <row r="44" spans="1:17">
      <c r="A44" s="4">
        <f>IF(B44=" "," ",HYPERLINK(CONCATENATE("#metadata!",ADDRESS(INDEX($J$2:$J$1001,MATCH(ROWS($H$2:H44),$H$2:$H$1001,0),0),1)),INDEX($M$2:$M$1001,MATCH(ROWS($H$2:H44),$H$2:$H$1001,0),0)))</f>
        <v>0</v>
      </c>
      <c r="B44" s="3">
        <f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>0</v>
      </c>
      <c r="C44" s="3">
        <f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>0</v>
      </c>
      <c r="D44" s="3">
        <f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>0</v>
      </c>
      <c r="H44">
        <v>0</v>
      </c>
      <c r="I44">
        <v>0</v>
      </c>
      <c r="J44">
        <v>0</v>
      </c>
      <c r="K44">
        <f>IF(L44,TRUE,AND(O44:Q44))</f>
        <v>0</v>
      </c>
      <c r="L44">
        <f>COUNTBLANK(Metadata!B44:D44)=COLUMNS(Metadata!B44:D44)</f>
        <v>0</v>
      </c>
      <c r="M44">
        <v>0</v>
      </c>
      <c r="O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>
        <f>AND(IF(Metadata!C44="",FALSE,TRUE),exact(Metadata!C44,"rat metagenome"))</f>
        <v>0</v>
      </c>
      <c r="Q44">
        <f>AND(IF(Metadata!D44="",FALSE,TRUE),exact(Metadata!D44,"1427740"))</f>
        <v>0</v>
      </c>
    </row>
    <row r="45" spans="1:17">
      <c r="A45" s="4">
        <f>IF(B45=" "," ",HYPERLINK(CONCATENATE("#metadata!",ADDRESS(INDEX($J$2:$J$1001,MATCH(ROWS($H$2:H45),$H$2:$H$1001,0),0),1)),INDEX($M$2:$M$1001,MATCH(ROWS($H$2:H45),$H$2:$H$1001,0),0)))</f>
        <v>0</v>
      </c>
      <c r="B45" s="3">
        <f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>0</v>
      </c>
      <c r="C45" s="3">
        <f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>0</v>
      </c>
      <c r="D45" s="3">
        <f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>0</v>
      </c>
      <c r="H45">
        <v>0</v>
      </c>
      <c r="I45">
        <v>0</v>
      </c>
      <c r="J45">
        <v>0</v>
      </c>
      <c r="K45">
        <f>IF(L45,TRUE,AND(O45:Q45))</f>
        <v>0</v>
      </c>
      <c r="L45">
        <f>COUNTBLANK(Metadata!B45:D45)=COLUMNS(Metadata!B45:D45)</f>
        <v>0</v>
      </c>
      <c r="M45">
        <v>0</v>
      </c>
      <c r="O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>
        <f>AND(IF(Metadata!C45="",FALSE,TRUE),exact(Metadata!C45,"rat metagenome"))</f>
        <v>0</v>
      </c>
      <c r="Q45">
        <f>AND(IF(Metadata!D45="",FALSE,TRUE),exact(Metadata!D45,"1427740"))</f>
        <v>0</v>
      </c>
    </row>
    <row r="46" spans="1:17">
      <c r="A46" s="4">
        <f>IF(B46=" "," ",HYPERLINK(CONCATENATE("#metadata!",ADDRESS(INDEX($J$2:$J$1001,MATCH(ROWS($H$2:H46),$H$2:$H$1001,0),0),1)),INDEX($M$2:$M$1001,MATCH(ROWS($H$2:H46),$H$2:$H$1001,0),0)))</f>
        <v>0</v>
      </c>
      <c r="B46" s="3">
        <f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>0</v>
      </c>
      <c r="C46" s="3">
        <f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>0</v>
      </c>
      <c r="D46" s="3">
        <f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>0</v>
      </c>
      <c r="H46">
        <v>0</v>
      </c>
      <c r="I46">
        <v>0</v>
      </c>
      <c r="J46">
        <v>0</v>
      </c>
      <c r="K46">
        <f>IF(L46,TRUE,AND(O46:Q46))</f>
        <v>0</v>
      </c>
      <c r="L46">
        <f>COUNTBLANK(Metadata!B46:D46)=COLUMNS(Metadata!B46:D46)</f>
        <v>0</v>
      </c>
      <c r="M46">
        <v>0</v>
      </c>
      <c r="O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>
        <f>AND(IF(Metadata!C46="",FALSE,TRUE),exact(Metadata!C46,"rat metagenome"))</f>
        <v>0</v>
      </c>
      <c r="Q46">
        <f>AND(IF(Metadata!D46="",FALSE,TRUE),exact(Metadata!D46,"1427740"))</f>
        <v>0</v>
      </c>
    </row>
    <row r="47" spans="1:17">
      <c r="A47" s="4">
        <f>IF(B47=" "," ",HYPERLINK(CONCATENATE("#metadata!",ADDRESS(INDEX($J$2:$J$1001,MATCH(ROWS($H$2:H47),$H$2:$H$1001,0),0),1)),INDEX($M$2:$M$1001,MATCH(ROWS($H$2:H47),$H$2:$H$1001,0),0)))</f>
        <v>0</v>
      </c>
      <c r="B47" s="3">
        <f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>0</v>
      </c>
      <c r="C47" s="3">
        <f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>0</v>
      </c>
      <c r="D47" s="3">
        <f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>0</v>
      </c>
      <c r="H47">
        <v>0</v>
      </c>
      <c r="I47">
        <v>0</v>
      </c>
      <c r="J47">
        <v>0</v>
      </c>
      <c r="K47">
        <f>IF(L47,TRUE,AND(O47:Q47))</f>
        <v>0</v>
      </c>
      <c r="L47">
        <f>COUNTBLANK(Metadata!B47:D47)=COLUMNS(Metadata!B47:D47)</f>
        <v>0</v>
      </c>
      <c r="M47">
        <v>0</v>
      </c>
      <c r="O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>
        <f>AND(IF(Metadata!C47="",FALSE,TRUE),exact(Metadata!C47,"rat metagenome"))</f>
        <v>0</v>
      </c>
      <c r="Q47">
        <f>AND(IF(Metadata!D47="",FALSE,TRUE),exact(Metadata!D47,"1427740"))</f>
        <v>0</v>
      </c>
    </row>
    <row r="48" spans="1:17">
      <c r="A48" s="4">
        <f>IF(B48=" "," ",HYPERLINK(CONCATENATE("#metadata!",ADDRESS(INDEX($J$2:$J$1001,MATCH(ROWS($H$2:H48),$H$2:$H$1001,0),0),1)),INDEX($M$2:$M$1001,MATCH(ROWS($H$2:H48),$H$2:$H$1001,0),0)))</f>
        <v>0</v>
      </c>
      <c r="B48" s="3">
        <f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>0</v>
      </c>
      <c r="C48" s="3">
        <f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>0</v>
      </c>
      <c r="D48" s="3">
        <f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>0</v>
      </c>
      <c r="H48">
        <v>0</v>
      </c>
      <c r="I48">
        <v>0</v>
      </c>
      <c r="J48">
        <v>0</v>
      </c>
      <c r="K48">
        <f>IF(L48,TRUE,AND(O48:Q48))</f>
        <v>0</v>
      </c>
      <c r="L48">
        <f>COUNTBLANK(Metadata!B48:D48)=COLUMNS(Metadata!B48:D48)</f>
        <v>0</v>
      </c>
      <c r="M48">
        <v>0</v>
      </c>
      <c r="O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>
        <f>AND(IF(Metadata!C48="",FALSE,TRUE),exact(Metadata!C48,"rat metagenome"))</f>
        <v>0</v>
      </c>
      <c r="Q48">
        <f>AND(IF(Metadata!D48="",FALSE,TRUE),exact(Metadata!D48,"1427740"))</f>
        <v>0</v>
      </c>
    </row>
    <row r="49" spans="1:17">
      <c r="A49" s="4">
        <f>IF(B49=" "," ",HYPERLINK(CONCATENATE("#metadata!",ADDRESS(INDEX($J$2:$J$1001,MATCH(ROWS($H$2:H49),$H$2:$H$1001,0),0),1)),INDEX($M$2:$M$1001,MATCH(ROWS($H$2:H49),$H$2:$H$1001,0),0)))</f>
        <v>0</v>
      </c>
      <c r="B49" s="3">
        <f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>0</v>
      </c>
      <c r="C49" s="3">
        <f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>0</v>
      </c>
      <c r="D49" s="3">
        <f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>0</v>
      </c>
      <c r="H49">
        <v>0</v>
      </c>
      <c r="I49">
        <v>0</v>
      </c>
      <c r="J49">
        <v>0</v>
      </c>
      <c r="K49">
        <f>IF(L49,TRUE,AND(O49:Q49))</f>
        <v>0</v>
      </c>
      <c r="L49">
        <f>COUNTBLANK(Metadata!B49:D49)=COLUMNS(Metadata!B49:D49)</f>
        <v>0</v>
      </c>
      <c r="M49">
        <v>0</v>
      </c>
      <c r="O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>
        <f>AND(IF(Metadata!C49="",FALSE,TRUE),exact(Metadata!C49,"rat metagenome"))</f>
        <v>0</v>
      </c>
      <c r="Q49">
        <f>AND(IF(Metadata!D49="",FALSE,TRUE),exact(Metadata!D49,"1427740"))</f>
        <v>0</v>
      </c>
    </row>
    <row r="50" spans="1:17">
      <c r="A50" s="4">
        <f>IF(B50=" "," ",HYPERLINK(CONCATENATE("#metadata!",ADDRESS(INDEX($J$2:$J$1001,MATCH(ROWS($H$2:H50),$H$2:$H$1001,0),0),1)),INDEX($M$2:$M$1001,MATCH(ROWS($H$2:H50),$H$2:$H$1001,0),0)))</f>
        <v>0</v>
      </c>
      <c r="B50" s="3">
        <f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>0</v>
      </c>
      <c r="C50" s="3">
        <f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>0</v>
      </c>
      <c r="D50" s="3">
        <f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>0</v>
      </c>
      <c r="H50">
        <v>0</v>
      </c>
      <c r="I50">
        <v>0</v>
      </c>
      <c r="J50">
        <v>0</v>
      </c>
      <c r="K50">
        <f>IF(L50,TRUE,AND(O50:Q50))</f>
        <v>0</v>
      </c>
      <c r="L50">
        <f>COUNTBLANK(Metadata!B50:D50)=COLUMNS(Metadata!B50:D50)</f>
        <v>0</v>
      </c>
      <c r="M50">
        <v>0</v>
      </c>
      <c r="O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>
        <f>AND(IF(Metadata!C50="",FALSE,TRUE),exact(Metadata!C50,"rat metagenome"))</f>
        <v>0</v>
      </c>
      <c r="Q50">
        <f>AND(IF(Metadata!D50="",FALSE,TRUE),exact(Metadata!D50,"1427740"))</f>
        <v>0</v>
      </c>
    </row>
    <row r="51" spans="1:17">
      <c r="A51" s="4">
        <f>IF(B51=" "," ",HYPERLINK(CONCATENATE("#metadata!",ADDRESS(INDEX($J$2:$J$1001,MATCH(ROWS($H$2:H51),$H$2:$H$1001,0),0),1)),INDEX($M$2:$M$1001,MATCH(ROWS($H$2:H51),$H$2:$H$1001,0),0)))</f>
        <v>0</v>
      </c>
      <c r="B51" s="3">
        <f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>0</v>
      </c>
      <c r="C51" s="3">
        <f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>0</v>
      </c>
      <c r="D51" s="3">
        <f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>0</v>
      </c>
      <c r="H51">
        <v>0</v>
      </c>
      <c r="I51">
        <v>0</v>
      </c>
      <c r="J51">
        <v>0</v>
      </c>
      <c r="K51">
        <f>IF(L51,TRUE,AND(O51:Q51))</f>
        <v>0</v>
      </c>
      <c r="L51">
        <f>COUNTBLANK(Metadata!B51:D51)=COLUMNS(Metadata!B51:D51)</f>
        <v>0</v>
      </c>
      <c r="M51">
        <v>0</v>
      </c>
      <c r="O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>
        <f>AND(IF(Metadata!C51="",FALSE,TRUE),exact(Metadata!C51,"rat metagenome"))</f>
        <v>0</v>
      </c>
      <c r="Q51">
        <f>AND(IF(Metadata!D51="",FALSE,TRUE),exact(Metadata!D51,"1427740"))</f>
        <v>0</v>
      </c>
    </row>
    <row r="52" spans="1:17">
      <c r="A52" s="4">
        <f>IF(B52=" "," ",HYPERLINK(CONCATENATE("#metadata!",ADDRESS(INDEX($J$2:$J$1001,MATCH(ROWS($H$2:H52),$H$2:$H$1001,0),0),1)),INDEX($M$2:$M$1001,MATCH(ROWS($H$2:H52),$H$2:$H$1001,0),0)))</f>
        <v>0</v>
      </c>
      <c r="B52" s="3">
        <f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>0</v>
      </c>
      <c r="C52" s="3">
        <f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>0</v>
      </c>
      <c r="D52" s="3">
        <f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>0</v>
      </c>
      <c r="H52">
        <v>0</v>
      </c>
      <c r="I52">
        <v>0</v>
      </c>
      <c r="J52">
        <v>0</v>
      </c>
      <c r="K52">
        <f>IF(L52,TRUE,AND(O52:Q52))</f>
        <v>0</v>
      </c>
      <c r="L52">
        <f>COUNTBLANK(Metadata!B52:D52)=COLUMNS(Metadata!B52:D52)</f>
        <v>0</v>
      </c>
      <c r="M52">
        <v>0</v>
      </c>
      <c r="O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>
        <f>AND(IF(Metadata!C52="",FALSE,TRUE),exact(Metadata!C52,"rat metagenome"))</f>
        <v>0</v>
      </c>
      <c r="Q52">
        <f>AND(IF(Metadata!D52="",FALSE,TRUE),exact(Metadata!D52,"1427740"))</f>
        <v>0</v>
      </c>
    </row>
    <row r="53" spans="1:17">
      <c r="A53" s="4">
        <f>IF(B53=" "," ",HYPERLINK(CONCATENATE("#metadata!",ADDRESS(INDEX($J$2:$J$1001,MATCH(ROWS($H$2:H53),$H$2:$H$1001,0),0),1)),INDEX($M$2:$M$1001,MATCH(ROWS($H$2:H53),$H$2:$H$1001,0),0)))</f>
        <v>0</v>
      </c>
      <c r="B53" s="3">
        <f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>0</v>
      </c>
      <c r="C53" s="3">
        <f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>0</v>
      </c>
      <c r="D53" s="3">
        <f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>0</v>
      </c>
      <c r="H53">
        <v>0</v>
      </c>
      <c r="I53">
        <v>0</v>
      </c>
      <c r="J53">
        <v>0</v>
      </c>
      <c r="K53">
        <f>IF(L53,TRUE,AND(O53:Q53))</f>
        <v>0</v>
      </c>
      <c r="L53">
        <f>COUNTBLANK(Metadata!B53:D53)=COLUMNS(Metadata!B53:D53)</f>
        <v>0</v>
      </c>
      <c r="M53">
        <v>0</v>
      </c>
      <c r="O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>
        <f>AND(IF(Metadata!C53="",FALSE,TRUE),exact(Metadata!C53,"rat metagenome"))</f>
        <v>0</v>
      </c>
      <c r="Q53">
        <f>AND(IF(Metadata!D53="",FALSE,TRUE),exact(Metadata!D53,"1427740"))</f>
        <v>0</v>
      </c>
    </row>
    <row r="54" spans="1:17">
      <c r="A54" s="4">
        <f>IF(B54=" "," ",HYPERLINK(CONCATENATE("#metadata!",ADDRESS(INDEX($J$2:$J$1001,MATCH(ROWS($H$2:H54),$H$2:$H$1001,0),0),1)),INDEX($M$2:$M$1001,MATCH(ROWS($H$2:H54),$H$2:$H$1001,0),0)))</f>
        <v>0</v>
      </c>
      <c r="B54" s="3">
        <f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>0</v>
      </c>
      <c r="C54" s="3">
        <f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>0</v>
      </c>
      <c r="D54" s="3">
        <f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>0</v>
      </c>
      <c r="H54">
        <v>0</v>
      </c>
      <c r="I54">
        <v>0</v>
      </c>
      <c r="J54">
        <v>0</v>
      </c>
      <c r="K54">
        <f>IF(L54,TRUE,AND(O54:Q54))</f>
        <v>0</v>
      </c>
      <c r="L54">
        <f>COUNTBLANK(Metadata!B54:D54)=COLUMNS(Metadata!B54:D54)</f>
        <v>0</v>
      </c>
      <c r="M54">
        <v>0</v>
      </c>
      <c r="O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>
        <f>AND(IF(Metadata!C54="",FALSE,TRUE),exact(Metadata!C54,"rat metagenome"))</f>
        <v>0</v>
      </c>
      <c r="Q54">
        <f>AND(IF(Metadata!D54="",FALSE,TRUE),exact(Metadata!D54,"1427740"))</f>
        <v>0</v>
      </c>
    </row>
    <row r="55" spans="1:17">
      <c r="A55" s="4">
        <f>IF(B55=" "," ",HYPERLINK(CONCATENATE("#metadata!",ADDRESS(INDEX($J$2:$J$1001,MATCH(ROWS($H$2:H55),$H$2:$H$1001,0),0),1)),INDEX($M$2:$M$1001,MATCH(ROWS($H$2:H55),$H$2:$H$1001,0),0)))</f>
        <v>0</v>
      </c>
      <c r="B55" s="3">
        <f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>0</v>
      </c>
      <c r="C55" s="3">
        <f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>0</v>
      </c>
      <c r="D55" s="3">
        <f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>0</v>
      </c>
      <c r="H55">
        <v>0</v>
      </c>
      <c r="I55">
        <v>0</v>
      </c>
      <c r="J55">
        <v>0</v>
      </c>
      <c r="K55">
        <f>IF(L55,TRUE,AND(O55:Q55))</f>
        <v>0</v>
      </c>
      <c r="L55">
        <f>COUNTBLANK(Metadata!B55:D55)=COLUMNS(Metadata!B55:D55)</f>
        <v>0</v>
      </c>
      <c r="M55">
        <v>0</v>
      </c>
      <c r="O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>
        <f>AND(IF(Metadata!C55="",FALSE,TRUE),exact(Metadata!C55,"rat metagenome"))</f>
        <v>0</v>
      </c>
      <c r="Q55">
        <f>AND(IF(Metadata!D55="",FALSE,TRUE),exact(Metadata!D55,"1427740"))</f>
        <v>0</v>
      </c>
    </row>
    <row r="56" spans="1:17">
      <c r="A56" s="4">
        <f>IF(B56=" "," ",HYPERLINK(CONCATENATE("#metadata!",ADDRESS(INDEX($J$2:$J$1001,MATCH(ROWS($H$2:H56),$H$2:$H$1001,0),0),1)),INDEX($M$2:$M$1001,MATCH(ROWS($H$2:H56),$H$2:$H$1001,0),0)))</f>
        <v>0</v>
      </c>
      <c r="B56" s="3">
        <f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>0</v>
      </c>
      <c r="C56" s="3">
        <f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>0</v>
      </c>
      <c r="D56" s="3">
        <f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>0</v>
      </c>
      <c r="H56">
        <v>0</v>
      </c>
      <c r="I56">
        <v>0</v>
      </c>
      <c r="J56">
        <v>0</v>
      </c>
      <c r="K56">
        <f>IF(L56,TRUE,AND(O56:Q56))</f>
        <v>0</v>
      </c>
      <c r="L56">
        <f>COUNTBLANK(Metadata!B56:D56)=COLUMNS(Metadata!B56:D56)</f>
        <v>0</v>
      </c>
      <c r="M56">
        <v>0</v>
      </c>
      <c r="O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>
        <f>AND(IF(Metadata!C56="",FALSE,TRUE),exact(Metadata!C56,"rat metagenome"))</f>
        <v>0</v>
      </c>
      <c r="Q56">
        <f>AND(IF(Metadata!D56="",FALSE,TRUE),exact(Metadata!D56,"1427740"))</f>
        <v>0</v>
      </c>
    </row>
    <row r="57" spans="1:17">
      <c r="A57" s="4">
        <f>IF(B57=" "," ",HYPERLINK(CONCATENATE("#metadata!",ADDRESS(INDEX($J$2:$J$1001,MATCH(ROWS($H$2:H57),$H$2:$H$1001,0),0),1)),INDEX($M$2:$M$1001,MATCH(ROWS($H$2:H57),$H$2:$H$1001,0),0)))</f>
        <v>0</v>
      </c>
      <c r="B57" s="3">
        <f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>0</v>
      </c>
      <c r="C57" s="3">
        <f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>0</v>
      </c>
      <c r="D57" s="3">
        <f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>0</v>
      </c>
      <c r="H57">
        <v>0</v>
      </c>
      <c r="I57">
        <v>0</v>
      </c>
      <c r="J57">
        <v>0</v>
      </c>
      <c r="K57">
        <f>IF(L57,TRUE,AND(O57:Q57))</f>
        <v>0</v>
      </c>
      <c r="L57">
        <f>COUNTBLANK(Metadata!B57:D57)=COLUMNS(Metadata!B57:D57)</f>
        <v>0</v>
      </c>
      <c r="M57">
        <v>0</v>
      </c>
      <c r="O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>
        <f>AND(IF(Metadata!C57="",FALSE,TRUE),exact(Metadata!C57,"rat metagenome"))</f>
        <v>0</v>
      </c>
      <c r="Q57">
        <f>AND(IF(Metadata!D57="",FALSE,TRUE),exact(Metadata!D57,"1427740"))</f>
        <v>0</v>
      </c>
    </row>
    <row r="58" spans="1:17">
      <c r="A58" s="4">
        <f>IF(B58=" "," ",HYPERLINK(CONCATENATE("#metadata!",ADDRESS(INDEX($J$2:$J$1001,MATCH(ROWS($H$2:H58),$H$2:$H$1001,0),0),1)),INDEX($M$2:$M$1001,MATCH(ROWS($H$2:H58),$H$2:$H$1001,0),0)))</f>
        <v>0</v>
      </c>
      <c r="B58" s="3">
        <f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>0</v>
      </c>
      <c r="C58" s="3">
        <f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>0</v>
      </c>
      <c r="D58" s="3">
        <f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>0</v>
      </c>
      <c r="H58">
        <v>0</v>
      </c>
      <c r="I58">
        <v>0</v>
      </c>
      <c r="J58">
        <v>0</v>
      </c>
      <c r="K58">
        <f>IF(L58,TRUE,AND(O58:Q58))</f>
        <v>0</v>
      </c>
      <c r="L58">
        <f>COUNTBLANK(Metadata!B58:D58)=COLUMNS(Metadata!B58:D58)</f>
        <v>0</v>
      </c>
      <c r="M58">
        <v>0</v>
      </c>
      <c r="O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>
        <f>AND(IF(Metadata!C58="",FALSE,TRUE),exact(Metadata!C58,"rat metagenome"))</f>
        <v>0</v>
      </c>
      <c r="Q58">
        <f>AND(IF(Metadata!D58="",FALSE,TRUE),exact(Metadata!D58,"1427740"))</f>
        <v>0</v>
      </c>
    </row>
    <row r="59" spans="1:17">
      <c r="A59" s="4">
        <f>IF(B59=" "," ",HYPERLINK(CONCATENATE("#metadata!",ADDRESS(INDEX($J$2:$J$1001,MATCH(ROWS($H$2:H59),$H$2:$H$1001,0),0),1)),INDEX($M$2:$M$1001,MATCH(ROWS($H$2:H59),$H$2:$H$1001,0),0)))</f>
        <v>0</v>
      </c>
      <c r="B59" s="3">
        <f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>0</v>
      </c>
      <c r="C59" s="3">
        <f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>0</v>
      </c>
      <c r="D59" s="3">
        <f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>0</v>
      </c>
      <c r="H59">
        <v>0</v>
      </c>
      <c r="I59">
        <v>0</v>
      </c>
      <c r="J59">
        <v>0</v>
      </c>
      <c r="K59">
        <f>IF(L59,TRUE,AND(O59:Q59))</f>
        <v>0</v>
      </c>
      <c r="L59">
        <f>COUNTBLANK(Metadata!B59:D59)=COLUMNS(Metadata!B59:D59)</f>
        <v>0</v>
      </c>
      <c r="M59">
        <v>0</v>
      </c>
      <c r="O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>
        <f>AND(IF(Metadata!C59="",FALSE,TRUE),exact(Metadata!C59,"rat metagenome"))</f>
        <v>0</v>
      </c>
      <c r="Q59">
        <f>AND(IF(Metadata!D59="",FALSE,TRUE),exact(Metadata!D59,"1427740"))</f>
        <v>0</v>
      </c>
    </row>
    <row r="60" spans="1:17">
      <c r="A60" s="4">
        <f>IF(B60=" "," ",HYPERLINK(CONCATENATE("#metadata!",ADDRESS(INDEX($J$2:$J$1001,MATCH(ROWS($H$2:H60),$H$2:$H$1001,0),0),1)),INDEX($M$2:$M$1001,MATCH(ROWS($H$2:H60),$H$2:$H$1001,0),0)))</f>
        <v>0</v>
      </c>
      <c r="B60" s="3">
        <f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>0</v>
      </c>
      <c r="C60" s="3">
        <f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>0</v>
      </c>
      <c r="D60" s="3">
        <f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>0</v>
      </c>
      <c r="H60">
        <v>0</v>
      </c>
      <c r="I60">
        <v>0</v>
      </c>
      <c r="J60">
        <v>0</v>
      </c>
      <c r="K60">
        <f>IF(L60,TRUE,AND(O60:Q60))</f>
        <v>0</v>
      </c>
      <c r="L60">
        <f>COUNTBLANK(Metadata!B60:D60)=COLUMNS(Metadata!B60:D60)</f>
        <v>0</v>
      </c>
      <c r="M60">
        <v>0</v>
      </c>
      <c r="O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>
        <f>AND(IF(Metadata!C60="",FALSE,TRUE),exact(Metadata!C60,"rat metagenome"))</f>
        <v>0</v>
      </c>
      <c r="Q60">
        <f>AND(IF(Metadata!D60="",FALSE,TRUE),exact(Metadata!D60,"1427740"))</f>
        <v>0</v>
      </c>
    </row>
    <row r="61" spans="1:17">
      <c r="A61" s="4">
        <f>IF(B61=" "," ",HYPERLINK(CONCATENATE("#metadata!",ADDRESS(INDEX($J$2:$J$1001,MATCH(ROWS($H$2:H61),$H$2:$H$1001,0),0),1)),INDEX($M$2:$M$1001,MATCH(ROWS($H$2:H61),$H$2:$H$1001,0),0)))</f>
        <v>0</v>
      </c>
      <c r="B61" s="3">
        <f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>0</v>
      </c>
      <c r="C61" s="3">
        <f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>0</v>
      </c>
      <c r="D61" s="3">
        <f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>0</v>
      </c>
      <c r="H61">
        <v>0</v>
      </c>
      <c r="I61">
        <v>0</v>
      </c>
      <c r="J61">
        <v>0</v>
      </c>
      <c r="K61">
        <f>IF(L61,TRUE,AND(O61:Q61))</f>
        <v>0</v>
      </c>
      <c r="L61">
        <f>COUNTBLANK(Metadata!B61:D61)=COLUMNS(Metadata!B61:D61)</f>
        <v>0</v>
      </c>
      <c r="M61">
        <v>0</v>
      </c>
      <c r="O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>
        <f>AND(IF(Metadata!C61="",FALSE,TRUE),exact(Metadata!C61,"rat metagenome"))</f>
        <v>0</v>
      </c>
      <c r="Q61">
        <f>AND(IF(Metadata!D61="",FALSE,TRUE),exact(Metadata!D61,"1427740"))</f>
        <v>0</v>
      </c>
    </row>
    <row r="62" spans="1:17">
      <c r="A62" s="4">
        <f>IF(B62=" "," ",HYPERLINK(CONCATENATE("#metadata!",ADDRESS(INDEX($J$2:$J$1001,MATCH(ROWS($H$2:H62),$H$2:$H$1001,0),0),1)),INDEX($M$2:$M$1001,MATCH(ROWS($H$2:H62),$H$2:$H$1001,0),0)))</f>
        <v>0</v>
      </c>
      <c r="B62" s="3">
        <f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>0</v>
      </c>
      <c r="C62" s="3">
        <f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>0</v>
      </c>
      <c r="D62" s="3">
        <f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>0</v>
      </c>
      <c r="H62">
        <v>0</v>
      </c>
      <c r="I62">
        <v>0</v>
      </c>
      <c r="J62">
        <v>0</v>
      </c>
      <c r="K62">
        <f>IF(L62,TRUE,AND(O62:Q62))</f>
        <v>0</v>
      </c>
      <c r="L62">
        <f>COUNTBLANK(Metadata!B62:D62)=COLUMNS(Metadata!B62:D62)</f>
        <v>0</v>
      </c>
      <c r="M62">
        <v>0</v>
      </c>
      <c r="O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>
        <f>AND(IF(Metadata!C62="",FALSE,TRUE),exact(Metadata!C62,"rat metagenome"))</f>
        <v>0</v>
      </c>
      <c r="Q62">
        <f>AND(IF(Metadata!D62="",FALSE,TRUE),exact(Metadata!D62,"1427740"))</f>
        <v>0</v>
      </c>
    </row>
    <row r="63" spans="1:17">
      <c r="A63" s="4">
        <f>IF(B63=" "," ",HYPERLINK(CONCATENATE("#metadata!",ADDRESS(INDEX($J$2:$J$1001,MATCH(ROWS($H$2:H63),$H$2:$H$1001,0),0),1)),INDEX($M$2:$M$1001,MATCH(ROWS($H$2:H63),$H$2:$H$1001,0),0)))</f>
        <v>0</v>
      </c>
      <c r="B63" s="3">
        <f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>0</v>
      </c>
      <c r="C63" s="3">
        <f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>0</v>
      </c>
      <c r="D63" s="3">
        <f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>0</v>
      </c>
      <c r="H63">
        <v>0</v>
      </c>
      <c r="I63">
        <v>0</v>
      </c>
      <c r="J63">
        <v>0</v>
      </c>
      <c r="K63">
        <f>IF(L63,TRUE,AND(O63:Q63))</f>
        <v>0</v>
      </c>
      <c r="L63">
        <f>COUNTBLANK(Metadata!B63:D63)=COLUMNS(Metadata!B63:D63)</f>
        <v>0</v>
      </c>
      <c r="M63">
        <v>0</v>
      </c>
      <c r="O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>
        <f>AND(IF(Metadata!C63="",FALSE,TRUE),exact(Metadata!C63,"rat metagenome"))</f>
        <v>0</v>
      </c>
      <c r="Q63">
        <f>AND(IF(Metadata!D63="",FALSE,TRUE),exact(Metadata!D63,"1427740"))</f>
        <v>0</v>
      </c>
    </row>
    <row r="64" spans="1:17">
      <c r="A64" s="4">
        <f>IF(B64=" "," ",HYPERLINK(CONCATENATE("#metadata!",ADDRESS(INDEX($J$2:$J$1001,MATCH(ROWS($H$2:H64),$H$2:$H$1001,0),0),1)),INDEX($M$2:$M$1001,MATCH(ROWS($H$2:H64),$H$2:$H$1001,0),0)))</f>
        <v>0</v>
      </c>
      <c r="B64" s="3">
        <f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>0</v>
      </c>
      <c r="C64" s="3">
        <f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>0</v>
      </c>
      <c r="D64" s="3">
        <f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>0</v>
      </c>
      <c r="H64">
        <v>0</v>
      </c>
      <c r="I64">
        <v>0</v>
      </c>
      <c r="J64">
        <v>0</v>
      </c>
      <c r="K64">
        <f>IF(L64,TRUE,AND(O64:Q64))</f>
        <v>0</v>
      </c>
      <c r="L64">
        <f>COUNTBLANK(Metadata!B64:D64)=COLUMNS(Metadata!B64:D64)</f>
        <v>0</v>
      </c>
      <c r="M64">
        <v>0</v>
      </c>
      <c r="O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>
        <f>AND(IF(Metadata!C64="",FALSE,TRUE),exact(Metadata!C64,"rat metagenome"))</f>
        <v>0</v>
      </c>
      <c r="Q64">
        <f>AND(IF(Metadata!D64="",FALSE,TRUE),exact(Metadata!D64,"1427740"))</f>
        <v>0</v>
      </c>
    </row>
    <row r="65" spans="1:17">
      <c r="A65" s="4">
        <f>IF(B65=" "," ",HYPERLINK(CONCATENATE("#metadata!",ADDRESS(INDEX($J$2:$J$1001,MATCH(ROWS($H$2:H65),$H$2:$H$1001,0),0),1)),INDEX($M$2:$M$1001,MATCH(ROWS($H$2:H65),$H$2:$H$1001,0),0)))</f>
        <v>0</v>
      </c>
      <c r="B65" s="3">
        <f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>0</v>
      </c>
      <c r="C65" s="3">
        <f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>0</v>
      </c>
      <c r="D65" s="3">
        <f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>0</v>
      </c>
      <c r="H65">
        <v>0</v>
      </c>
      <c r="I65">
        <v>0</v>
      </c>
      <c r="J65">
        <v>0</v>
      </c>
      <c r="K65">
        <f>IF(L65,TRUE,AND(O65:Q65))</f>
        <v>0</v>
      </c>
      <c r="L65">
        <f>COUNTBLANK(Metadata!B65:D65)=COLUMNS(Metadata!B65:D65)</f>
        <v>0</v>
      </c>
      <c r="M65">
        <v>0</v>
      </c>
      <c r="O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>
        <f>AND(IF(Metadata!C65="",FALSE,TRUE),exact(Metadata!C65,"rat metagenome"))</f>
        <v>0</v>
      </c>
      <c r="Q65">
        <f>AND(IF(Metadata!D65="",FALSE,TRUE),exact(Metadata!D65,"1427740"))</f>
        <v>0</v>
      </c>
    </row>
    <row r="66" spans="1:17">
      <c r="A66" s="4">
        <f>IF(B66=" "," ",HYPERLINK(CONCATENATE("#metadata!",ADDRESS(INDEX($J$2:$J$1001,MATCH(ROWS($H$2:H66),$H$2:$H$1001,0),0),1)),INDEX($M$2:$M$1001,MATCH(ROWS($H$2:H66),$H$2:$H$1001,0),0)))</f>
        <v>0</v>
      </c>
      <c r="B66" s="3">
        <f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>0</v>
      </c>
      <c r="C66" s="3">
        <f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>0</v>
      </c>
      <c r="D66" s="3">
        <f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>0</v>
      </c>
      <c r="H66">
        <v>0</v>
      </c>
      <c r="I66">
        <v>0</v>
      </c>
      <c r="J66">
        <v>0</v>
      </c>
      <c r="K66">
        <f>IF(L66,TRUE,AND(O66:Q66))</f>
        <v>0</v>
      </c>
      <c r="L66">
        <f>COUNTBLANK(Metadata!B66:D66)=COLUMNS(Metadata!B66:D66)</f>
        <v>0</v>
      </c>
      <c r="M66">
        <v>0</v>
      </c>
      <c r="O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>
        <f>AND(IF(Metadata!C66="",FALSE,TRUE),exact(Metadata!C66,"rat metagenome"))</f>
        <v>0</v>
      </c>
      <c r="Q66">
        <f>AND(IF(Metadata!D66="",FALSE,TRUE),exact(Metadata!D66,"1427740"))</f>
        <v>0</v>
      </c>
    </row>
    <row r="67" spans="1:17">
      <c r="A67" s="4">
        <f>IF(B67=" "," ",HYPERLINK(CONCATENATE("#metadata!",ADDRESS(INDEX($J$2:$J$1001,MATCH(ROWS($H$2:H67),$H$2:$H$1001,0),0),1)),INDEX($M$2:$M$1001,MATCH(ROWS($H$2:H67),$H$2:$H$1001,0),0)))</f>
        <v>0</v>
      </c>
      <c r="B67" s="3">
        <f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>0</v>
      </c>
      <c r="C67" s="3">
        <f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>0</v>
      </c>
      <c r="D67" s="3">
        <f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>0</v>
      </c>
      <c r="H67">
        <v>0</v>
      </c>
      <c r="I67">
        <v>0</v>
      </c>
      <c r="J67">
        <v>0</v>
      </c>
      <c r="K67">
        <f>IF(L67,TRUE,AND(O67:Q67))</f>
        <v>0</v>
      </c>
      <c r="L67">
        <f>COUNTBLANK(Metadata!B67:D67)=COLUMNS(Metadata!B67:D67)</f>
        <v>0</v>
      </c>
      <c r="M67">
        <v>0</v>
      </c>
      <c r="O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>
        <f>AND(IF(Metadata!C67="",FALSE,TRUE),exact(Metadata!C67,"rat metagenome"))</f>
        <v>0</v>
      </c>
      <c r="Q67">
        <f>AND(IF(Metadata!D67="",FALSE,TRUE),exact(Metadata!D67,"1427740"))</f>
        <v>0</v>
      </c>
    </row>
    <row r="68" spans="1:17">
      <c r="A68" s="4">
        <f>IF(B68=" "," ",HYPERLINK(CONCATENATE("#metadata!",ADDRESS(INDEX($J$2:$J$1001,MATCH(ROWS($H$2:H68),$H$2:$H$1001,0),0),1)),INDEX($M$2:$M$1001,MATCH(ROWS($H$2:H68),$H$2:$H$1001,0),0)))</f>
        <v>0</v>
      </c>
      <c r="B68" s="3">
        <f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>0</v>
      </c>
      <c r="C68" s="3">
        <f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>0</v>
      </c>
      <c r="D68" s="3">
        <f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>0</v>
      </c>
      <c r="H68">
        <v>0</v>
      </c>
      <c r="I68">
        <v>0</v>
      </c>
      <c r="J68">
        <v>0</v>
      </c>
      <c r="K68">
        <f>IF(L68,TRUE,AND(O68:Q68))</f>
        <v>0</v>
      </c>
      <c r="L68">
        <f>COUNTBLANK(Metadata!B68:D68)=COLUMNS(Metadata!B68:D68)</f>
        <v>0</v>
      </c>
      <c r="M68">
        <v>0</v>
      </c>
      <c r="O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>
        <f>AND(IF(Metadata!C68="",FALSE,TRUE),exact(Metadata!C68,"rat metagenome"))</f>
        <v>0</v>
      </c>
      <c r="Q68">
        <f>AND(IF(Metadata!D68="",FALSE,TRUE),exact(Metadata!D68,"1427740"))</f>
        <v>0</v>
      </c>
    </row>
    <row r="69" spans="1:17">
      <c r="A69" s="4">
        <f>IF(B69=" "," ",HYPERLINK(CONCATENATE("#metadata!",ADDRESS(INDEX($J$2:$J$1001,MATCH(ROWS($H$2:H69),$H$2:$H$1001,0),0),1)),INDEX($M$2:$M$1001,MATCH(ROWS($H$2:H69),$H$2:$H$1001,0),0)))</f>
        <v>0</v>
      </c>
      <c r="B69" s="3">
        <f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>0</v>
      </c>
      <c r="C69" s="3">
        <f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>0</v>
      </c>
      <c r="D69" s="3">
        <f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>0</v>
      </c>
      <c r="H69">
        <v>0</v>
      </c>
      <c r="I69">
        <v>0</v>
      </c>
      <c r="J69">
        <v>0</v>
      </c>
      <c r="K69">
        <f>IF(L69,TRUE,AND(O69:Q69))</f>
        <v>0</v>
      </c>
      <c r="L69">
        <f>COUNTBLANK(Metadata!B69:D69)=COLUMNS(Metadata!B69:D69)</f>
        <v>0</v>
      </c>
      <c r="M69">
        <v>0</v>
      </c>
      <c r="O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>
        <f>AND(IF(Metadata!C69="",FALSE,TRUE),exact(Metadata!C69,"rat metagenome"))</f>
        <v>0</v>
      </c>
      <c r="Q69">
        <f>AND(IF(Metadata!D69="",FALSE,TRUE),exact(Metadata!D69,"1427740"))</f>
        <v>0</v>
      </c>
    </row>
    <row r="70" spans="1:17">
      <c r="A70" s="4">
        <f>IF(B70=" "," ",HYPERLINK(CONCATENATE("#metadata!",ADDRESS(INDEX($J$2:$J$1001,MATCH(ROWS($H$2:H70),$H$2:$H$1001,0),0),1)),INDEX($M$2:$M$1001,MATCH(ROWS($H$2:H70),$H$2:$H$1001,0),0)))</f>
        <v>0</v>
      </c>
      <c r="B70" s="3">
        <f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>0</v>
      </c>
      <c r="C70" s="3">
        <f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>0</v>
      </c>
      <c r="D70" s="3">
        <f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>0</v>
      </c>
      <c r="H70">
        <v>0</v>
      </c>
      <c r="I70">
        <v>0</v>
      </c>
      <c r="J70">
        <v>0</v>
      </c>
      <c r="K70">
        <f>IF(L70,TRUE,AND(O70:Q70))</f>
        <v>0</v>
      </c>
      <c r="L70">
        <f>COUNTBLANK(Metadata!B70:D70)=COLUMNS(Metadata!B70:D70)</f>
        <v>0</v>
      </c>
      <c r="M70">
        <v>0</v>
      </c>
      <c r="O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>
        <f>AND(IF(Metadata!C70="",FALSE,TRUE),exact(Metadata!C70,"rat metagenome"))</f>
        <v>0</v>
      </c>
      <c r="Q70">
        <f>AND(IF(Metadata!D70="",FALSE,TRUE),exact(Metadata!D70,"1427740"))</f>
        <v>0</v>
      </c>
    </row>
    <row r="71" spans="1:17">
      <c r="A71" s="4">
        <f>IF(B71=" "," ",HYPERLINK(CONCATENATE("#metadata!",ADDRESS(INDEX($J$2:$J$1001,MATCH(ROWS($H$2:H71),$H$2:$H$1001,0),0),1)),INDEX($M$2:$M$1001,MATCH(ROWS($H$2:H71),$H$2:$H$1001,0),0)))</f>
        <v>0</v>
      </c>
      <c r="B71" s="3">
        <f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>0</v>
      </c>
      <c r="C71" s="3">
        <f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>0</v>
      </c>
      <c r="D71" s="3">
        <f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>0</v>
      </c>
      <c r="H71">
        <v>0</v>
      </c>
      <c r="I71">
        <v>0</v>
      </c>
      <c r="J71">
        <v>0</v>
      </c>
      <c r="K71">
        <f>IF(L71,TRUE,AND(O71:Q71))</f>
        <v>0</v>
      </c>
      <c r="L71">
        <f>COUNTBLANK(Metadata!B71:D71)=COLUMNS(Metadata!B71:D71)</f>
        <v>0</v>
      </c>
      <c r="M71">
        <v>0</v>
      </c>
      <c r="O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>
        <f>AND(IF(Metadata!C71="",FALSE,TRUE),exact(Metadata!C71,"rat metagenome"))</f>
        <v>0</v>
      </c>
      <c r="Q71">
        <f>AND(IF(Metadata!D71="",FALSE,TRUE),exact(Metadata!D71,"1427740"))</f>
        <v>0</v>
      </c>
    </row>
    <row r="72" spans="1:17">
      <c r="A72" s="4">
        <f>IF(B72=" "," ",HYPERLINK(CONCATENATE("#metadata!",ADDRESS(INDEX($J$2:$J$1001,MATCH(ROWS($H$2:H72),$H$2:$H$1001,0),0),1)),INDEX($M$2:$M$1001,MATCH(ROWS($H$2:H72),$H$2:$H$1001,0),0)))</f>
        <v>0</v>
      </c>
      <c r="B72" s="3">
        <f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>0</v>
      </c>
      <c r="C72" s="3">
        <f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>0</v>
      </c>
      <c r="D72" s="3">
        <f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>0</v>
      </c>
      <c r="H72">
        <v>0</v>
      </c>
      <c r="I72">
        <v>0</v>
      </c>
      <c r="J72">
        <v>0</v>
      </c>
      <c r="K72">
        <f>IF(L72,TRUE,AND(O72:Q72))</f>
        <v>0</v>
      </c>
      <c r="L72">
        <f>COUNTBLANK(Metadata!B72:D72)=COLUMNS(Metadata!B72:D72)</f>
        <v>0</v>
      </c>
      <c r="M72">
        <v>0</v>
      </c>
      <c r="O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>
        <f>AND(IF(Metadata!C72="",FALSE,TRUE),exact(Metadata!C72,"rat metagenome"))</f>
        <v>0</v>
      </c>
      <c r="Q72">
        <f>AND(IF(Metadata!D72="",FALSE,TRUE),exact(Metadata!D72,"1427740"))</f>
        <v>0</v>
      </c>
    </row>
    <row r="73" spans="1:17">
      <c r="A73" s="4">
        <f>IF(B73=" "," ",HYPERLINK(CONCATENATE("#metadata!",ADDRESS(INDEX($J$2:$J$1001,MATCH(ROWS($H$2:H73),$H$2:$H$1001,0),0),1)),INDEX($M$2:$M$1001,MATCH(ROWS($H$2:H73),$H$2:$H$1001,0),0)))</f>
        <v>0</v>
      </c>
      <c r="B73" s="3">
        <f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>0</v>
      </c>
      <c r="C73" s="3">
        <f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>0</v>
      </c>
      <c r="D73" s="3">
        <f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>0</v>
      </c>
      <c r="H73">
        <v>0</v>
      </c>
      <c r="I73">
        <v>0</v>
      </c>
      <c r="J73">
        <v>0</v>
      </c>
      <c r="K73">
        <f>IF(L73,TRUE,AND(O73:Q73))</f>
        <v>0</v>
      </c>
      <c r="L73">
        <f>COUNTBLANK(Metadata!B73:D73)=COLUMNS(Metadata!B73:D73)</f>
        <v>0</v>
      </c>
      <c r="M73">
        <v>0</v>
      </c>
      <c r="O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>
        <f>AND(IF(Metadata!C73="",FALSE,TRUE),exact(Metadata!C73,"rat metagenome"))</f>
        <v>0</v>
      </c>
      <c r="Q73">
        <f>AND(IF(Metadata!D73="",FALSE,TRUE),exact(Metadata!D73,"1427740"))</f>
        <v>0</v>
      </c>
    </row>
    <row r="74" spans="1:17">
      <c r="A74" s="4">
        <f>IF(B74=" "," ",HYPERLINK(CONCATENATE("#metadata!",ADDRESS(INDEX($J$2:$J$1001,MATCH(ROWS($H$2:H74),$H$2:$H$1001,0),0),1)),INDEX($M$2:$M$1001,MATCH(ROWS($H$2:H74),$H$2:$H$1001,0),0)))</f>
        <v>0</v>
      </c>
      <c r="B74" s="3">
        <f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>0</v>
      </c>
      <c r="C74" s="3">
        <f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>0</v>
      </c>
      <c r="D74" s="3">
        <f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>0</v>
      </c>
      <c r="H74">
        <v>0</v>
      </c>
      <c r="I74">
        <v>0</v>
      </c>
      <c r="J74">
        <v>0</v>
      </c>
      <c r="K74">
        <f>IF(L74,TRUE,AND(O74:Q74))</f>
        <v>0</v>
      </c>
      <c r="L74">
        <f>COUNTBLANK(Metadata!B74:D74)=COLUMNS(Metadata!B74:D74)</f>
        <v>0</v>
      </c>
      <c r="M74">
        <v>0</v>
      </c>
      <c r="O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>
        <f>AND(IF(Metadata!C74="",FALSE,TRUE),exact(Metadata!C74,"rat metagenome"))</f>
        <v>0</v>
      </c>
      <c r="Q74">
        <f>AND(IF(Metadata!D74="",FALSE,TRUE),exact(Metadata!D74,"1427740"))</f>
        <v>0</v>
      </c>
    </row>
    <row r="75" spans="1:17">
      <c r="A75" s="4">
        <f>IF(B75=" "," ",HYPERLINK(CONCATENATE("#metadata!",ADDRESS(INDEX($J$2:$J$1001,MATCH(ROWS($H$2:H75),$H$2:$H$1001,0),0),1)),INDEX($M$2:$M$1001,MATCH(ROWS($H$2:H75),$H$2:$H$1001,0),0)))</f>
        <v>0</v>
      </c>
      <c r="B75" s="3">
        <f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>0</v>
      </c>
      <c r="C75" s="3">
        <f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>0</v>
      </c>
      <c r="D75" s="3">
        <f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>0</v>
      </c>
      <c r="H75">
        <v>0</v>
      </c>
      <c r="I75">
        <v>0</v>
      </c>
      <c r="J75">
        <v>0</v>
      </c>
      <c r="K75">
        <f>IF(L75,TRUE,AND(O75:Q75))</f>
        <v>0</v>
      </c>
      <c r="L75">
        <f>COUNTBLANK(Metadata!B75:D75)=COLUMNS(Metadata!B75:D75)</f>
        <v>0</v>
      </c>
      <c r="M75">
        <v>0</v>
      </c>
      <c r="O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>
        <f>AND(IF(Metadata!C75="",FALSE,TRUE),exact(Metadata!C75,"rat metagenome"))</f>
        <v>0</v>
      </c>
      <c r="Q75">
        <f>AND(IF(Metadata!D75="",FALSE,TRUE),exact(Metadata!D75,"1427740"))</f>
        <v>0</v>
      </c>
    </row>
    <row r="76" spans="1:17">
      <c r="A76" s="4">
        <f>IF(B76=" "," ",HYPERLINK(CONCATENATE("#metadata!",ADDRESS(INDEX($J$2:$J$1001,MATCH(ROWS($H$2:H76),$H$2:$H$1001,0),0),1)),INDEX($M$2:$M$1001,MATCH(ROWS($H$2:H76),$H$2:$H$1001,0),0)))</f>
        <v>0</v>
      </c>
      <c r="B76" s="3">
        <f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>0</v>
      </c>
      <c r="C76" s="3">
        <f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>0</v>
      </c>
      <c r="D76" s="3">
        <f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>0</v>
      </c>
      <c r="H76">
        <v>0</v>
      </c>
      <c r="I76">
        <v>0</v>
      </c>
      <c r="J76">
        <v>0</v>
      </c>
      <c r="K76">
        <f>IF(L76,TRUE,AND(O76:Q76))</f>
        <v>0</v>
      </c>
      <c r="L76">
        <f>COUNTBLANK(Metadata!B76:D76)=COLUMNS(Metadata!B76:D76)</f>
        <v>0</v>
      </c>
      <c r="M76">
        <v>0</v>
      </c>
      <c r="O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>
        <f>AND(IF(Metadata!C76="",FALSE,TRUE),exact(Metadata!C76,"rat metagenome"))</f>
        <v>0</v>
      </c>
      <c r="Q76">
        <f>AND(IF(Metadata!D76="",FALSE,TRUE),exact(Metadata!D76,"1427740"))</f>
        <v>0</v>
      </c>
    </row>
    <row r="77" spans="1:17">
      <c r="A77" s="4">
        <f>IF(B77=" "," ",HYPERLINK(CONCATENATE("#metadata!",ADDRESS(INDEX($J$2:$J$1001,MATCH(ROWS($H$2:H77),$H$2:$H$1001,0),0),1)),INDEX($M$2:$M$1001,MATCH(ROWS($H$2:H77),$H$2:$H$1001,0),0)))</f>
        <v>0</v>
      </c>
      <c r="B77" s="3">
        <f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>0</v>
      </c>
      <c r="C77" s="3">
        <f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>0</v>
      </c>
      <c r="D77" s="3">
        <f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>0</v>
      </c>
      <c r="H77">
        <v>0</v>
      </c>
      <c r="I77">
        <v>0</v>
      </c>
      <c r="J77">
        <v>0</v>
      </c>
      <c r="K77">
        <f>IF(L77,TRUE,AND(O77:Q77))</f>
        <v>0</v>
      </c>
      <c r="L77">
        <f>COUNTBLANK(Metadata!B77:D77)=COLUMNS(Metadata!B77:D77)</f>
        <v>0</v>
      </c>
      <c r="M77">
        <v>0</v>
      </c>
      <c r="O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>
        <f>AND(IF(Metadata!C77="",FALSE,TRUE),exact(Metadata!C77,"rat metagenome"))</f>
        <v>0</v>
      </c>
      <c r="Q77">
        <f>AND(IF(Metadata!D77="",FALSE,TRUE),exact(Metadata!D77,"1427740"))</f>
        <v>0</v>
      </c>
    </row>
    <row r="78" spans="1:17">
      <c r="A78" s="4">
        <f>IF(B78=" "," ",HYPERLINK(CONCATENATE("#metadata!",ADDRESS(INDEX($J$2:$J$1001,MATCH(ROWS($H$2:H78),$H$2:$H$1001,0),0),1)),INDEX($M$2:$M$1001,MATCH(ROWS($H$2:H78),$H$2:$H$1001,0),0)))</f>
        <v>0</v>
      </c>
      <c r="B78" s="3">
        <f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>0</v>
      </c>
      <c r="C78" s="3">
        <f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>0</v>
      </c>
      <c r="D78" s="3">
        <f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>0</v>
      </c>
      <c r="H78">
        <v>0</v>
      </c>
      <c r="I78">
        <v>0</v>
      </c>
      <c r="J78">
        <v>0</v>
      </c>
      <c r="K78">
        <f>IF(L78,TRUE,AND(O78:Q78))</f>
        <v>0</v>
      </c>
      <c r="L78">
        <f>COUNTBLANK(Metadata!B78:D78)=COLUMNS(Metadata!B78:D78)</f>
        <v>0</v>
      </c>
      <c r="M78">
        <v>0</v>
      </c>
      <c r="O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>
        <f>AND(IF(Metadata!C78="",FALSE,TRUE),exact(Metadata!C78,"rat metagenome"))</f>
        <v>0</v>
      </c>
      <c r="Q78">
        <f>AND(IF(Metadata!D78="",FALSE,TRUE),exact(Metadata!D78,"1427740"))</f>
        <v>0</v>
      </c>
    </row>
    <row r="79" spans="1:17">
      <c r="A79" s="4">
        <f>IF(B79=" "," ",HYPERLINK(CONCATENATE("#metadata!",ADDRESS(INDEX($J$2:$J$1001,MATCH(ROWS($H$2:H79),$H$2:$H$1001,0),0),1)),INDEX($M$2:$M$1001,MATCH(ROWS($H$2:H79),$H$2:$H$1001,0),0)))</f>
        <v>0</v>
      </c>
      <c r="B79" s="3">
        <f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>0</v>
      </c>
      <c r="C79" s="3">
        <f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>0</v>
      </c>
      <c r="D79" s="3">
        <f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>0</v>
      </c>
      <c r="H79">
        <v>0</v>
      </c>
      <c r="I79">
        <v>0</v>
      </c>
      <c r="J79">
        <v>0</v>
      </c>
      <c r="K79">
        <f>IF(L79,TRUE,AND(O79:Q79))</f>
        <v>0</v>
      </c>
      <c r="L79">
        <f>COUNTBLANK(Metadata!B79:D79)=COLUMNS(Metadata!B79:D79)</f>
        <v>0</v>
      </c>
      <c r="M79">
        <v>0</v>
      </c>
      <c r="O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>
        <f>AND(IF(Metadata!C79="",FALSE,TRUE),exact(Metadata!C79,"rat metagenome"))</f>
        <v>0</v>
      </c>
      <c r="Q79">
        <f>AND(IF(Metadata!D79="",FALSE,TRUE),exact(Metadata!D79,"1427740"))</f>
        <v>0</v>
      </c>
    </row>
    <row r="80" spans="1:17">
      <c r="A80" s="4">
        <f>IF(B80=" "," ",HYPERLINK(CONCATENATE("#metadata!",ADDRESS(INDEX($J$2:$J$1001,MATCH(ROWS($H$2:H80),$H$2:$H$1001,0),0),1)),INDEX($M$2:$M$1001,MATCH(ROWS($H$2:H80),$H$2:$H$1001,0),0)))</f>
        <v>0</v>
      </c>
      <c r="B80" s="3">
        <f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>0</v>
      </c>
      <c r="C80" s="3">
        <f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>0</v>
      </c>
      <c r="D80" s="3">
        <f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>0</v>
      </c>
      <c r="H80">
        <v>0</v>
      </c>
      <c r="I80">
        <v>0</v>
      </c>
      <c r="J80">
        <v>0</v>
      </c>
      <c r="K80">
        <f>IF(L80,TRUE,AND(O80:Q80))</f>
        <v>0</v>
      </c>
      <c r="L80">
        <f>COUNTBLANK(Metadata!B80:D80)=COLUMNS(Metadata!B80:D80)</f>
        <v>0</v>
      </c>
      <c r="M80">
        <v>0</v>
      </c>
      <c r="O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>
        <f>AND(IF(Metadata!C80="",FALSE,TRUE),exact(Metadata!C80,"rat metagenome"))</f>
        <v>0</v>
      </c>
      <c r="Q80">
        <f>AND(IF(Metadata!D80="",FALSE,TRUE),exact(Metadata!D80,"1427740"))</f>
        <v>0</v>
      </c>
    </row>
    <row r="81" spans="1:17">
      <c r="A81" s="4">
        <f>IF(B81=" "," ",HYPERLINK(CONCATENATE("#metadata!",ADDRESS(INDEX($J$2:$J$1001,MATCH(ROWS($H$2:H81),$H$2:$H$1001,0),0),1)),INDEX($M$2:$M$1001,MATCH(ROWS($H$2:H81),$H$2:$H$1001,0),0)))</f>
        <v>0</v>
      </c>
      <c r="B81" s="3">
        <f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>0</v>
      </c>
      <c r="C81" s="3">
        <f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>0</v>
      </c>
      <c r="D81" s="3">
        <f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>0</v>
      </c>
      <c r="H81">
        <v>0</v>
      </c>
      <c r="I81">
        <v>0</v>
      </c>
      <c r="J81">
        <v>0</v>
      </c>
      <c r="K81">
        <f>IF(L81,TRUE,AND(O81:Q81))</f>
        <v>0</v>
      </c>
      <c r="L81">
        <f>COUNTBLANK(Metadata!B81:D81)=COLUMNS(Metadata!B81:D81)</f>
        <v>0</v>
      </c>
      <c r="M81">
        <v>0</v>
      </c>
      <c r="O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>
        <f>AND(IF(Metadata!C81="",FALSE,TRUE),exact(Metadata!C81,"rat metagenome"))</f>
        <v>0</v>
      </c>
      <c r="Q81">
        <f>AND(IF(Metadata!D81="",FALSE,TRUE),exact(Metadata!D81,"1427740"))</f>
        <v>0</v>
      </c>
    </row>
    <row r="82" spans="1:17">
      <c r="A82" s="4">
        <f>IF(B82=" "," ",HYPERLINK(CONCATENATE("#metadata!",ADDRESS(INDEX($J$2:$J$1001,MATCH(ROWS($H$2:H82),$H$2:$H$1001,0),0),1)),INDEX($M$2:$M$1001,MATCH(ROWS($H$2:H82),$H$2:$H$1001,0),0)))</f>
        <v>0</v>
      </c>
      <c r="B82" s="3">
        <f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>0</v>
      </c>
      <c r="C82" s="3">
        <f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>0</v>
      </c>
      <c r="D82" s="3">
        <f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>0</v>
      </c>
      <c r="H82">
        <v>0</v>
      </c>
      <c r="I82">
        <v>0</v>
      </c>
      <c r="J82">
        <v>0</v>
      </c>
      <c r="K82">
        <f>IF(L82,TRUE,AND(O82:Q82))</f>
        <v>0</v>
      </c>
      <c r="L82">
        <f>COUNTBLANK(Metadata!B82:D82)=COLUMNS(Metadata!B82:D82)</f>
        <v>0</v>
      </c>
      <c r="M82">
        <v>0</v>
      </c>
      <c r="O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>
        <f>AND(IF(Metadata!C82="",FALSE,TRUE),exact(Metadata!C82,"rat metagenome"))</f>
        <v>0</v>
      </c>
      <c r="Q82">
        <f>AND(IF(Metadata!D82="",FALSE,TRUE),exact(Metadata!D82,"1427740"))</f>
        <v>0</v>
      </c>
    </row>
    <row r="83" spans="1:17">
      <c r="A83" s="4">
        <f>IF(B83=" "," ",HYPERLINK(CONCATENATE("#metadata!",ADDRESS(INDEX($J$2:$J$1001,MATCH(ROWS($H$2:H83),$H$2:$H$1001,0),0),1)),INDEX($M$2:$M$1001,MATCH(ROWS($H$2:H83),$H$2:$H$1001,0),0)))</f>
        <v>0</v>
      </c>
      <c r="B83" s="3">
        <f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>0</v>
      </c>
      <c r="C83" s="3">
        <f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>0</v>
      </c>
      <c r="D83" s="3">
        <f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>0</v>
      </c>
      <c r="H83">
        <v>0</v>
      </c>
      <c r="I83">
        <v>0</v>
      </c>
      <c r="J83">
        <v>0</v>
      </c>
      <c r="K83">
        <f>IF(L83,TRUE,AND(O83:Q83))</f>
        <v>0</v>
      </c>
      <c r="L83">
        <f>COUNTBLANK(Metadata!B83:D83)=COLUMNS(Metadata!B83:D83)</f>
        <v>0</v>
      </c>
      <c r="M83">
        <v>0</v>
      </c>
      <c r="O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>
        <f>AND(IF(Metadata!C83="",FALSE,TRUE),exact(Metadata!C83,"rat metagenome"))</f>
        <v>0</v>
      </c>
      <c r="Q83">
        <f>AND(IF(Metadata!D83="",FALSE,TRUE),exact(Metadata!D83,"1427740"))</f>
        <v>0</v>
      </c>
    </row>
    <row r="84" spans="1:17">
      <c r="A84" s="4">
        <f>IF(B84=" "," ",HYPERLINK(CONCATENATE("#metadata!",ADDRESS(INDEX($J$2:$J$1001,MATCH(ROWS($H$2:H84),$H$2:$H$1001,0),0),1)),INDEX($M$2:$M$1001,MATCH(ROWS($H$2:H84),$H$2:$H$1001,0),0)))</f>
        <v>0</v>
      </c>
      <c r="B84" s="3">
        <f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>0</v>
      </c>
      <c r="C84" s="3">
        <f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>0</v>
      </c>
      <c r="D84" s="3">
        <f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>0</v>
      </c>
      <c r="H84">
        <v>0</v>
      </c>
      <c r="I84">
        <v>0</v>
      </c>
      <c r="J84">
        <v>0</v>
      </c>
      <c r="K84">
        <f>IF(L84,TRUE,AND(O84:Q84))</f>
        <v>0</v>
      </c>
      <c r="L84">
        <f>COUNTBLANK(Metadata!B84:D84)=COLUMNS(Metadata!B84:D84)</f>
        <v>0</v>
      </c>
      <c r="M84">
        <v>0</v>
      </c>
      <c r="O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>
        <f>AND(IF(Metadata!C84="",FALSE,TRUE),exact(Metadata!C84,"rat metagenome"))</f>
        <v>0</v>
      </c>
      <c r="Q84">
        <f>AND(IF(Metadata!D84="",FALSE,TRUE),exact(Metadata!D84,"1427740"))</f>
        <v>0</v>
      </c>
    </row>
    <row r="85" spans="1:17">
      <c r="A85" s="4">
        <f>IF(B85=" "," ",HYPERLINK(CONCATENATE("#metadata!",ADDRESS(INDEX($J$2:$J$1001,MATCH(ROWS($H$2:H85),$H$2:$H$1001,0),0),1)),INDEX($M$2:$M$1001,MATCH(ROWS($H$2:H85),$H$2:$H$1001,0),0)))</f>
        <v>0</v>
      </c>
      <c r="B85" s="3">
        <f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>0</v>
      </c>
      <c r="C85" s="3">
        <f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>0</v>
      </c>
      <c r="D85" s="3">
        <f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>0</v>
      </c>
      <c r="H85">
        <v>0</v>
      </c>
      <c r="I85">
        <v>0</v>
      </c>
      <c r="J85">
        <v>0</v>
      </c>
      <c r="K85">
        <f>IF(L85,TRUE,AND(O85:Q85))</f>
        <v>0</v>
      </c>
      <c r="L85">
        <f>COUNTBLANK(Metadata!B85:D85)=COLUMNS(Metadata!B85:D85)</f>
        <v>0</v>
      </c>
      <c r="M85">
        <v>0</v>
      </c>
      <c r="O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>
        <f>AND(IF(Metadata!C85="",FALSE,TRUE),exact(Metadata!C85,"rat metagenome"))</f>
        <v>0</v>
      </c>
      <c r="Q85">
        <f>AND(IF(Metadata!D85="",FALSE,TRUE),exact(Metadata!D85,"1427740"))</f>
        <v>0</v>
      </c>
    </row>
    <row r="86" spans="1:17">
      <c r="A86" s="4">
        <f>IF(B86=" "," ",HYPERLINK(CONCATENATE("#metadata!",ADDRESS(INDEX($J$2:$J$1001,MATCH(ROWS($H$2:H86),$H$2:$H$1001,0),0),1)),INDEX($M$2:$M$1001,MATCH(ROWS($H$2:H86),$H$2:$H$1001,0),0)))</f>
        <v>0</v>
      </c>
      <c r="B86" s="3">
        <f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>0</v>
      </c>
      <c r="C86" s="3">
        <f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>0</v>
      </c>
      <c r="D86" s="3">
        <f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>0</v>
      </c>
      <c r="H86">
        <v>0</v>
      </c>
      <c r="I86">
        <v>0</v>
      </c>
      <c r="J86">
        <v>0</v>
      </c>
      <c r="K86">
        <f>IF(L86,TRUE,AND(O86:Q86))</f>
        <v>0</v>
      </c>
      <c r="L86">
        <f>COUNTBLANK(Metadata!B86:D86)=COLUMNS(Metadata!B86:D86)</f>
        <v>0</v>
      </c>
      <c r="M86">
        <v>0</v>
      </c>
      <c r="O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>
        <f>AND(IF(Metadata!C86="",FALSE,TRUE),exact(Metadata!C86,"rat metagenome"))</f>
        <v>0</v>
      </c>
      <c r="Q86">
        <f>AND(IF(Metadata!D86="",FALSE,TRUE),exact(Metadata!D86,"1427740"))</f>
        <v>0</v>
      </c>
    </row>
    <row r="87" spans="1:17">
      <c r="A87" s="4">
        <f>IF(B87=" "," ",HYPERLINK(CONCATENATE("#metadata!",ADDRESS(INDEX($J$2:$J$1001,MATCH(ROWS($H$2:H87),$H$2:$H$1001,0),0),1)),INDEX($M$2:$M$1001,MATCH(ROWS($H$2:H87),$H$2:$H$1001,0),0)))</f>
        <v>0</v>
      </c>
      <c r="B87" s="3">
        <f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>0</v>
      </c>
      <c r="C87" s="3">
        <f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>0</v>
      </c>
      <c r="D87" s="3">
        <f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>0</v>
      </c>
      <c r="H87">
        <v>0</v>
      </c>
      <c r="I87">
        <v>0</v>
      </c>
      <c r="J87">
        <v>0</v>
      </c>
      <c r="K87">
        <f>IF(L87,TRUE,AND(O87:Q87))</f>
        <v>0</v>
      </c>
      <c r="L87">
        <f>COUNTBLANK(Metadata!B87:D87)=COLUMNS(Metadata!B87:D87)</f>
        <v>0</v>
      </c>
      <c r="M87">
        <v>0</v>
      </c>
      <c r="O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>
        <f>AND(IF(Metadata!C87="",FALSE,TRUE),exact(Metadata!C87,"rat metagenome"))</f>
        <v>0</v>
      </c>
      <c r="Q87">
        <f>AND(IF(Metadata!D87="",FALSE,TRUE),exact(Metadata!D87,"1427740"))</f>
        <v>0</v>
      </c>
    </row>
    <row r="88" spans="1:17">
      <c r="A88" s="4">
        <f>IF(B88=" "," ",HYPERLINK(CONCATENATE("#metadata!",ADDRESS(INDEX($J$2:$J$1001,MATCH(ROWS($H$2:H88),$H$2:$H$1001,0),0),1)),INDEX($M$2:$M$1001,MATCH(ROWS($H$2:H88),$H$2:$H$1001,0),0)))</f>
        <v>0</v>
      </c>
      <c r="B88" s="3">
        <f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>0</v>
      </c>
      <c r="C88" s="3">
        <f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>0</v>
      </c>
      <c r="D88" s="3">
        <f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>0</v>
      </c>
      <c r="H88">
        <v>0</v>
      </c>
      <c r="I88">
        <v>0</v>
      </c>
      <c r="J88">
        <v>0</v>
      </c>
      <c r="K88">
        <f>IF(L88,TRUE,AND(O88:Q88))</f>
        <v>0</v>
      </c>
      <c r="L88">
        <f>COUNTBLANK(Metadata!B88:D88)=COLUMNS(Metadata!B88:D88)</f>
        <v>0</v>
      </c>
      <c r="M88">
        <v>0</v>
      </c>
      <c r="O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>
        <f>AND(IF(Metadata!C88="",FALSE,TRUE),exact(Metadata!C88,"rat metagenome"))</f>
        <v>0</v>
      </c>
      <c r="Q88">
        <f>AND(IF(Metadata!D88="",FALSE,TRUE),exact(Metadata!D88,"1427740"))</f>
        <v>0</v>
      </c>
    </row>
    <row r="89" spans="1:17">
      <c r="A89" s="4">
        <f>IF(B89=" "," ",HYPERLINK(CONCATENATE("#metadata!",ADDRESS(INDEX($J$2:$J$1001,MATCH(ROWS($H$2:H89),$H$2:$H$1001,0),0),1)),INDEX($M$2:$M$1001,MATCH(ROWS($H$2:H89),$H$2:$H$1001,0),0)))</f>
        <v>0</v>
      </c>
      <c r="B89" s="3">
        <f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>0</v>
      </c>
      <c r="C89" s="3">
        <f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>0</v>
      </c>
      <c r="D89" s="3">
        <f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>0</v>
      </c>
      <c r="H89">
        <v>0</v>
      </c>
      <c r="I89">
        <v>0</v>
      </c>
      <c r="J89">
        <v>0</v>
      </c>
      <c r="K89">
        <f>IF(L89,TRUE,AND(O89:Q89))</f>
        <v>0</v>
      </c>
      <c r="L89">
        <f>COUNTBLANK(Metadata!B89:D89)=COLUMNS(Metadata!B89:D89)</f>
        <v>0</v>
      </c>
      <c r="M89">
        <v>0</v>
      </c>
      <c r="O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>
        <f>AND(IF(Metadata!C89="",FALSE,TRUE),exact(Metadata!C89,"rat metagenome"))</f>
        <v>0</v>
      </c>
      <c r="Q89">
        <f>AND(IF(Metadata!D89="",FALSE,TRUE),exact(Metadata!D89,"1427740"))</f>
        <v>0</v>
      </c>
    </row>
    <row r="90" spans="1:17">
      <c r="A90" s="4">
        <f>IF(B90=" "," ",HYPERLINK(CONCATENATE("#metadata!",ADDRESS(INDEX($J$2:$J$1001,MATCH(ROWS($H$2:H90),$H$2:$H$1001,0),0),1)),INDEX($M$2:$M$1001,MATCH(ROWS($H$2:H90),$H$2:$H$1001,0),0)))</f>
        <v>0</v>
      </c>
      <c r="B90" s="3">
        <f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>0</v>
      </c>
      <c r="C90" s="3">
        <f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>0</v>
      </c>
      <c r="D90" s="3">
        <f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>0</v>
      </c>
      <c r="H90">
        <v>0</v>
      </c>
      <c r="I90">
        <v>0</v>
      </c>
      <c r="J90">
        <v>0</v>
      </c>
      <c r="K90">
        <f>IF(L90,TRUE,AND(O90:Q90))</f>
        <v>0</v>
      </c>
      <c r="L90">
        <f>COUNTBLANK(Metadata!B90:D90)=COLUMNS(Metadata!B90:D90)</f>
        <v>0</v>
      </c>
      <c r="M90">
        <v>0</v>
      </c>
      <c r="O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>
        <f>AND(IF(Metadata!C90="",FALSE,TRUE),exact(Metadata!C90,"rat metagenome"))</f>
        <v>0</v>
      </c>
      <c r="Q90">
        <f>AND(IF(Metadata!D90="",FALSE,TRUE),exact(Metadata!D90,"1427740"))</f>
        <v>0</v>
      </c>
    </row>
    <row r="91" spans="1:17">
      <c r="A91" s="4">
        <f>IF(B91=" "," ",HYPERLINK(CONCATENATE("#metadata!",ADDRESS(INDEX($J$2:$J$1001,MATCH(ROWS($H$2:H91),$H$2:$H$1001,0),0),1)),INDEX($M$2:$M$1001,MATCH(ROWS($H$2:H91),$H$2:$H$1001,0),0)))</f>
        <v>0</v>
      </c>
      <c r="B91" s="3">
        <f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>0</v>
      </c>
      <c r="C91" s="3">
        <f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>0</v>
      </c>
      <c r="D91" s="3">
        <f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>0</v>
      </c>
      <c r="H91">
        <v>0</v>
      </c>
      <c r="I91">
        <v>0</v>
      </c>
      <c r="J91">
        <v>0</v>
      </c>
      <c r="K91">
        <f>IF(L91,TRUE,AND(O91:Q91))</f>
        <v>0</v>
      </c>
      <c r="L91">
        <f>COUNTBLANK(Metadata!B91:D91)=COLUMNS(Metadata!B91:D91)</f>
        <v>0</v>
      </c>
      <c r="M91">
        <v>0</v>
      </c>
      <c r="O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>
        <f>AND(IF(Metadata!C91="",FALSE,TRUE),exact(Metadata!C91,"rat metagenome"))</f>
        <v>0</v>
      </c>
      <c r="Q91">
        <f>AND(IF(Metadata!D91="",FALSE,TRUE),exact(Metadata!D91,"1427740"))</f>
        <v>0</v>
      </c>
    </row>
    <row r="92" spans="1:17">
      <c r="A92" s="4">
        <f>IF(B92=" "," ",HYPERLINK(CONCATENATE("#metadata!",ADDRESS(INDEX($J$2:$J$1001,MATCH(ROWS($H$2:H92),$H$2:$H$1001,0),0),1)),INDEX($M$2:$M$1001,MATCH(ROWS($H$2:H92),$H$2:$H$1001,0),0)))</f>
        <v>0</v>
      </c>
      <c r="B92" s="3">
        <f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>0</v>
      </c>
      <c r="C92" s="3">
        <f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>0</v>
      </c>
      <c r="D92" s="3">
        <f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>0</v>
      </c>
      <c r="H92">
        <v>0</v>
      </c>
      <c r="I92">
        <v>0</v>
      </c>
      <c r="J92">
        <v>0</v>
      </c>
      <c r="K92">
        <f>IF(L92,TRUE,AND(O92:Q92))</f>
        <v>0</v>
      </c>
      <c r="L92">
        <f>COUNTBLANK(Metadata!B92:D92)=COLUMNS(Metadata!B92:D92)</f>
        <v>0</v>
      </c>
      <c r="M92">
        <v>0</v>
      </c>
      <c r="O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>
        <f>AND(IF(Metadata!C92="",FALSE,TRUE),exact(Metadata!C92,"rat metagenome"))</f>
        <v>0</v>
      </c>
      <c r="Q92">
        <f>AND(IF(Metadata!D92="",FALSE,TRUE),exact(Metadata!D92,"1427740"))</f>
        <v>0</v>
      </c>
    </row>
    <row r="93" spans="1:17">
      <c r="A93" s="4">
        <f>IF(B93=" "," ",HYPERLINK(CONCATENATE("#metadata!",ADDRESS(INDEX($J$2:$J$1001,MATCH(ROWS($H$2:H93),$H$2:$H$1001,0),0),1)),INDEX($M$2:$M$1001,MATCH(ROWS($H$2:H93),$H$2:$H$1001,0),0)))</f>
        <v>0</v>
      </c>
      <c r="B93" s="3">
        <f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>0</v>
      </c>
      <c r="C93" s="3">
        <f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>0</v>
      </c>
      <c r="D93" s="3">
        <f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>0</v>
      </c>
      <c r="H93">
        <v>0</v>
      </c>
      <c r="I93">
        <v>0</v>
      </c>
      <c r="J93">
        <v>0</v>
      </c>
      <c r="K93">
        <f>IF(L93,TRUE,AND(O93:Q93))</f>
        <v>0</v>
      </c>
      <c r="L93">
        <f>COUNTBLANK(Metadata!B93:D93)=COLUMNS(Metadata!B93:D93)</f>
        <v>0</v>
      </c>
      <c r="M93">
        <v>0</v>
      </c>
      <c r="O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>
        <f>AND(IF(Metadata!C93="",FALSE,TRUE),exact(Metadata!C93,"rat metagenome"))</f>
        <v>0</v>
      </c>
      <c r="Q93">
        <f>AND(IF(Metadata!D93="",FALSE,TRUE),exact(Metadata!D93,"1427740"))</f>
        <v>0</v>
      </c>
    </row>
    <row r="94" spans="1:17">
      <c r="A94" s="4">
        <f>IF(B94=" "," ",HYPERLINK(CONCATENATE("#metadata!",ADDRESS(INDEX($J$2:$J$1001,MATCH(ROWS($H$2:H94),$H$2:$H$1001,0),0),1)),INDEX($M$2:$M$1001,MATCH(ROWS($H$2:H94),$H$2:$H$1001,0),0)))</f>
        <v>0</v>
      </c>
      <c r="B94" s="3">
        <f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>0</v>
      </c>
      <c r="C94" s="3">
        <f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>0</v>
      </c>
      <c r="D94" s="3">
        <f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>0</v>
      </c>
      <c r="H94">
        <v>0</v>
      </c>
      <c r="I94">
        <v>0</v>
      </c>
      <c r="J94">
        <v>0</v>
      </c>
      <c r="K94">
        <f>IF(L94,TRUE,AND(O94:Q94))</f>
        <v>0</v>
      </c>
      <c r="L94">
        <f>COUNTBLANK(Metadata!B94:D94)=COLUMNS(Metadata!B94:D94)</f>
        <v>0</v>
      </c>
      <c r="M94">
        <v>0</v>
      </c>
      <c r="O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>
        <f>AND(IF(Metadata!C94="",FALSE,TRUE),exact(Metadata!C94,"rat metagenome"))</f>
        <v>0</v>
      </c>
      <c r="Q94">
        <f>AND(IF(Metadata!D94="",FALSE,TRUE),exact(Metadata!D94,"1427740"))</f>
        <v>0</v>
      </c>
    </row>
    <row r="95" spans="1:17">
      <c r="A95" s="4">
        <f>IF(B95=" "," ",HYPERLINK(CONCATENATE("#metadata!",ADDRESS(INDEX($J$2:$J$1001,MATCH(ROWS($H$2:H95),$H$2:$H$1001,0),0),1)),INDEX($M$2:$M$1001,MATCH(ROWS($H$2:H95),$H$2:$H$1001,0),0)))</f>
        <v>0</v>
      </c>
      <c r="B95" s="3">
        <f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>0</v>
      </c>
      <c r="C95" s="3">
        <f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>0</v>
      </c>
      <c r="D95" s="3">
        <f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>0</v>
      </c>
      <c r="H95">
        <v>0</v>
      </c>
      <c r="I95">
        <v>0</v>
      </c>
      <c r="J95">
        <v>0</v>
      </c>
      <c r="K95">
        <f>IF(L95,TRUE,AND(O95:Q95))</f>
        <v>0</v>
      </c>
      <c r="L95">
        <f>COUNTBLANK(Metadata!B95:D95)=COLUMNS(Metadata!B95:D95)</f>
        <v>0</v>
      </c>
      <c r="M95">
        <v>0</v>
      </c>
      <c r="O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>
        <f>AND(IF(Metadata!C95="",FALSE,TRUE),exact(Metadata!C95,"rat metagenome"))</f>
        <v>0</v>
      </c>
      <c r="Q95">
        <f>AND(IF(Metadata!D95="",FALSE,TRUE),exact(Metadata!D95,"1427740"))</f>
        <v>0</v>
      </c>
    </row>
    <row r="96" spans="1:17">
      <c r="A96" s="4">
        <f>IF(B96=" "," ",HYPERLINK(CONCATENATE("#metadata!",ADDRESS(INDEX($J$2:$J$1001,MATCH(ROWS($H$2:H96),$H$2:$H$1001,0),0),1)),INDEX($M$2:$M$1001,MATCH(ROWS($H$2:H96),$H$2:$H$1001,0),0)))</f>
        <v>0</v>
      </c>
      <c r="B96" s="3">
        <f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>0</v>
      </c>
      <c r="C96" s="3">
        <f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>0</v>
      </c>
      <c r="D96" s="3">
        <f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>0</v>
      </c>
      <c r="H96">
        <v>0</v>
      </c>
      <c r="I96">
        <v>0</v>
      </c>
      <c r="J96">
        <v>0</v>
      </c>
      <c r="K96">
        <f>IF(L96,TRUE,AND(O96:Q96))</f>
        <v>0</v>
      </c>
      <c r="L96">
        <f>COUNTBLANK(Metadata!B96:D96)=COLUMNS(Metadata!B96:D96)</f>
        <v>0</v>
      </c>
      <c r="M96">
        <v>0</v>
      </c>
      <c r="O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>
        <f>AND(IF(Metadata!C96="",FALSE,TRUE),exact(Metadata!C96,"rat metagenome"))</f>
        <v>0</v>
      </c>
      <c r="Q96">
        <f>AND(IF(Metadata!D96="",FALSE,TRUE),exact(Metadata!D96,"1427740"))</f>
        <v>0</v>
      </c>
    </row>
    <row r="97" spans="1:17">
      <c r="A97" s="4">
        <f>IF(B97=" "," ",HYPERLINK(CONCATENATE("#metadata!",ADDRESS(INDEX($J$2:$J$1001,MATCH(ROWS($H$2:H97),$H$2:$H$1001,0),0),1)),INDEX($M$2:$M$1001,MATCH(ROWS($H$2:H97),$H$2:$H$1001,0),0)))</f>
        <v>0</v>
      </c>
      <c r="B97" s="3">
        <f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>0</v>
      </c>
      <c r="C97" s="3">
        <f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>0</v>
      </c>
      <c r="D97" s="3">
        <f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>0</v>
      </c>
      <c r="H97">
        <v>0</v>
      </c>
      <c r="I97">
        <v>0</v>
      </c>
      <c r="J97">
        <v>0</v>
      </c>
      <c r="K97">
        <f>IF(L97,TRUE,AND(O97:Q97))</f>
        <v>0</v>
      </c>
      <c r="L97">
        <f>COUNTBLANK(Metadata!B97:D97)=COLUMNS(Metadata!B97:D97)</f>
        <v>0</v>
      </c>
      <c r="M97">
        <v>0</v>
      </c>
      <c r="O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>
        <f>AND(IF(Metadata!C97="",FALSE,TRUE),exact(Metadata!C97,"rat metagenome"))</f>
        <v>0</v>
      </c>
      <c r="Q97">
        <f>AND(IF(Metadata!D97="",FALSE,TRUE),exact(Metadata!D97,"1427740"))</f>
        <v>0</v>
      </c>
    </row>
    <row r="98" spans="1:17">
      <c r="A98" s="4">
        <f>IF(B98=" "," ",HYPERLINK(CONCATENATE("#metadata!",ADDRESS(INDEX($J$2:$J$1001,MATCH(ROWS($H$2:H98),$H$2:$H$1001,0),0),1)),INDEX($M$2:$M$1001,MATCH(ROWS($H$2:H98),$H$2:$H$1001,0),0)))</f>
        <v>0</v>
      </c>
      <c r="B98" s="3">
        <f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>0</v>
      </c>
      <c r="C98" s="3">
        <f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>0</v>
      </c>
      <c r="D98" s="3">
        <f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>0</v>
      </c>
      <c r="H98">
        <v>0</v>
      </c>
      <c r="I98">
        <v>0</v>
      </c>
      <c r="J98">
        <v>0</v>
      </c>
      <c r="K98">
        <f>IF(L98,TRUE,AND(O98:Q98))</f>
        <v>0</v>
      </c>
      <c r="L98">
        <f>COUNTBLANK(Metadata!B98:D98)=COLUMNS(Metadata!B98:D98)</f>
        <v>0</v>
      </c>
      <c r="M98">
        <v>0</v>
      </c>
      <c r="O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>
        <f>AND(IF(Metadata!C98="",FALSE,TRUE),exact(Metadata!C98,"rat metagenome"))</f>
        <v>0</v>
      </c>
      <c r="Q98">
        <f>AND(IF(Metadata!D98="",FALSE,TRUE),exact(Metadata!D98,"1427740"))</f>
        <v>0</v>
      </c>
    </row>
    <row r="99" spans="1:17">
      <c r="A99" s="4">
        <f>IF(B99=" "," ",HYPERLINK(CONCATENATE("#metadata!",ADDRESS(INDEX($J$2:$J$1001,MATCH(ROWS($H$2:H99),$H$2:$H$1001,0),0),1)),INDEX($M$2:$M$1001,MATCH(ROWS($H$2:H99),$H$2:$H$1001,0),0)))</f>
        <v>0</v>
      </c>
      <c r="B99" s="3">
        <f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>0</v>
      </c>
      <c r="C99" s="3">
        <f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>0</v>
      </c>
      <c r="D99" s="3">
        <f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>0</v>
      </c>
      <c r="H99">
        <v>0</v>
      </c>
      <c r="I99">
        <v>0</v>
      </c>
      <c r="J99">
        <v>0</v>
      </c>
      <c r="K99">
        <f>IF(L99,TRUE,AND(O99:Q99))</f>
        <v>0</v>
      </c>
      <c r="L99">
        <f>COUNTBLANK(Metadata!B99:D99)=COLUMNS(Metadata!B99:D99)</f>
        <v>0</v>
      </c>
      <c r="M99">
        <v>0</v>
      </c>
      <c r="O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>
        <f>AND(IF(Metadata!C99="",FALSE,TRUE),exact(Metadata!C99,"rat metagenome"))</f>
        <v>0</v>
      </c>
      <c r="Q99">
        <f>AND(IF(Metadata!D99="",FALSE,TRUE),exact(Metadata!D99,"1427740"))</f>
        <v>0</v>
      </c>
    </row>
    <row r="100" spans="1:17">
      <c r="A100" s="4">
        <f>IF(B100=" "," ",HYPERLINK(CONCATENATE("#metadata!",ADDRESS(INDEX($J$2:$J$1001,MATCH(ROWS($H$2:H100),$H$2:$H$1001,0),0),1)),INDEX($M$2:$M$1001,MATCH(ROWS($H$2:H100),$H$2:$H$1001,0),0)))</f>
        <v>0</v>
      </c>
      <c r="B100" s="3">
        <f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>0</v>
      </c>
      <c r="C100" s="3">
        <f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>0</v>
      </c>
      <c r="D100" s="3">
        <f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>0</v>
      </c>
      <c r="H100">
        <v>0</v>
      </c>
      <c r="I100">
        <v>0</v>
      </c>
      <c r="J100">
        <v>0</v>
      </c>
      <c r="K100">
        <f>IF(L100,TRUE,AND(O100:Q100))</f>
        <v>0</v>
      </c>
      <c r="L100">
        <f>COUNTBLANK(Metadata!B100:D100)=COLUMNS(Metadata!B100:D100)</f>
        <v>0</v>
      </c>
      <c r="M100">
        <v>0</v>
      </c>
      <c r="O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>
        <f>AND(IF(Metadata!C100="",FALSE,TRUE),exact(Metadata!C100,"rat metagenome"))</f>
        <v>0</v>
      </c>
      <c r="Q100">
        <f>AND(IF(Metadata!D100="",FALSE,TRUE),exact(Metadata!D100,"1427740"))</f>
        <v>0</v>
      </c>
    </row>
    <row r="101" spans="1:17">
      <c r="A101" s="4">
        <f>IF(B101=" "," ",HYPERLINK(CONCATENATE("#metadata!",ADDRESS(INDEX($J$2:$J$1001,MATCH(ROWS($H$2:H101),$H$2:$H$1001,0),0),1)),INDEX($M$2:$M$1001,MATCH(ROWS($H$2:H101),$H$2:$H$1001,0),0)))</f>
        <v>0</v>
      </c>
      <c r="B101" s="3">
        <f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>0</v>
      </c>
      <c r="C101" s="3">
        <f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>0</v>
      </c>
      <c r="D101" s="3">
        <f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>0</v>
      </c>
      <c r="H101">
        <v>0</v>
      </c>
      <c r="I101">
        <v>0</v>
      </c>
      <c r="J101">
        <v>0</v>
      </c>
      <c r="K101">
        <f>IF(L101,TRUE,AND(O101:Q101))</f>
        <v>0</v>
      </c>
      <c r="L101">
        <f>COUNTBLANK(Metadata!B101:D101)=COLUMNS(Metadata!B101:D101)</f>
        <v>0</v>
      </c>
      <c r="M101">
        <v>0</v>
      </c>
      <c r="O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>
        <f>AND(IF(Metadata!C101="",FALSE,TRUE),exact(Metadata!C101,"rat metagenome"))</f>
        <v>0</v>
      </c>
      <c r="Q101">
        <f>AND(IF(Metadata!D101="",FALSE,TRUE),exact(Metadata!D101,"1427740"))</f>
        <v>0</v>
      </c>
    </row>
    <row r="102" spans="1:17">
      <c r="A102" s="4">
        <f>IF(B102=" "," ",HYPERLINK(CONCATENATE("#metadata!",ADDRESS(INDEX($J$2:$J$1001,MATCH(ROWS($H$2:H102),$H$2:$H$1001,0),0),1)),INDEX($M$2:$M$1001,MATCH(ROWS($H$2:H102),$H$2:$H$1001,0),0)))</f>
        <v>0</v>
      </c>
      <c r="B102" s="3">
        <f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>0</v>
      </c>
      <c r="C102" s="3">
        <f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>0</v>
      </c>
      <c r="D102" s="3">
        <f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>0</v>
      </c>
      <c r="H102">
        <v>0</v>
      </c>
      <c r="I102">
        <v>0</v>
      </c>
      <c r="J102">
        <v>0</v>
      </c>
      <c r="K102">
        <f>IF(L102,TRUE,AND(O102:Q102))</f>
        <v>0</v>
      </c>
      <c r="L102">
        <f>COUNTBLANK(Metadata!B102:D102)=COLUMNS(Metadata!B102:D102)</f>
        <v>0</v>
      </c>
      <c r="M102">
        <v>0</v>
      </c>
      <c r="O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>
        <f>AND(IF(Metadata!C102="",FALSE,TRUE),exact(Metadata!C102,"rat metagenome"))</f>
        <v>0</v>
      </c>
      <c r="Q102">
        <f>AND(IF(Metadata!D102="",FALSE,TRUE),exact(Metadata!D102,"1427740"))</f>
        <v>0</v>
      </c>
    </row>
    <row r="103" spans="1:17">
      <c r="A103" s="4">
        <f>IF(B103=" "," ",HYPERLINK(CONCATENATE("#metadata!",ADDRESS(INDEX($J$2:$J$1001,MATCH(ROWS($H$2:H103),$H$2:$H$1001,0),0),1)),INDEX($M$2:$M$1001,MATCH(ROWS($H$2:H103),$H$2:$H$1001,0),0)))</f>
        <v>0</v>
      </c>
      <c r="B103" s="3">
        <f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>0</v>
      </c>
      <c r="C103" s="3">
        <f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>0</v>
      </c>
      <c r="D103" s="3">
        <f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>0</v>
      </c>
      <c r="H103">
        <v>0</v>
      </c>
      <c r="I103">
        <v>0</v>
      </c>
      <c r="J103">
        <v>0</v>
      </c>
      <c r="K103">
        <f>IF(L103,TRUE,AND(O103:Q103))</f>
        <v>0</v>
      </c>
      <c r="L103">
        <f>COUNTBLANK(Metadata!B103:D103)=COLUMNS(Metadata!B103:D103)</f>
        <v>0</v>
      </c>
      <c r="M103">
        <v>0</v>
      </c>
      <c r="O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>
        <f>AND(IF(Metadata!C103="",FALSE,TRUE),exact(Metadata!C103,"rat metagenome"))</f>
        <v>0</v>
      </c>
      <c r="Q103">
        <f>AND(IF(Metadata!D103="",FALSE,TRUE),exact(Metadata!D103,"1427740"))</f>
        <v>0</v>
      </c>
    </row>
    <row r="104" spans="1:17">
      <c r="A104" s="4">
        <f>IF(B104=" "," ",HYPERLINK(CONCATENATE("#metadata!",ADDRESS(INDEX($J$2:$J$1001,MATCH(ROWS($H$2:H104),$H$2:$H$1001,0),0),1)),INDEX($M$2:$M$1001,MATCH(ROWS($H$2:H104),$H$2:$H$1001,0),0)))</f>
        <v>0</v>
      </c>
      <c r="B104" s="3">
        <f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>0</v>
      </c>
      <c r="C104" s="3">
        <f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>0</v>
      </c>
      <c r="D104" s="3">
        <f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>0</v>
      </c>
      <c r="H104">
        <v>0</v>
      </c>
      <c r="I104">
        <v>0</v>
      </c>
      <c r="J104">
        <v>0</v>
      </c>
      <c r="K104">
        <f>IF(L104,TRUE,AND(O104:Q104))</f>
        <v>0</v>
      </c>
      <c r="L104">
        <f>COUNTBLANK(Metadata!B104:D104)=COLUMNS(Metadata!B104:D104)</f>
        <v>0</v>
      </c>
      <c r="M104">
        <v>0</v>
      </c>
      <c r="O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>
        <f>AND(IF(Metadata!C104="",FALSE,TRUE),exact(Metadata!C104,"rat metagenome"))</f>
        <v>0</v>
      </c>
      <c r="Q104">
        <f>AND(IF(Metadata!D104="",FALSE,TRUE),exact(Metadata!D104,"1427740"))</f>
        <v>0</v>
      </c>
    </row>
    <row r="105" spans="1:17">
      <c r="A105" s="4">
        <f>IF(B105=" "," ",HYPERLINK(CONCATENATE("#metadata!",ADDRESS(INDEX($J$2:$J$1001,MATCH(ROWS($H$2:H105),$H$2:$H$1001,0),0),1)),INDEX($M$2:$M$1001,MATCH(ROWS($H$2:H105),$H$2:$H$1001,0),0)))</f>
        <v>0</v>
      </c>
      <c r="B105" s="3">
        <f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>0</v>
      </c>
      <c r="C105" s="3">
        <f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>0</v>
      </c>
      <c r="D105" s="3">
        <f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>0</v>
      </c>
      <c r="H105">
        <v>0</v>
      </c>
      <c r="I105">
        <v>0</v>
      </c>
      <c r="J105">
        <v>0</v>
      </c>
      <c r="K105">
        <f>IF(L105,TRUE,AND(O105:Q105))</f>
        <v>0</v>
      </c>
      <c r="L105">
        <f>COUNTBLANK(Metadata!B105:D105)=COLUMNS(Metadata!B105:D105)</f>
        <v>0</v>
      </c>
      <c r="M105">
        <v>0</v>
      </c>
      <c r="O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>
        <f>AND(IF(Metadata!C105="",FALSE,TRUE),exact(Metadata!C105,"rat metagenome"))</f>
        <v>0</v>
      </c>
      <c r="Q105">
        <f>AND(IF(Metadata!D105="",FALSE,TRUE),exact(Metadata!D105,"1427740"))</f>
        <v>0</v>
      </c>
    </row>
    <row r="106" spans="1:17">
      <c r="A106" s="4">
        <f>IF(B106=" "," ",HYPERLINK(CONCATENATE("#metadata!",ADDRESS(INDEX($J$2:$J$1001,MATCH(ROWS($H$2:H106),$H$2:$H$1001,0),0),1)),INDEX($M$2:$M$1001,MATCH(ROWS($H$2:H106),$H$2:$H$1001,0),0)))</f>
        <v>0</v>
      </c>
      <c r="B106" s="3">
        <f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>0</v>
      </c>
      <c r="C106" s="3">
        <f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>0</v>
      </c>
      <c r="D106" s="3">
        <f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>0</v>
      </c>
      <c r="H106">
        <v>0</v>
      </c>
      <c r="I106">
        <v>0</v>
      </c>
      <c r="J106">
        <v>0</v>
      </c>
      <c r="K106">
        <f>IF(L106,TRUE,AND(O106:Q106))</f>
        <v>0</v>
      </c>
      <c r="L106">
        <f>COUNTBLANK(Metadata!B106:D106)=COLUMNS(Metadata!B106:D106)</f>
        <v>0</v>
      </c>
      <c r="M106">
        <v>0</v>
      </c>
      <c r="O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>
        <f>AND(IF(Metadata!C106="",FALSE,TRUE),exact(Metadata!C106,"rat metagenome"))</f>
        <v>0</v>
      </c>
      <c r="Q106">
        <f>AND(IF(Metadata!D106="",FALSE,TRUE),exact(Metadata!D106,"1427740"))</f>
        <v>0</v>
      </c>
    </row>
    <row r="107" spans="1:17">
      <c r="A107" s="4">
        <f>IF(B107=" "," ",HYPERLINK(CONCATENATE("#metadata!",ADDRESS(INDEX($J$2:$J$1001,MATCH(ROWS($H$2:H107),$H$2:$H$1001,0),0),1)),INDEX($M$2:$M$1001,MATCH(ROWS($H$2:H107),$H$2:$H$1001,0),0)))</f>
        <v>0</v>
      </c>
      <c r="B107" s="3">
        <f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>0</v>
      </c>
      <c r="C107" s="3">
        <f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>0</v>
      </c>
      <c r="D107" s="3">
        <f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>0</v>
      </c>
      <c r="H107">
        <v>0</v>
      </c>
      <c r="I107">
        <v>0</v>
      </c>
      <c r="J107">
        <v>0</v>
      </c>
      <c r="K107">
        <f>IF(L107,TRUE,AND(O107:Q107))</f>
        <v>0</v>
      </c>
      <c r="L107">
        <f>COUNTBLANK(Metadata!B107:D107)=COLUMNS(Metadata!B107:D107)</f>
        <v>0</v>
      </c>
      <c r="M107">
        <v>0</v>
      </c>
      <c r="O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>
        <f>AND(IF(Metadata!C107="",FALSE,TRUE),exact(Metadata!C107,"rat metagenome"))</f>
        <v>0</v>
      </c>
      <c r="Q107">
        <f>AND(IF(Metadata!D107="",FALSE,TRUE),exact(Metadata!D107,"1427740"))</f>
        <v>0</v>
      </c>
    </row>
    <row r="108" spans="1:17">
      <c r="A108" s="4">
        <f>IF(B108=" "," ",HYPERLINK(CONCATENATE("#metadata!",ADDRESS(INDEX($J$2:$J$1001,MATCH(ROWS($H$2:H108),$H$2:$H$1001,0),0),1)),INDEX($M$2:$M$1001,MATCH(ROWS($H$2:H108),$H$2:$H$1001,0),0)))</f>
        <v>0</v>
      </c>
      <c r="B108" s="3">
        <f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>0</v>
      </c>
      <c r="C108" s="3">
        <f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>0</v>
      </c>
      <c r="D108" s="3">
        <f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>0</v>
      </c>
      <c r="H108">
        <v>0</v>
      </c>
      <c r="I108">
        <v>0</v>
      </c>
      <c r="J108">
        <v>0</v>
      </c>
      <c r="K108">
        <f>IF(L108,TRUE,AND(O108:Q108))</f>
        <v>0</v>
      </c>
      <c r="L108">
        <f>COUNTBLANK(Metadata!B108:D108)=COLUMNS(Metadata!B108:D108)</f>
        <v>0</v>
      </c>
      <c r="M108">
        <v>0</v>
      </c>
      <c r="O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>
        <f>AND(IF(Metadata!C108="",FALSE,TRUE),exact(Metadata!C108,"rat metagenome"))</f>
        <v>0</v>
      </c>
      <c r="Q108">
        <f>AND(IF(Metadata!D108="",FALSE,TRUE),exact(Metadata!D108,"1427740"))</f>
        <v>0</v>
      </c>
    </row>
    <row r="109" spans="1:17">
      <c r="A109" s="4">
        <f>IF(B109=" "," ",HYPERLINK(CONCATENATE("#metadata!",ADDRESS(INDEX($J$2:$J$1001,MATCH(ROWS($H$2:H109),$H$2:$H$1001,0),0),1)),INDEX($M$2:$M$1001,MATCH(ROWS($H$2:H109),$H$2:$H$1001,0),0)))</f>
        <v>0</v>
      </c>
      <c r="B109" s="3">
        <f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>0</v>
      </c>
      <c r="C109" s="3">
        <f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>0</v>
      </c>
      <c r="D109" s="3">
        <f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>0</v>
      </c>
      <c r="H109">
        <v>0</v>
      </c>
      <c r="I109">
        <v>0</v>
      </c>
      <c r="J109">
        <v>0</v>
      </c>
      <c r="K109">
        <f>IF(L109,TRUE,AND(O109:Q109))</f>
        <v>0</v>
      </c>
      <c r="L109">
        <f>COUNTBLANK(Metadata!B109:D109)=COLUMNS(Metadata!B109:D109)</f>
        <v>0</v>
      </c>
      <c r="M109">
        <v>0</v>
      </c>
      <c r="O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>
        <f>AND(IF(Metadata!C109="",FALSE,TRUE),exact(Metadata!C109,"rat metagenome"))</f>
        <v>0</v>
      </c>
      <c r="Q109">
        <f>AND(IF(Metadata!D109="",FALSE,TRUE),exact(Metadata!D109,"1427740"))</f>
        <v>0</v>
      </c>
    </row>
    <row r="110" spans="1:17">
      <c r="A110" s="4">
        <f>IF(B110=" "," ",HYPERLINK(CONCATENATE("#metadata!",ADDRESS(INDEX($J$2:$J$1001,MATCH(ROWS($H$2:H110),$H$2:$H$1001,0),0),1)),INDEX($M$2:$M$1001,MATCH(ROWS($H$2:H110),$H$2:$H$1001,0),0)))</f>
        <v>0</v>
      </c>
      <c r="B110" s="3">
        <f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>0</v>
      </c>
      <c r="C110" s="3">
        <f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>0</v>
      </c>
      <c r="D110" s="3">
        <f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>0</v>
      </c>
      <c r="H110">
        <v>0</v>
      </c>
      <c r="I110">
        <v>0</v>
      </c>
      <c r="J110">
        <v>0</v>
      </c>
      <c r="K110">
        <f>IF(L110,TRUE,AND(O110:Q110))</f>
        <v>0</v>
      </c>
      <c r="L110">
        <f>COUNTBLANK(Metadata!B110:D110)=COLUMNS(Metadata!B110:D110)</f>
        <v>0</v>
      </c>
      <c r="M110">
        <v>0</v>
      </c>
      <c r="O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>
        <f>AND(IF(Metadata!C110="",FALSE,TRUE),exact(Metadata!C110,"rat metagenome"))</f>
        <v>0</v>
      </c>
      <c r="Q110">
        <f>AND(IF(Metadata!D110="",FALSE,TRUE),exact(Metadata!D110,"1427740"))</f>
        <v>0</v>
      </c>
    </row>
    <row r="111" spans="1:17">
      <c r="A111" s="4">
        <f>IF(B111=" "," ",HYPERLINK(CONCATENATE("#metadata!",ADDRESS(INDEX($J$2:$J$1001,MATCH(ROWS($H$2:H111),$H$2:$H$1001,0),0),1)),INDEX($M$2:$M$1001,MATCH(ROWS($H$2:H111),$H$2:$H$1001,0),0)))</f>
        <v>0</v>
      </c>
      <c r="B111" s="3">
        <f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>0</v>
      </c>
      <c r="C111" s="3">
        <f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>0</v>
      </c>
      <c r="D111" s="3">
        <f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>0</v>
      </c>
      <c r="H111">
        <v>0</v>
      </c>
      <c r="I111">
        <v>0</v>
      </c>
      <c r="J111">
        <v>0</v>
      </c>
      <c r="K111">
        <f>IF(L111,TRUE,AND(O111:Q111))</f>
        <v>0</v>
      </c>
      <c r="L111">
        <f>COUNTBLANK(Metadata!B111:D111)=COLUMNS(Metadata!B111:D111)</f>
        <v>0</v>
      </c>
      <c r="M111">
        <v>0</v>
      </c>
      <c r="O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>
        <f>AND(IF(Metadata!C111="",FALSE,TRUE),exact(Metadata!C111,"rat metagenome"))</f>
        <v>0</v>
      </c>
      <c r="Q111">
        <f>AND(IF(Metadata!D111="",FALSE,TRUE),exact(Metadata!D111,"1427740"))</f>
        <v>0</v>
      </c>
    </row>
    <row r="112" spans="1:17">
      <c r="A112" s="4">
        <f>IF(B112=" "," ",HYPERLINK(CONCATENATE("#metadata!",ADDRESS(INDEX($J$2:$J$1001,MATCH(ROWS($H$2:H112),$H$2:$H$1001,0),0),1)),INDEX($M$2:$M$1001,MATCH(ROWS($H$2:H112),$H$2:$H$1001,0),0)))</f>
        <v>0</v>
      </c>
      <c r="B112" s="3">
        <f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>0</v>
      </c>
      <c r="C112" s="3">
        <f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>0</v>
      </c>
      <c r="D112" s="3">
        <f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>0</v>
      </c>
      <c r="H112">
        <v>0</v>
      </c>
      <c r="I112">
        <v>0</v>
      </c>
      <c r="J112">
        <v>0</v>
      </c>
      <c r="K112">
        <f>IF(L112,TRUE,AND(O112:Q112))</f>
        <v>0</v>
      </c>
      <c r="L112">
        <f>COUNTBLANK(Metadata!B112:D112)=COLUMNS(Metadata!B112:D112)</f>
        <v>0</v>
      </c>
      <c r="M112">
        <v>0</v>
      </c>
      <c r="O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>
        <f>AND(IF(Metadata!C112="",FALSE,TRUE),exact(Metadata!C112,"rat metagenome"))</f>
        <v>0</v>
      </c>
      <c r="Q112">
        <f>AND(IF(Metadata!D112="",FALSE,TRUE),exact(Metadata!D112,"1427740"))</f>
        <v>0</v>
      </c>
    </row>
    <row r="113" spans="1:17">
      <c r="A113" s="4">
        <f>IF(B113=" "," ",HYPERLINK(CONCATENATE("#metadata!",ADDRESS(INDEX($J$2:$J$1001,MATCH(ROWS($H$2:H113),$H$2:$H$1001,0),0),1)),INDEX($M$2:$M$1001,MATCH(ROWS($H$2:H113),$H$2:$H$1001,0),0)))</f>
        <v>0</v>
      </c>
      <c r="B113" s="3">
        <f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>0</v>
      </c>
      <c r="C113" s="3">
        <f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>0</v>
      </c>
      <c r="D113" s="3">
        <f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>0</v>
      </c>
      <c r="H113">
        <v>0</v>
      </c>
      <c r="I113">
        <v>0</v>
      </c>
      <c r="J113">
        <v>0</v>
      </c>
      <c r="K113">
        <f>IF(L113,TRUE,AND(O113:Q113))</f>
        <v>0</v>
      </c>
      <c r="L113">
        <f>COUNTBLANK(Metadata!B113:D113)=COLUMNS(Metadata!B113:D113)</f>
        <v>0</v>
      </c>
      <c r="M113">
        <v>0</v>
      </c>
      <c r="O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>
        <f>AND(IF(Metadata!C113="",FALSE,TRUE),exact(Metadata!C113,"rat metagenome"))</f>
        <v>0</v>
      </c>
      <c r="Q113">
        <f>AND(IF(Metadata!D113="",FALSE,TRUE),exact(Metadata!D113,"1427740"))</f>
        <v>0</v>
      </c>
    </row>
    <row r="114" spans="1:17">
      <c r="A114" s="4">
        <f>IF(B114=" "," ",HYPERLINK(CONCATENATE("#metadata!",ADDRESS(INDEX($J$2:$J$1001,MATCH(ROWS($H$2:H114),$H$2:$H$1001,0),0),1)),INDEX($M$2:$M$1001,MATCH(ROWS($H$2:H114),$H$2:$H$1001,0),0)))</f>
        <v>0</v>
      </c>
      <c r="B114" s="3">
        <f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>0</v>
      </c>
      <c r="C114" s="3">
        <f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>0</v>
      </c>
      <c r="D114" s="3">
        <f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>0</v>
      </c>
      <c r="H114">
        <v>0</v>
      </c>
      <c r="I114">
        <v>0</v>
      </c>
      <c r="J114">
        <v>0</v>
      </c>
      <c r="K114">
        <f>IF(L114,TRUE,AND(O114:Q114))</f>
        <v>0</v>
      </c>
      <c r="L114">
        <f>COUNTBLANK(Metadata!B114:D114)=COLUMNS(Metadata!B114:D114)</f>
        <v>0</v>
      </c>
      <c r="M114">
        <v>0</v>
      </c>
      <c r="O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>
        <f>AND(IF(Metadata!C114="",FALSE,TRUE),exact(Metadata!C114,"rat metagenome"))</f>
        <v>0</v>
      </c>
      <c r="Q114">
        <f>AND(IF(Metadata!D114="",FALSE,TRUE),exact(Metadata!D114,"1427740"))</f>
        <v>0</v>
      </c>
    </row>
    <row r="115" spans="1:17">
      <c r="A115" s="4">
        <f>IF(B115=" "," ",HYPERLINK(CONCATENATE("#metadata!",ADDRESS(INDEX($J$2:$J$1001,MATCH(ROWS($H$2:H115),$H$2:$H$1001,0),0),1)),INDEX($M$2:$M$1001,MATCH(ROWS($H$2:H115),$H$2:$H$1001,0),0)))</f>
        <v>0</v>
      </c>
      <c r="B115" s="3">
        <f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>0</v>
      </c>
      <c r="C115" s="3">
        <f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>0</v>
      </c>
      <c r="D115" s="3">
        <f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>0</v>
      </c>
      <c r="H115">
        <v>0</v>
      </c>
      <c r="I115">
        <v>0</v>
      </c>
      <c r="J115">
        <v>0</v>
      </c>
      <c r="K115">
        <f>IF(L115,TRUE,AND(O115:Q115))</f>
        <v>0</v>
      </c>
      <c r="L115">
        <f>COUNTBLANK(Metadata!B115:D115)=COLUMNS(Metadata!B115:D115)</f>
        <v>0</v>
      </c>
      <c r="M115">
        <v>0</v>
      </c>
      <c r="O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>
        <f>AND(IF(Metadata!C115="",FALSE,TRUE),exact(Metadata!C115,"rat metagenome"))</f>
        <v>0</v>
      </c>
      <c r="Q115">
        <f>AND(IF(Metadata!D115="",FALSE,TRUE),exact(Metadata!D115,"1427740"))</f>
        <v>0</v>
      </c>
    </row>
    <row r="116" spans="1:17">
      <c r="A116" s="4">
        <f>IF(B116=" "," ",HYPERLINK(CONCATENATE("#metadata!",ADDRESS(INDEX($J$2:$J$1001,MATCH(ROWS($H$2:H116),$H$2:$H$1001,0),0),1)),INDEX($M$2:$M$1001,MATCH(ROWS($H$2:H116),$H$2:$H$1001,0),0)))</f>
        <v>0</v>
      </c>
      <c r="B116" s="3">
        <f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>0</v>
      </c>
      <c r="C116" s="3">
        <f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>0</v>
      </c>
      <c r="D116" s="3">
        <f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>0</v>
      </c>
      <c r="H116">
        <v>0</v>
      </c>
      <c r="I116">
        <v>0</v>
      </c>
      <c r="J116">
        <v>0</v>
      </c>
      <c r="K116">
        <f>IF(L116,TRUE,AND(O116:Q116))</f>
        <v>0</v>
      </c>
      <c r="L116">
        <f>COUNTBLANK(Metadata!B116:D116)=COLUMNS(Metadata!B116:D116)</f>
        <v>0</v>
      </c>
      <c r="M116">
        <v>0</v>
      </c>
      <c r="O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>
        <f>AND(IF(Metadata!C116="",FALSE,TRUE),exact(Metadata!C116,"rat metagenome"))</f>
        <v>0</v>
      </c>
      <c r="Q116">
        <f>AND(IF(Metadata!D116="",FALSE,TRUE),exact(Metadata!D116,"1427740"))</f>
        <v>0</v>
      </c>
    </row>
    <row r="117" spans="1:17">
      <c r="A117" s="4">
        <f>IF(B117=" "," ",HYPERLINK(CONCATENATE("#metadata!",ADDRESS(INDEX($J$2:$J$1001,MATCH(ROWS($H$2:H117),$H$2:$H$1001,0),0),1)),INDEX($M$2:$M$1001,MATCH(ROWS($H$2:H117),$H$2:$H$1001,0),0)))</f>
        <v>0</v>
      </c>
      <c r="B117" s="3">
        <f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>0</v>
      </c>
      <c r="C117" s="3">
        <f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>0</v>
      </c>
      <c r="D117" s="3">
        <f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>0</v>
      </c>
      <c r="H117">
        <v>0</v>
      </c>
      <c r="I117">
        <v>0</v>
      </c>
      <c r="J117">
        <v>0</v>
      </c>
      <c r="K117">
        <f>IF(L117,TRUE,AND(O117:Q117))</f>
        <v>0</v>
      </c>
      <c r="L117">
        <f>COUNTBLANK(Metadata!B117:D117)=COLUMNS(Metadata!B117:D117)</f>
        <v>0</v>
      </c>
      <c r="M117">
        <v>0</v>
      </c>
      <c r="O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>
        <f>AND(IF(Metadata!C117="",FALSE,TRUE),exact(Metadata!C117,"rat metagenome"))</f>
        <v>0</v>
      </c>
      <c r="Q117">
        <f>AND(IF(Metadata!D117="",FALSE,TRUE),exact(Metadata!D117,"1427740"))</f>
        <v>0</v>
      </c>
    </row>
    <row r="118" spans="1:17">
      <c r="A118" s="4">
        <f>IF(B118=" "," ",HYPERLINK(CONCATENATE("#metadata!",ADDRESS(INDEX($J$2:$J$1001,MATCH(ROWS($H$2:H118),$H$2:$H$1001,0),0),1)),INDEX($M$2:$M$1001,MATCH(ROWS($H$2:H118),$H$2:$H$1001,0),0)))</f>
        <v>0</v>
      </c>
      <c r="B118" s="3">
        <f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>0</v>
      </c>
      <c r="C118" s="3">
        <f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>0</v>
      </c>
      <c r="D118" s="3">
        <f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>0</v>
      </c>
      <c r="H118">
        <v>0</v>
      </c>
      <c r="I118">
        <v>0</v>
      </c>
      <c r="J118">
        <v>0</v>
      </c>
      <c r="K118">
        <f>IF(L118,TRUE,AND(O118:Q118))</f>
        <v>0</v>
      </c>
      <c r="L118">
        <f>COUNTBLANK(Metadata!B118:D118)=COLUMNS(Metadata!B118:D118)</f>
        <v>0</v>
      </c>
      <c r="M118">
        <v>0</v>
      </c>
      <c r="O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>
        <f>AND(IF(Metadata!C118="",FALSE,TRUE),exact(Metadata!C118,"rat metagenome"))</f>
        <v>0</v>
      </c>
      <c r="Q118">
        <f>AND(IF(Metadata!D118="",FALSE,TRUE),exact(Metadata!D118,"1427740"))</f>
        <v>0</v>
      </c>
    </row>
    <row r="119" spans="1:17">
      <c r="A119" s="4">
        <f>IF(B119=" "," ",HYPERLINK(CONCATENATE("#metadata!",ADDRESS(INDEX($J$2:$J$1001,MATCH(ROWS($H$2:H119),$H$2:$H$1001,0),0),1)),INDEX($M$2:$M$1001,MATCH(ROWS($H$2:H119),$H$2:$H$1001,0),0)))</f>
        <v>0</v>
      </c>
      <c r="B119" s="3">
        <f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>0</v>
      </c>
      <c r="C119" s="3">
        <f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>0</v>
      </c>
      <c r="D119" s="3">
        <f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>0</v>
      </c>
      <c r="H119">
        <v>0</v>
      </c>
      <c r="I119">
        <v>0</v>
      </c>
      <c r="J119">
        <v>0</v>
      </c>
      <c r="K119">
        <f>IF(L119,TRUE,AND(O119:Q119))</f>
        <v>0</v>
      </c>
      <c r="L119">
        <f>COUNTBLANK(Metadata!B119:D119)=COLUMNS(Metadata!B119:D119)</f>
        <v>0</v>
      </c>
      <c r="M119">
        <v>0</v>
      </c>
      <c r="O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>
        <f>AND(IF(Metadata!C119="",FALSE,TRUE),exact(Metadata!C119,"rat metagenome"))</f>
        <v>0</v>
      </c>
      <c r="Q119">
        <f>AND(IF(Metadata!D119="",FALSE,TRUE),exact(Metadata!D119,"1427740"))</f>
        <v>0</v>
      </c>
    </row>
    <row r="120" spans="1:17">
      <c r="A120" s="4">
        <f>IF(B120=" "," ",HYPERLINK(CONCATENATE("#metadata!",ADDRESS(INDEX($J$2:$J$1001,MATCH(ROWS($H$2:H120),$H$2:$H$1001,0),0),1)),INDEX($M$2:$M$1001,MATCH(ROWS($H$2:H120),$H$2:$H$1001,0),0)))</f>
        <v>0</v>
      </c>
      <c r="B120" s="3">
        <f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>0</v>
      </c>
      <c r="C120" s="3">
        <f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>0</v>
      </c>
      <c r="D120" s="3">
        <f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>0</v>
      </c>
      <c r="H120">
        <v>0</v>
      </c>
      <c r="I120">
        <v>0</v>
      </c>
      <c r="J120">
        <v>0</v>
      </c>
      <c r="K120">
        <f>IF(L120,TRUE,AND(O120:Q120))</f>
        <v>0</v>
      </c>
      <c r="L120">
        <f>COUNTBLANK(Metadata!B120:D120)=COLUMNS(Metadata!B120:D120)</f>
        <v>0</v>
      </c>
      <c r="M120">
        <v>0</v>
      </c>
      <c r="O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>
        <f>AND(IF(Metadata!C120="",FALSE,TRUE),exact(Metadata!C120,"rat metagenome"))</f>
        <v>0</v>
      </c>
      <c r="Q120">
        <f>AND(IF(Metadata!D120="",FALSE,TRUE),exact(Metadata!D120,"1427740"))</f>
        <v>0</v>
      </c>
    </row>
    <row r="121" spans="1:17">
      <c r="A121" s="4">
        <f>IF(B121=" "," ",HYPERLINK(CONCATENATE("#metadata!",ADDRESS(INDEX($J$2:$J$1001,MATCH(ROWS($H$2:H121),$H$2:$H$1001,0),0),1)),INDEX($M$2:$M$1001,MATCH(ROWS($H$2:H121),$H$2:$H$1001,0),0)))</f>
        <v>0</v>
      </c>
      <c r="B121" s="3">
        <f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>0</v>
      </c>
      <c r="C121" s="3">
        <f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>0</v>
      </c>
      <c r="D121" s="3">
        <f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>0</v>
      </c>
      <c r="H121">
        <v>0</v>
      </c>
      <c r="I121">
        <v>0</v>
      </c>
      <c r="J121">
        <v>0</v>
      </c>
      <c r="K121">
        <f>IF(L121,TRUE,AND(O121:Q121))</f>
        <v>0</v>
      </c>
      <c r="L121">
        <f>COUNTBLANK(Metadata!B121:D121)=COLUMNS(Metadata!B121:D121)</f>
        <v>0</v>
      </c>
      <c r="M121">
        <v>0</v>
      </c>
      <c r="O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>
        <f>AND(IF(Metadata!C121="",FALSE,TRUE),exact(Metadata!C121,"rat metagenome"))</f>
        <v>0</v>
      </c>
      <c r="Q121">
        <f>AND(IF(Metadata!D121="",FALSE,TRUE),exact(Metadata!D121,"1427740"))</f>
        <v>0</v>
      </c>
    </row>
    <row r="122" spans="1:17">
      <c r="A122" s="4">
        <f>IF(B122=" "," ",HYPERLINK(CONCATENATE("#metadata!",ADDRESS(INDEX($J$2:$J$1001,MATCH(ROWS($H$2:H122),$H$2:$H$1001,0),0),1)),INDEX($M$2:$M$1001,MATCH(ROWS($H$2:H122),$H$2:$H$1001,0),0)))</f>
        <v>0</v>
      </c>
      <c r="B122" s="3">
        <f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>0</v>
      </c>
      <c r="C122" s="3">
        <f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>0</v>
      </c>
      <c r="D122" s="3">
        <f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>0</v>
      </c>
      <c r="H122">
        <v>0</v>
      </c>
      <c r="I122">
        <v>0</v>
      </c>
      <c r="J122">
        <v>0</v>
      </c>
      <c r="K122">
        <f>IF(L122,TRUE,AND(O122:Q122))</f>
        <v>0</v>
      </c>
      <c r="L122">
        <f>COUNTBLANK(Metadata!B122:D122)=COLUMNS(Metadata!B122:D122)</f>
        <v>0</v>
      </c>
      <c r="M122">
        <v>0</v>
      </c>
      <c r="O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>
        <f>AND(IF(Metadata!C122="",FALSE,TRUE),exact(Metadata!C122,"rat metagenome"))</f>
        <v>0</v>
      </c>
      <c r="Q122">
        <f>AND(IF(Metadata!D122="",FALSE,TRUE),exact(Metadata!D122,"1427740"))</f>
        <v>0</v>
      </c>
    </row>
    <row r="123" spans="1:17">
      <c r="A123" s="4">
        <f>IF(B123=" "," ",HYPERLINK(CONCATENATE("#metadata!",ADDRESS(INDEX($J$2:$J$1001,MATCH(ROWS($H$2:H123),$H$2:$H$1001,0),0),1)),INDEX($M$2:$M$1001,MATCH(ROWS($H$2:H123),$H$2:$H$1001,0),0)))</f>
        <v>0</v>
      </c>
      <c r="B123" s="3">
        <f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>0</v>
      </c>
      <c r="C123" s="3">
        <f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>0</v>
      </c>
      <c r="D123" s="3">
        <f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>0</v>
      </c>
      <c r="H123">
        <v>0</v>
      </c>
      <c r="I123">
        <v>0</v>
      </c>
      <c r="J123">
        <v>0</v>
      </c>
      <c r="K123">
        <f>IF(L123,TRUE,AND(O123:Q123))</f>
        <v>0</v>
      </c>
      <c r="L123">
        <f>COUNTBLANK(Metadata!B123:D123)=COLUMNS(Metadata!B123:D123)</f>
        <v>0</v>
      </c>
      <c r="M123">
        <v>0</v>
      </c>
      <c r="O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>
        <f>AND(IF(Metadata!C123="",FALSE,TRUE),exact(Metadata!C123,"rat metagenome"))</f>
        <v>0</v>
      </c>
      <c r="Q123">
        <f>AND(IF(Metadata!D123="",FALSE,TRUE),exact(Metadata!D123,"1427740"))</f>
        <v>0</v>
      </c>
    </row>
    <row r="124" spans="1:17">
      <c r="A124" s="4">
        <f>IF(B124=" "," ",HYPERLINK(CONCATENATE("#metadata!",ADDRESS(INDEX($J$2:$J$1001,MATCH(ROWS($H$2:H124),$H$2:$H$1001,0),0),1)),INDEX($M$2:$M$1001,MATCH(ROWS($H$2:H124),$H$2:$H$1001,0),0)))</f>
        <v>0</v>
      </c>
      <c r="B124" s="3">
        <f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>0</v>
      </c>
      <c r="C124" s="3">
        <f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>0</v>
      </c>
      <c r="D124" s="3">
        <f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>0</v>
      </c>
      <c r="H124">
        <v>0</v>
      </c>
      <c r="I124">
        <v>0</v>
      </c>
      <c r="J124">
        <v>0</v>
      </c>
      <c r="K124">
        <f>IF(L124,TRUE,AND(O124:Q124))</f>
        <v>0</v>
      </c>
      <c r="L124">
        <f>COUNTBLANK(Metadata!B124:D124)=COLUMNS(Metadata!B124:D124)</f>
        <v>0</v>
      </c>
      <c r="M124">
        <v>0</v>
      </c>
      <c r="O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>
        <f>AND(IF(Metadata!C124="",FALSE,TRUE),exact(Metadata!C124,"rat metagenome"))</f>
        <v>0</v>
      </c>
      <c r="Q124">
        <f>AND(IF(Metadata!D124="",FALSE,TRUE),exact(Metadata!D124,"1427740"))</f>
        <v>0</v>
      </c>
    </row>
    <row r="125" spans="1:17">
      <c r="A125" s="4">
        <f>IF(B125=" "," ",HYPERLINK(CONCATENATE("#metadata!",ADDRESS(INDEX($J$2:$J$1001,MATCH(ROWS($H$2:H125),$H$2:$H$1001,0),0),1)),INDEX($M$2:$M$1001,MATCH(ROWS($H$2:H125),$H$2:$H$1001,0),0)))</f>
        <v>0</v>
      </c>
      <c r="B125" s="3">
        <f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>0</v>
      </c>
      <c r="C125" s="3">
        <f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>0</v>
      </c>
      <c r="D125" s="3">
        <f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>0</v>
      </c>
      <c r="H125">
        <v>0</v>
      </c>
      <c r="I125">
        <v>0</v>
      </c>
      <c r="J125">
        <v>0</v>
      </c>
      <c r="K125">
        <f>IF(L125,TRUE,AND(O125:Q125))</f>
        <v>0</v>
      </c>
      <c r="L125">
        <f>COUNTBLANK(Metadata!B125:D125)=COLUMNS(Metadata!B125:D125)</f>
        <v>0</v>
      </c>
      <c r="M125">
        <v>0</v>
      </c>
      <c r="O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>
        <f>AND(IF(Metadata!C125="",FALSE,TRUE),exact(Metadata!C125,"rat metagenome"))</f>
        <v>0</v>
      </c>
      <c r="Q125">
        <f>AND(IF(Metadata!D125="",FALSE,TRUE),exact(Metadata!D125,"1427740"))</f>
        <v>0</v>
      </c>
    </row>
    <row r="126" spans="1:17">
      <c r="A126" s="4">
        <f>IF(B126=" "," ",HYPERLINK(CONCATENATE("#metadata!",ADDRESS(INDEX($J$2:$J$1001,MATCH(ROWS($H$2:H126),$H$2:$H$1001,0),0),1)),INDEX($M$2:$M$1001,MATCH(ROWS($H$2:H126),$H$2:$H$1001,0),0)))</f>
        <v>0</v>
      </c>
      <c r="B126" s="3">
        <f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>0</v>
      </c>
      <c r="C126" s="3">
        <f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>0</v>
      </c>
      <c r="D126" s="3">
        <f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>0</v>
      </c>
      <c r="H126">
        <v>0</v>
      </c>
      <c r="I126">
        <v>0</v>
      </c>
      <c r="J126">
        <v>0</v>
      </c>
      <c r="K126">
        <f>IF(L126,TRUE,AND(O126:Q126))</f>
        <v>0</v>
      </c>
      <c r="L126">
        <f>COUNTBLANK(Metadata!B126:D126)=COLUMNS(Metadata!B126:D126)</f>
        <v>0</v>
      </c>
      <c r="M126">
        <v>0</v>
      </c>
      <c r="O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>
        <f>AND(IF(Metadata!C126="",FALSE,TRUE),exact(Metadata!C126,"rat metagenome"))</f>
        <v>0</v>
      </c>
      <c r="Q126">
        <f>AND(IF(Metadata!D126="",FALSE,TRUE),exact(Metadata!D126,"1427740"))</f>
        <v>0</v>
      </c>
    </row>
    <row r="127" spans="1:17">
      <c r="A127" s="4">
        <f>IF(B127=" "," ",HYPERLINK(CONCATENATE("#metadata!",ADDRESS(INDEX($J$2:$J$1001,MATCH(ROWS($H$2:H127),$H$2:$H$1001,0),0),1)),INDEX($M$2:$M$1001,MATCH(ROWS($H$2:H127),$H$2:$H$1001,0),0)))</f>
        <v>0</v>
      </c>
      <c r="B127" s="3">
        <f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>0</v>
      </c>
      <c r="C127" s="3">
        <f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>0</v>
      </c>
      <c r="D127" s="3">
        <f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>0</v>
      </c>
      <c r="H127">
        <v>0</v>
      </c>
      <c r="I127">
        <v>0</v>
      </c>
      <c r="J127">
        <v>0</v>
      </c>
      <c r="K127">
        <f>IF(L127,TRUE,AND(O127:Q127))</f>
        <v>0</v>
      </c>
      <c r="L127">
        <f>COUNTBLANK(Metadata!B127:D127)=COLUMNS(Metadata!B127:D127)</f>
        <v>0</v>
      </c>
      <c r="M127">
        <v>0</v>
      </c>
      <c r="O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>
        <f>AND(IF(Metadata!C127="",FALSE,TRUE),exact(Metadata!C127,"rat metagenome"))</f>
        <v>0</v>
      </c>
      <c r="Q127">
        <f>AND(IF(Metadata!D127="",FALSE,TRUE),exact(Metadata!D127,"1427740"))</f>
        <v>0</v>
      </c>
    </row>
    <row r="128" spans="1:17">
      <c r="A128" s="4">
        <f>IF(B128=" "," ",HYPERLINK(CONCATENATE("#metadata!",ADDRESS(INDEX($J$2:$J$1001,MATCH(ROWS($H$2:H128),$H$2:$H$1001,0),0),1)),INDEX($M$2:$M$1001,MATCH(ROWS($H$2:H128),$H$2:$H$1001,0),0)))</f>
        <v>0</v>
      </c>
      <c r="B128" s="3">
        <f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>0</v>
      </c>
      <c r="C128" s="3">
        <f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>0</v>
      </c>
      <c r="D128" s="3">
        <f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>0</v>
      </c>
      <c r="H128">
        <v>0</v>
      </c>
      <c r="I128">
        <v>0</v>
      </c>
      <c r="J128">
        <v>0</v>
      </c>
      <c r="K128">
        <f>IF(L128,TRUE,AND(O128:Q128))</f>
        <v>0</v>
      </c>
      <c r="L128">
        <f>COUNTBLANK(Metadata!B128:D128)=COLUMNS(Metadata!B128:D128)</f>
        <v>0</v>
      </c>
      <c r="M128">
        <v>0</v>
      </c>
      <c r="O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>
        <f>AND(IF(Metadata!C128="",FALSE,TRUE),exact(Metadata!C128,"rat metagenome"))</f>
        <v>0</v>
      </c>
      <c r="Q128">
        <f>AND(IF(Metadata!D128="",FALSE,TRUE),exact(Metadata!D128,"1427740"))</f>
        <v>0</v>
      </c>
    </row>
    <row r="129" spans="1:17">
      <c r="A129" s="4">
        <f>IF(B129=" "," ",HYPERLINK(CONCATENATE("#metadata!",ADDRESS(INDEX($J$2:$J$1001,MATCH(ROWS($H$2:H129),$H$2:$H$1001,0),0),1)),INDEX($M$2:$M$1001,MATCH(ROWS($H$2:H129),$H$2:$H$1001,0),0)))</f>
        <v>0</v>
      </c>
      <c r="B129" s="3">
        <f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>0</v>
      </c>
      <c r="C129" s="3">
        <f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>0</v>
      </c>
      <c r="D129" s="3">
        <f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>0</v>
      </c>
      <c r="H129">
        <v>0</v>
      </c>
      <c r="I129">
        <v>0</v>
      </c>
      <c r="J129">
        <v>0</v>
      </c>
      <c r="K129">
        <f>IF(L129,TRUE,AND(O129:Q129))</f>
        <v>0</v>
      </c>
      <c r="L129">
        <f>COUNTBLANK(Metadata!B129:D129)=COLUMNS(Metadata!B129:D129)</f>
        <v>0</v>
      </c>
      <c r="M129">
        <v>0</v>
      </c>
      <c r="O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>
        <f>AND(IF(Metadata!C129="",FALSE,TRUE),exact(Metadata!C129,"rat metagenome"))</f>
        <v>0</v>
      </c>
      <c r="Q129">
        <f>AND(IF(Metadata!D129="",FALSE,TRUE),exact(Metadata!D129,"1427740"))</f>
        <v>0</v>
      </c>
    </row>
    <row r="130" spans="1:17">
      <c r="A130" s="4">
        <f>IF(B130=" "," ",HYPERLINK(CONCATENATE("#metadata!",ADDRESS(INDEX($J$2:$J$1001,MATCH(ROWS($H$2:H130),$H$2:$H$1001,0),0),1)),INDEX($M$2:$M$1001,MATCH(ROWS($H$2:H130),$H$2:$H$1001,0),0)))</f>
        <v>0</v>
      </c>
      <c r="B130" s="3">
        <f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>0</v>
      </c>
      <c r="C130" s="3">
        <f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>0</v>
      </c>
      <c r="D130" s="3">
        <f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>0</v>
      </c>
      <c r="H130">
        <v>0</v>
      </c>
      <c r="I130">
        <v>0</v>
      </c>
      <c r="J130">
        <v>0</v>
      </c>
      <c r="K130">
        <f>IF(L130,TRUE,AND(O130:Q130))</f>
        <v>0</v>
      </c>
      <c r="L130">
        <f>COUNTBLANK(Metadata!B130:D130)=COLUMNS(Metadata!B130:D130)</f>
        <v>0</v>
      </c>
      <c r="M130">
        <v>0</v>
      </c>
      <c r="O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>
        <f>AND(IF(Metadata!C130="",FALSE,TRUE),exact(Metadata!C130,"rat metagenome"))</f>
        <v>0</v>
      </c>
      <c r="Q130">
        <f>AND(IF(Metadata!D130="",FALSE,TRUE),exact(Metadata!D130,"1427740"))</f>
        <v>0</v>
      </c>
    </row>
    <row r="131" spans="1:17">
      <c r="A131" s="4">
        <f>IF(B131=" "," ",HYPERLINK(CONCATENATE("#metadata!",ADDRESS(INDEX($J$2:$J$1001,MATCH(ROWS($H$2:H131),$H$2:$H$1001,0),0),1)),INDEX($M$2:$M$1001,MATCH(ROWS($H$2:H131),$H$2:$H$1001,0),0)))</f>
        <v>0</v>
      </c>
      <c r="B131" s="3">
        <f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>0</v>
      </c>
      <c r="C131" s="3">
        <f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>0</v>
      </c>
      <c r="D131" s="3">
        <f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>0</v>
      </c>
      <c r="H131">
        <v>0</v>
      </c>
      <c r="I131">
        <v>0</v>
      </c>
      <c r="J131">
        <v>0</v>
      </c>
      <c r="K131">
        <f>IF(L131,TRUE,AND(O131:Q131))</f>
        <v>0</v>
      </c>
      <c r="L131">
        <f>COUNTBLANK(Metadata!B131:D131)=COLUMNS(Metadata!B131:D131)</f>
        <v>0</v>
      </c>
      <c r="M131">
        <v>0</v>
      </c>
      <c r="O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>
        <f>AND(IF(Metadata!C131="",FALSE,TRUE),exact(Metadata!C131,"rat metagenome"))</f>
        <v>0</v>
      </c>
      <c r="Q131">
        <f>AND(IF(Metadata!D131="",FALSE,TRUE),exact(Metadata!D131,"1427740"))</f>
        <v>0</v>
      </c>
    </row>
    <row r="132" spans="1:17">
      <c r="A132" s="4">
        <f>IF(B132=" "," ",HYPERLINK(CONCATENATE("#metadata!",ADDRESS(INDEX($J$2:$J$1001,MATCH(ROWS($H$2:H132),$H$2:$H$1001,0),0),1)),INDEX($M$2:$M$1001,MATCH(ROWS($H$2:H132),$H$2:$H$1001,0),0)))</f>
        <v>0</v>
      </c>
      <c r="B132" s="3">
        <f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>0</v>
      </c>
      <c r="C132" s="3">
        <f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>0</v>
      </c>
      <c r="D132" s="3">
        <f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>0</v>
      </c>
      <c r="H132">
        <v>0</v>
      </c>
      <c r="I132">
        <v>0</v>
      </c>
      <c r="J132">
        <v>0</v>
      </c>
      <c r="K132">
        <f>IF(L132,TRUE,AND(O132:Q132))</f>
        <v>0</v>
      </c>
      <c r="L132">
        <f>COUNTBLANK(Metadata!B132:D132)=COLUMNS(Metadata!B132:D132)</f>
        <v>0</v>
      </c>
      <c r="M132">
        <v>0</v>
      </c>
      <c r="O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>
        <f>AND(IF(Metadata!C132="",FALSE,TRUE),exact(Metadata!C132,"rat metagenome"))</f>
        <v>0</v>
      </c>
      <c r="Q132">
        <f>AND(IF(Metadata!D132="",FALSE,TRUE),exact(Metadata!D132,"1427740"))</f>
        <v>0</v>
      </c>
    </row>
    <row r="133" spans="1:17">
      <c r="A133" s="4">
        <f>IF(B133=" "," ",HYPERLINK(CONCATENATE("#metadata!",ADDRESS(INDEX($J$2:$J$1001,MATCH(ROWS($H$2:H133),$H$2:$H$1001,0),0),1)),INDEX($M$2:$M$1001,MATCH(ROWS($H$2:H133),$H$2:$H$1001,0),0)))</f>
        <v>0</v>
      </c>
      <c r="B133" s="3">
        <f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>0</v>
      </c>
      <c r="C133" s="3">
        <f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>0</v>
      </c>
      <c r="D133" s="3">
        <f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>0</v>
      </c>
      <c r="H133">
        <v>0</v>
      </c>
      <c r="I133">
        <v>0</v>
      </c>
      <c r="J133">
        <v>0</v>
      </c>
      <c r="K133">
        <f>IF(L133,TRUE,AND(O133:Q133))</f>
        <v>0</v>
      </c>
      <c r="L133">
        <f>COUNTBLANK(Metadata!B133:D133)=COLUMNS(Metadata!B133:D133)</f>
        <v>0</v>
      </c>
      <c r="M133">
        <v>0</v>
      </c>
      <c r="O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>
        <f>AND(IF(Metadata!C133="",FALSE,TRUE),exact(Metadata!C133,"rat metagenome"))</f>
        <v>0</v>
      </c>
      <c r="Q133">
        <f>AND(IF(Metadata!D133="",FALSE,TRUE),exact(Metadata!D133,"1427740"))</f>
        <v>0</v>
      </c>
    </row>
    <row r="134" spans="1:17">
      <c r="A134" s="4">
        <f>IF(B134=" "," ",HYPERLINK(CONCATENATE("#metadata!",ADDRESS(INDEX($J$2:$J$1001,MATCH(ROWS($H$2:H134),$H$2:$H$1001,0),0),1)),INDEX($M$2:$M$1001,MATCH(ROWS($H$2:H134),$H$2:$H$1001,0),0)))</f>
        <v>0</v>
      </c>
      <c r="B134" s="3">
        <f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>0</v>
      </c>
      <c r="C134" s="3">
        <f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>0</v>
      </c>
      <c r="D134" s="3">
        <f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>0</v>
      </c>
      <c r="H134">
        <v>0</v>
      </c>
      <c r="I134">
        <v>0</v>
      </c>
      <c r="J134">
        <v>0</v>
      </c>
      <c r="K134">
        <f>IF(L134,TRUE,AND(O134:Q134))</f>
        <v>0</v>
      </c>
      <c r="L134">
        <f>COUNTBLANK(Metadata!B134:D134)=COLUMNS(Metadata!B134:D134)</f>
        <v>0</v>
      </c>
      <c r="M134">
        <v>0</v>
      </c>
      <c r="O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>
        <f>AND(IF(Metadata!C134="",FALSE,TRUE),exact(Metadata!C134,"rat metagenome"))</f>
        <v>0</v>
      </c>
      <c r="Q134">
        <f>AND(IF(Metadata!D134="",FALSE,TRUE),exact(Metadata!D134,"1427740"))</f>
        <v>0</v>
      </c>
    </row>
    <row r="135" spans="1:17">
      <c r="A135" s="4">
        <f>IF(B135=" "," ",HYPERLINK(CONCATENATE("#metadata!",ADDRESS(INDEX($J$2:$J$1001,MATCH(ROWS($H$2:H135),$H$2:$H$1001,0),0),1)),INDEX($M$2:$M$1001,MATCH(ROWS($H$2:H135),$H$2:$H$1001,0),0)))</f>
        <v>0</v>
      </c>
      <c r="B135" s="3">
        <f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>0</v>
      </c>
      <c r="C135" s="3">
        <f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>0</v>
      </c>
      <c r="D135" s="3">
        <f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>0</v>
      </c>
      <c r="H135">
        <v>0</v>
      </c>
      <c r="I135">
        <v>0</v>
      </c>
      <c r="J135">
        <v>0</v>
      </c>
      <c r="K135">
        <f>IF(L135,TRUE,AND(O135:Q135))</f>
        <v>0</v>
      </c>
      <c r="L135">
        <f>COUNTBLANK(Metadata!B135:D135)=COLUMNS(Metadata!B135:D135)</f>
        <v>0</v>
      </c>
      <c r="M135">
        <v>0</v>
      </c>
      <c r="O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>
        <f>AND(IF(Metadata!C135="",FALSE,TRUE),exact(Metadata!C135,"rat metagenome"))</f>
        <v>0</v>
      </c>
      <c r="Q135">
        <f>AND(IF(Metadata!D135="",FALSE,TRUE),exact(Metadata!D135,"1427740"))</f>
        <v>0</v>
      </c>
    </row>
    <row r="136" spans="1:17">
      <c r="A136" s="4">
        <f>IF(B136=" "," ",HYPERLINK(CONCATENATE("#metadata!",ADDRESS(INDEX($J$2:$J$1001,MATCH(ROWS($H$2:H136),$H$2:$H$1001,0),0),1)),INDEX($M$2:$M$1001,MATCH(ROWS($H$2:H136),$H$2:$H$1001,0),0)))</f>
        <v>0</v>
      </c>
      <c r="B136" s="3">
        <f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>0</v>
      </c>
      <c r="C136" s="3">
        <f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>0</v>
      </c>
      <c r="D136" s="3">
        <f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>0</v>
      </c>
      <c r="H136">
        <v>0</v>
      </c>
      <c r="I136">
        <v>0</v>
      </c>
      <c r="J136">
        <v>0</v>
      </c>
      <c r="K136">
        <f>IF(L136,TRUE,AND(O136:Q136))</f>
        <v>0</v>
      </c>
      <c r="L136">
        <f>COUNTBLANK(Metadata!B136:D136)=COLUMNS(Metadata!B136:D136)</f>
        <v>0</v>
      </c>
      <c r="M136">
        <v>0</v>
      </c>
      <c r="O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>
        <f>AND(IF(Metadata!C136="",FALSE,TRUE),exact(Metadata!C136,"rat metagenome"))</f>
        <v>0</v>
      </c>
      <c r="Q136">
        <f>AND(IF(Metadata!D136="",FALSE,TRUE),exact(Metadata!D136,"1427740"))</f>
        <v>0</v>
      </c>
    </row>
    <row r="137" spans="1:17">
      <c r="A137" s="4">
        <f>IF(B137=" "," ",HYPERLINK(CONCATENATE("#metadata!",ADDRESS(INDEX($J$2:$J$1001,MATCH(ROWS($H$2:H137),$H$2:$H$1001,0),0),1)),INDEX($M$2:$M$1001,MATCH(ROWS($H$2:H137),$H$2:$H$1001,0),0)))</f>
        <v>0</v>
      </c>
      <c r="B137" s="3">
        <f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>0</v>
      </c>
      <c r="C137" s="3">
        <f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>0</v>
      </c>
      <c r="D137" s="3">
        <f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>0</v>
      </c>
      <c r="H137">
        <v>0</v>
      </c>
      <c r="I137">
        <v>0</v>
      </c>
      <c r="J137">
        <v>0</v>
      </c>
      <c r="K137">
        <f>IF(L137,TRUE,AND(O137:Q137))</f>
        <v>0</v>
      </c>
      <c r="L137">
        <f>COUNTBLANK(Metadata!B137:D137)=COLUMNS(Metadata!B137:D137)</f>
        <v>0</v>
      </c>
      <c r="M137">
        <v>0</v>
      </c>
      <c r="O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>
        <f>AND(IF(Metadata!C137="",FALSE,TRUE),exact(Metadata!C137,"rat metagenome"))</f>
        <v>0</v>
      </c>
      <c r="Q137">
        <f>AND(IF(Metadata!D137="",FALSE,TRUE),exact(Metadata!D137,"1427740"))</f>
        <v>0</v>
      </c>
    </row>
    <row r="138" spans="1:17">
      <c r="A138" s="4">
        <f>IF(B138=" "," ",HYPERLINK(CONCATENATE("#metadata!",ADDRESS(INDEX($J$2:$J$1001,MATCH(ROWS($H$2:H138),$H$2:$H$1001,0),0),1)),INDEX($M$2:$M$1001,MATCH(ROWS($H$2:H138),$H$2:$H$1001,0),0)))</f>
        <v>0</v>
      </c>
      <c r="B138" s="3">
        <f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>0</v>
      </c>
      <c r="C138" s="3">
        <f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>0</v>
      </c>
      <c r="D138" s="3">
        <f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>0</v>
      </c>
      <c r="H138">
        <v>0</v>
      </c>
      <c r="I138">
        <v>0</v>
      </c>
      <c r="J138">
        <v>0</v>
      </c>
      <c r="K138">
        <f>IF(L138,TRUE,AND(O138:Q138))</f>
        <v>0</v>
      </c>
      <c r="L138">
        <f>COUNTBLANK(Metadata!B138:D138)=COLUMNS(Metadata!B138:D138)</f>
        <v>0</v>
      </c>
      <c r="M138">
        <v>0</v>
      </c>
      <c r="O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>
        <f>AND(IF(Metadata!C138="",FALSE,TRUE),exact(Metadata!C138,"rat metagenome"))</f>
        <v>0</v>
      </c>
      <c r="Q138">
        <f>AND(IF(Metadata!D138="",FALSE,TRUE),exact(Metadata!D138,"1427740"))</f>
        <v>0</v>
      </c>
    </row>
    <row r="139" spans="1:17">
      <c r="A139" s="4">
        <f>IF(B139=" "," ",HYPERLINK(CONCATENATE("#metadata!",ADDRESS(INDEX($J$2:$J$1001,MATCH(ROWS($H$2:H139),$H$2:$H$1001,0),0),1)),INDEX($M$2:$M$1001,MATCH(ROWS($H$2:H139),$H$2:$H$1001,0),0)))</f>
        <v>0</v>
      </c>
      <c r="B139" s="3">
        <f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>0</v>
      </c>
      <c r="C139" s="3">
        <f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>0</v>
      </c>
      <c r="D139" s="3">
        <f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>0</v>
      </c>
      <c r="H139">
        <v>0</v>
      </c>
      <c r="I139">
        <v>0</v>
      </c>
      <c r="J139">
        <v>0</v>
      </c>
      <c r="K139">
        <f>IF(L139,TRUE,AND(O139:Q139))</f>
        <v>0</v>
      </c>
      <c r="L139">
        <f>COUNTBLANK(Metadata!B139:D139)=COLUMNS(Metadata!B139:D139)</f>
        <v>0</v>
      </c>
      <c r="M139">
        <v>0</v>
      </c>
      <c r="O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>
        <f>AND(IF(Metadata!C139="",FALSE,TRUE),exact(Metadata!C139,"rat metagenome"))</f>
        <v>0</v>
      </c>
      <c r="Q139">
        <f>AND(IF(Metadata!D139="",FALSE,TRUE),exact(Metadata!D139,"1427740"))</f>
        <v>0</v>
      </c>
    </row>
    <row r="140" spans="1:17">
      <c r="A140" s="4">
        <f>IF(B140=" "," ",HYPERLINK(CONCATENATE("#metadata!",ADDRESS(INDEX($J$2:$J$1001,MATCH(ROWS($H$2:H140),$H$2:$H$1001,0),0),1)),INDEX($M$2:$M$1001,MATCH(ROWS($H$2:H140),$H$2:$H$1001,0),0)))</f>
        <v>0</v>
      </c>
      <c r="B140" s="3">
        <f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>0</v>
      </c>
      <c r="C140" s="3">
        <f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>0</v>
      </c>
      <c r="D140" s="3">
        <f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>0</v>
      </c>
      <c r="H140">
        <v>0</v>
      </c>
      <c r="I140">
        <v>0</v>
      </c>
      <c r="J140">
        <v>0</v>
      </c>
      <c r="K140">
        <f>IF(L140,TRUE,AND(O140:Q140))</f>
        <v>0</v>
      </c>
      <c r="L140">
        <f>COUNTBLANK(Metadata!B140:D140)=COLUMNS(Metadata!B140:D140)</f>
        <v>0</v>
      </c>
      <c r="M140">
        <v>0</v>
      </c>
      <c r="O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>
        <f>AND(IF(Metadata!C140="",FALSE,TRUE),exact(Metadata!C140,"rat metagenome"))</f>
        <v>0</v>
      </c>
      <c r="Q140">
        <f>AND(IF(Metadata!D140="",FALSE,TRUE),exact(Metadata!D140,"1427740"))</f>
        <v>0</v>
      </c>
    </row>
    <row r="141" spans="1:17">
      <c r="A141" s="4">
        <f>IF(B141=" "," ",HYPERLINK(CONCATENATE("#metadata!",ADDRESS(INDEX($J$2:$J$1001,MATCH(ROWS($H$2:H141),$H$2:$H$1001,0),0),1)),INDEX($M$2:$M$1001,MATCH(ROWS($H$2:H141),$H$2:$H$1001,0),0)))</f>
        <v>0</v>
      </c>
      <c r="B141" s="3">
        <f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>0</v>
      </c>
      <c r="C141" s="3">
        <f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>0</v>
      </c>
      <c r="D141" s="3">
        <f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>0</v>
      </c>
      <c r="H141">
        <v>0</v>
      </c>
      <c r="I141">
        <v>0</v>
      </c>
      <c r="J141">
        <v>0</v>
      </c>
      <c r="K141">
        <f>IF(L141,TRUE,AND(O141:Q141))</f>
        <v>0</v>
      </c>
      <c r="L141">
        <f>COUNTBLANK(Metadata!B141:D141)=COLUMNS(Metadata!B141:D141)</f>
        <v>0</v>
      </c>
      <c r="M141">
        <v>0</v>
      </c>
      <c r="O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>
        <f>AND(IF(Metadata!C141="",FALSE,TRUE),exact(Metadata!C141,"rat metagenome"))</f>
        <v>0</v>
      </c>
      <c r="Q141">
        <f>AND(IF(Metadata!D141="",FALSE,TRUE),exact(Metadata!D141,"1427740"))</f>
        <v>0</v>
      </c>
    </row>
    <row r="142" spans="1:17">
      <c r="A142" s="4">
        <f>IF(B142=" "," ",HYPERLINK(CONCATENATE("#metadata!",ADDRESS(INDEX($J$2:$J$1001,MATCH(ROWS($H$2:H142),$H$2:$H$1001,0),0),1)),INDEX($M$2:$M$1001,MATCH(ROWS($H$2:H142),$H$2:$H$1001,0),0)))</f>
        <v>0</v>
      </c>
      <c r="B142" s="3">
        <f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>0</v>
      </c>
      <c r="C142" s="3">
        <f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>0</v>
      </c>
      <c r="D142" s="3">
        <f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>0</v>
      </c>
      <c r="H142">
        <v>0</v>
      </c>
      <c r="I142">
        <v>0</v>
      </c>
      <c r="J142">
        <v>0</v>
      </c>
      <c r="K142">
        <f>IF(L142,TRUE,AND(O142:Q142))</f>
        <v>0</v>
      </c>
      <c r="L142">
        <f>COUNTBLANK(Metadata!B142:D142)=COLUMNS(Metadata!B142:D142)</f>
        <v>0</v>
      </c>
      <c r="M142">
        <v>0</v>
      </c>
      <c r="O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>
        <f>AND(IF(Metadata!C142="",FALSE,TRUE),exact(Metadata!C142,"rat metagenome"))</f>
        <v>0</v>
      </c>
      <c r="Q142">
        <f>AND(IF(Metadata!D142="",FALSE,TRUE),exact(Metadata!D142,"1427740"))</f>
        <v>0</v>
      </c>
    </row>
    <row r="143" spans="1:17">
      <c r="A143" s="4">
        <f>IF(B143=" "," ",HYPERLINK(CONCATENATE("#metadata!",ADDRESS(INDEX($J$2:$J$1001,MATCH(ROWS($H$2:H143),$H$2:$H$1001,0),0),1)),INDEX($M$2:$M$1001,MATCH(ROWS($H$2:H143),$H$2:$H$1001,0),0)))</f>
        <v>0</v>
      </c>
      <c r="B143" s="3">
        <f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>0</v>
      </c>
      <c r="C143" s="3">
        <f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>0</v>
      </c>
      <c r="D143" s="3">
        <f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>0</v>
      </c>
      <c r="H143">
        <v>0</v>
      </c>
      <c r="I143">
        <v>0</v>
      </c>
      <c r="J143">
        <v>0</v>
      </c>
      <c r="K143">
        <f>IF(L143,TRUE,AND(O143:Q143))</f>
        <v>0</v>
      </c>
      <c r="L143">
        <f>COUNTBLANK(Metadata!B143:D143)=COLUMNS(Metadata!B143:D143)</f>
        <v>0</v>
      </c>
      <c r="M143">
        <v>0</v>
      </c>
      <c r="O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>
        <f>AND(IF(Metadata!C143="",FALSE,TRUE),exact(Metadata!C143,"rat metagenome"))</f>
        <v>0</v>
      </c>
      <c r="Q143">
        <f>AND(IF(Metadata!D143="",FALSE,TRUE),exact(Metadata!D143,"1427740"))</f>
        <v>0</v>
      </c>
    </row>
    <row r="144" spans="1:17">
      <c r="A144" s="4">
        <f>IF(B144=" "," ",HYPERLINK(CONCATENATE("#metadata!",ADDRESS(INDEX($J$2:$J$1001,MATCH(ROWS($H$2:H144),$H$2:$H$1001,0),0),1)),INDEX($M$2:$M$1001,MATCH(ROWS($H$2:H144),$H$2:$H$1001,0),0)))</f>
        <v>0</v>
      </c>
      <c r="B144" s="3">
        <f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>0</v>
      </c>
      <c r="C144" s="3">
        <f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>0</v>
      </c>
      <c r="D144" s="3">
        <f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>0</v>
      </c>
      <c r="H144">
        <v>0</v>
      </c>
      <c r="I144">
        <v>0</v>
      </c>
      <c r="J144">
        <v>0</v>
      </c>
      <c r="K144">
        <f>IF(L144,TRUE,AND(O144:Q144))</f>
        <v>0</v>
      </c>
      <c r="L144">
        <f>COUNTBLANK(Metadata!B144:D144)=COLUMNS(Metadata!B144:D144)</f>
        <v>0</v>
      </c>
      <c r="M144">
        <v>0</v>
      </c>
      <c r="O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>
        <f>AND(IF(Metadata!C144="",FALSE,TRUE),exact(Metadata!C144,"rat metagenome"))</f>
        <v>0</v>
      </c>
      <c r="Q144">
        <f>AND(IF(Metadata!D144="",FALSE,TRUE),exact(Metadata!D144,"1427740"))</f>
        <v>0</v>
      </c>
    </row>
    <row r="145" spans="1:17">
      <c r="A145" s="4">
        <f>IF(B145=" "," ",HYPERLINK(CONCATENATE("#metadata!",ADDRESS(INDEX($J$2:$J$1001,MATCH(ROWS($H$2:H145),$H$2:$H$1001,0),0),1)),INDEX($M$2:$M$1001,MATCH(ROWS($H$2:H145),$H$2:$H$1001,0),0)))</f>
        <v>0</v>
      </c>
      <c r="B145" s="3">
        <f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>0</v>
      </c>
      <c r="C145" s="3">
        <f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>0</v>
      </c>
      <c r="D145" s="3">
        <f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>0</v>
      </c>
      <c r="H145">
        <v>0</v>
      </c>
      <c r="I145">
        <v>0</v>
      </c>
      <c r="J145">
        <v>0</v>
      </c>
      <c r="K145">
        <f>IF(L145,TRUE,AND(O145:Q145))</f>
        <v>0</v>
      </c>
      <c r="L145">
        <f>COUNTBLANK(Metadata!B145:D145)=COLUMNS(Metadata!B145:D145)</f>
        <v>0</v>
      </c>
      <c r="M145">
        <v>0</v>
      </c>
      <c r="O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>
        <f>AND(IF(Metadata!C145="",FALSE,TRUE),exact(Metadata!C145,"rat metagenome"))</f>
        <v>0</v>
      </c>
      <c r="Q145">
        <f>AND(IF(Metadata!D145="",FALSE,TRUE),exact(Metadata!D145,"1427740"))</f>
        <v>0</v>
      </c>
    </row>
    <row r="146" spans="1:17">
      <c r="A146" s="4">
        <f>IF(B146=" "," ",HYPERLINK(CONCATENATE("#metadata!",ADDRESS(INDEX($J$2:$J$1001,MATCH(ROWS($H$2:H146),$H$2:$H$1001,0),0),1)),INDEX($M$2:$M$1001,MATCH(ROWS($H$2:H146),$H$2:$H$1001,0),0)))</f>
        <v>0</v>
      </c>
      <c r="B146" s="3">
        <f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>0</v>
      </c>
      <c r="C146" s="3">
        <f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>0</v>
      </c>
      <c r="D146" s="3">
        <f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>0</v>
      </c>
      <c r="H146">
        <v>0</v>
      </c>
      <c r="I146">
        <v>0</v>
      </c>
      <c r="J146">
        <v>0</v>
      </c>
      <c r="K146">
        <f>IF(L146,TRUE,AND(O146:Q146))</f>
        <v>0</v>
      </c>
      <c r="L146">
        <f>COUNTBLANK(Metadata!B146:D146)=COLUMNS(Metadata!B146:D146)</f>
        <v>0</v>
      </c>
      <c r="M146">
        <v>0</v>
      </c>
      <c r="O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>
        <f>AND(IF(Metadata!C146="",FALSE,TRUE),exact(Metadata!C146,"rat metagenome"))</f>
        <v>0</v>
      </c>
      <c r="Q146">
        <f>AND(IF(Metadata!D146="",FALSE,TRUE),exact(Metadata!D146,"1427740"))</f>
        <v>0</v>
      </c>
    </row>
    <row r="147" spans="1:17">
      <c r="A147" s="4">
        <f>IF(B147=" "," ",HYPERLINK(CONCATENATE("#metadata!",ADDRESS(INDEX($J$2:$J$1001,MATCH(ROWS($H$2:H147),$H$2:$H$1001,0),0),1)),INDEX($M$2:$M$1001,MATCH(ROWS($H$2:H147),$H$2:$H$1001,0),0)))</f>
        <v>0</v>
      </c>
      <c r="B147" s="3">
        <f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>0</v>
      </c>
      <c r="C147" s="3">
        <f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>0</v>
      </c>
      <c r="D147" s="3">
        <f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>0</v>
      </c>
      <c r="H147">
        <v>0</v>
      </c>
      <c r="I147">
        <v>0</v>
      </c>
      <c r="J147">
        <v>0</v>
      </c>
      <c r="K147">
        <f>IF(L147,TRUE,AND(O147:Q147))</f>
        <v>0</v>
      </c>
      <c r="L147">
        <f>COUNTBLANK(Metadata!B147:D147)=COLUMNS(Metadata!B147:D147)</f>
        <v>0</v>
      </c>
      <c r="M147">
        <v>0</v>
      </c>
      <c r="O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>
        <f>AND(IF(Metadata!C147="",FALSE,TRUE),exact(Metadata!C147,"rat metagenome"))</f>
        <v>0</v>
      </c>
      <c r="Q147">
        <f>AND(IF(Metadata!D147="",FALSE,TRUE),exact(Metadata!D147,"1427740"))</f>
        <v>0</v>
      </c>
    </row>
    <row r="148" spans="1:17">
      <c r="A148" s="4">
        <f>IF(B148=" "," ",HYPERLINK(CONCATENATE("#metadata!",ADDRESS(INDEX($J$2:$J$1001,MATCH(ROWS($H$2:H148),$H$2:$H$1001,0),0),1)),INDEX($M$2:$M$1001,MATCH(ROWS($H$2:H148),$H$2:$H$1001,0),0)))</f>
        <v>0</v>
      </c>
      <c r="B148" s="3">
        <f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>0</v>
      </c>
      <c r="C148" s="3">
        <f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>0</v>
      </c>
      <c r="D148" s="3">
        <f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>0</v>
      </c>
      <c r="H148">
        <v>0</v>
      </c>
      <c r="I148">
        <v>0</v>
      </c>
      <c r="J148">
        <v>0</v>
      </c>
      <c r="K148">
        <f>IF(L148,TRUE,AND(O148:Q148))</f>
        <v>0</v>
      </c>
      <c r="L148">
        <f>COUNTBLANK(Metadata!B148:D148)=COLUMNS(Metadata!B148:D148)</f>
        <v>0</v>
      </c>
      <c r="M148">
        <v>0</v>
      </c>
      <c r="O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>
        <f>AND(IF(Metadata!C148="",FALSE,TRUE),exact(Metadata!C148,"rat metagenome"))</f>
        <v>0</v>
      </c>
      <c r="Q148">
        <f>AND(IF(Metadata!D148="",FALSE,TRUE),exact(Metadata!D148,"1427740"))</f>
        <v>0</v>
      </c>
    </row>
    <row r="149" spans="1:17">
      <c r="A149" s="4">
        <f>IF(B149=" "," ",HYPERLINK(CONCATENATE("#metadata!",ADDRESS(INDEX($J$2:$J$1001,MATCH(ROWS($H$2:H149),$H$2:$H$1001,0),0),1)),INDEX($M$2:$M$1001,MATCH(ROWS($H$2:H149),$H$2:$H$1001,0),0)))</f>
        <v>0</v>
      </c>
      <c r="B149" s="3">
        <f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>0</v>
      </c>
      <c r="C149" s="3">
        <f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>0</v>
      </c>
      <c r="D149" s="3">
        <f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>0</v>
      </c>
      <c r="H149">
        <v>0</v>
      </c>
      <c r="I149">
        <v>0</v>
      </c>
      <c r="J149">
        <v>0</v>
      </c>
      <c r="K149">
        <f>IF(L149,TRUE,AND(O149:Q149))</f>
        <v>0</v>
      </c>
      <c r="L149">
        <f>COUNTBLANK(Metadata!B149:D149)=COLUMNS(Metadata!B149:D149)</f>
        <v>0</v>
      </c>
      <c r="M149">
        <v>0</v>
      </c>
      <c r="O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>
        <f>AND(IF(Metadata!C149="",FALSE,TRUE),exact(Metadata!C149,"rat metagenome"))</f>
        <v>0</v>
      </c>
      <c r="Q149">
        <f>AND(IF(Metadata!D149="",FALSE,TRUE),exact(Metadata!D149,"1427740"))</f>
        <v>0</v>
      </c>
    </row>
    <row r="150" spans="1:17">
      <c r="A150" s="4">
        <f>IF(B150=" "," ",HYPERLINK(CONCATENATE("#metadata!",ADDRESS(INDEX($J$2:$J$1001,MATCH(ROWS($H$2:H150),$H$2:$H$1001,0),0),1)),INDEX($M$2:$M$1001,MATCH(ROWS($H$2:H150),$H$2:$H$1001,0),0)))</f>
        <v>0</v>
      </c>
      <c r="B150" s="3">
        <f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>0</v>
      </c>
      <c r="C150" s="3">
        <f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>0</v>
      </c>
      <c r="D150" s="3">
        <f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>0</v>
      </c>
      <c r="H150">
        <v>0</v>
      </c>
      <c r="I150">
        <v>0</v>
      </c>
      <c r="J150">
        <v>0</v>
      </c>
      <c r="K150">
        <f>IF(L150,TRUE,AND(O150:Q150))</f>
        <v>0</v>
      </c>
      <c r="L150">
        <f>COUNTBLANK(Metadata!B150:D150)=COLUMNS(Metadata!B150:D150)</f>
        <v>0</v>
      </c>
      <c r="M150">
        <v>0</v>
      </c>
      <c r="O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>
        <f>AND(IF(Metadata!C150="",FALSE,TRUE),exact(Metadata!C150,"rat metagenome"))</f>
        <v>0</v>
      </c>
      <c r="Q150">
        <f>AND(IF(Metadata!D150="",FALSE,TRUE),exact(Metadata!D150,"1427740"))</f>
        <v>0</v>
      </c>
    </row>
    <row r="151" spans="1:17">
      <c r="A151" s="4">
        <f>IF(B151=" "," ",HYPERLINK(CONCATENATE("#metadata!",ADDRESS(INDEX($J$2:$J$1001,MATCH(ROWS($H$2:H151),$H$2:$H$1001,0),0),1)),INDEX($M$2:$M$1001,MATCH(ROWS($H$2:H151),$H$2:$H$1001,0),0)))</f>
        <v>0</v>
      </c>
      <c r="B151" s="3">
        <f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>0</v>
      </c>
      <c r="C151" s="3">
        <f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>0</v>
      </c>
      <c r="D151" s="3">
        <f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>0</v>
      </c>
      <c r="H151">
        <v>0</v>
      </c>
      <c r="I151">
        <v>0</v>
      </c>
      <c r="J151">
        <v>0</v>
      </c>
      <c r="K151">
        <f>IF(L151,TRUE,AND(O151:Q151))</f>
        <v>0</v>
      </c>
      <c r="L151">
        <f>COUNTBLANK(Metadata!B151:D151)=COLUMNS(Metadata!B151:D151)</f>
        <v>0</v>
      </c>
      <c r="M151">
        <v>0</v>
      </c>
      <c r="O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>
        <f>AND(IF(Metadata!C151="",FALSE,TRUE),exact(Metadata!C151,"rat metagenome"))</f>
        <v>0</v>
      </c>
      <c r="Q151">
        <f>AND(IF(Metadata!D151="",FALSE,TRUE),exact(Metadata!D151,"1427740"))</f>
        <v>0</v>
      </c>
    </row>
    <row r="152" spans="1:17">
      <c r="A152" s="4">
        <f>IF(B152=" "," ",HYPERLINK(CONCATENATE("#metadata!",ADDRESS(INDEX($J$2:$J$1001,MATCH(ROWS($H$2:H152),$H$2:$H$1001,0),0),1)),INDEX($M$2:$M$1001,MATCH(ROWS($H$2:H152),$H$2:$H$1001,0),0)))</f>
        <v>0</v>
      </c>
      <c r="B152" s="3">
        <f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>0</v>
      </c>
      <c r="C152" s="3">
        <f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>0</v>
      </c>
      <c r="D152" s="3">
        <f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>0</v>
      </c>
      <c r="H152">
        <v>0</v>
      </c>
      <c r="I152">
        <v>0</v>
      </c>
      <c r="J152">
        <v>0</v>
      </c>
      <c r="K152">
        <f>IF(L152,TRUE,AND(O152:Q152))</f>
        <v>0</v>
      </c>
      <c r="L152">
        <f>COUNTBLANK(Metadata!B152:D152)=COLUMNS(Metadata!B152:D152)</f>
        <v>0</v>
      </c>
      <c r="M152">
        <v>0</v>
      </c>
      <c r="O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>
        <f>AND(IF(Metadata!C152="",FALSE,TRUE),exact(Metadata!C152,"rat metagenome"))</f>
        <v>0</v>
      </c>
      <c r="Q152">
        <f>AND(IF(Metadata!D152="",FALSE,TRUE),exact(Metadata!D152,"1427740"))</f>
        <v>0</v>
      </c>
    </row>
    <row r="153" spans="1:17">
      <c r="A153" s="4">
        <f>IF(B153=" "," ",HYPERLINK(CONCATENATE("#metadata!",ADDRESS(INDEX($J$2:$J$1001,MATCH(ROWS($H$2:H153),$H$2:$H$1001,0),0),1)),INDEX($M$2:$M$1001,MATCH(ROWS($H$2:H153),$H$2:$H$1001,0),0)))</f>
        <v>0</v>
      </c>
      <c r="B153" s="3">
        <f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>0</v>
      </c>
      <c r="C153" s="3">
        <f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>0</v>
      </c>
      <c r="D153" s="3">
        <f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>0</v>
      </c>
      <c r="H153">
        <v>0</v>
      </c>
      <c r="I153">
        <v>0</v>
      </c>
      <c r="J153">
        <v>0</v>
      </c>
      <c r="K153">
        <f>IF(L153,TRUE,AND(O153:Q153))</f>
        <v>0</v>
      </c>
      <c r="L153">
        <f>COUNTBLANK(Metadata!B153:D153)=COLUMNS(Metadata!B153:D153)</f>
        <v>0</v>
      </c>
      <c r="M153">
        <v>0</v>
      </c>
      <c r="O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>
        <f>AND(IF(Metadata!C153="",FALSE,TRUE),exact(Metadata!C153,"rat metagenome"))</f>
        <v>0</v>
      </c>
      <c r="Q153">
        <f>AND(IF(Metadata!D153="",FALSE,TRUE),exact(Metadata!D153,"1427740"))</f>
        <v>0</v>
      </c>
    </row>
    <row r="154" spans="1:17">
      <c r="A154" s="4">
        <f>IF(B154=" "," ",HYPERLINK(CONCATENATE("#metadata!",ADDRESS(INDEX($J$2:$J$1001,MATCH(ROWS($H$2:H154),$H$2:$H$1001,0),0),1)),INDEX($M$2:$M$1001,MATCH(ROWS($H$2:H154),$H$2:$H$1001,0),0)))</f>
        <v>0</v>
      </c>
      <c r="B154" s="3">
        <f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>0</v>
      </c>
      <c r="C154" s="3">
        <f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>0</v>
      </c>
      <c r="D154" s="3">
        <f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>0</v>
      </c>
      <c r="H154">
        <v>0</v>
      </c>
      <c r="I154">
        <v>0</v>
      </c>
      <c r="J154">
        <v>0</v>
      </c>
      <c r="K154">
        <f>IF(L154,TRUE,AND(O154:Q154))</f>
        <v>0</v>
      </c>
      <c r="L154">
        <f>COUNTBLANK(Metadata!B154:D154)=COLUMNS(Metadata!B154:D154)</f>
        <v>0</v>
      </c>
      <c r="M154">
        <v>0</v>
      </c>
      <c r="O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>
        <f>AND(IF(Metadata!C154="",FALSE,TRUE),exact(Metadata!C154,"rat metagenome"))</f>
        <v>0</v>
      </c>
      <c r="Q154">
        <f>AND(IF(Metadata!D154="",FALSE,TRUE),exact(Metadata!D154,"1427740"))</f>
        <v>0</v>
      </c>
    </row>
    <row r="155" spans="1:17">
      <c r="A155" s="4">
        <f>IF(B155=" "," ",HYPERLINK(CONCATENATE("#metadata!",ADDRESS(INDEX($J$2:$J$1001,MATCH(ROWS($H$2:H155),$H$2:$H$1001,0),0),1)),INDEX($M$2:$M$1001,MATCH(ROWS($H$2:H155),$H$2:$H$1001,0),0)))</f>
        <v>0</v>
      </c>
      <c r="B155" s="3">
        <f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>0</v>
      </c>
      <c r="C155" s="3">
        <f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>0</v>
      </c>
      <c r="D155" s="3">
        <f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>0</v>
      </c>
      <c r="H155">
        <v>0</v>
      </c>
      <c r="I155">
        <v>0</v>
      </c>
      <c r="J155">
        <v>0</v>
      </c>
      <c r="K155">
        <f>IF(L155,TRUE,AND(O155:Q155))</f>
        <v>0</v>
      </c>
      <c r="L155">
        <f>COUNTBLANK(Metadata!B155:D155)=COLUMNS(Metadata!B155:D155)</f>
        <v>0</v>
      </c>
      <c r="M155">
        <v>0</v>
      </c>
      <c r="O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>
        <f>AND(IF(Metadata!C155="",FALSE,TRUE),exact(Metadata!C155,"rat metagenome"))</f>
        <v>0</v>
      </c>
      <c r="Q155">
        <f>AND(IF(Metadata!D155="",FALSE,TRUE),exact(Metadata!D155,"1427740"))</f>
        <v>0</v>
      </c>
    </row>
    <row r="156" spans="1:17">
      <c r="A156" s="4">
        <f>IF(B156=" "," ",HYPERLINK(CONCATENATE("#metadata!",ADDRESS(INDEX($J$2:$J$1001,MATCH(ROWS($H$2:H156),$H$2:$H$1001,0),0),1)),INDEX($M$2:$M$1001,MATCH(ROWS($H$2:H156),$H$2:$H$1001,0),0)))</f>
        <v>0</v>
      </c>
      <c r="B156" s="3">
        <f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>0</v>
      </c>
      <c r="C156" s="3">
        <f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>0</v>
      </c>
      <c r="D156" s="3">
        <f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>0</v>
      </c>
      <c r="H156">
        <v>0</v>
      </c>
      <c r="I156">
        <v>0</v>
      </c>
      <c r="J156">
        <v>0</v>
      </c>
      <c r="K156">
        <f>IF(L156,TRUE,AND(O156:Q156))</f>
        <v>0</v>
      </c>
      <c r="L156">
        <f>COUNTBLANK(Metadata!B156:D156)=COLUMNS(Metadata!B156:D156)</f>
        <v>0</v>
      </c>
      <c r="M156">
        <v>0</v>
      </c>
      <c r="O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>
        <f>AND(IF(Metadata!C156="",FALSE,TRUE),exact(Metadata!C156,"rat metagenome"))</f>
        <v>0</v>
      </c>
      <c r="Q156">
        <f>AND(IF(Metadata!D156="",FALSE,TRUE),exact(Metadata!D156,"1427740"))</f>
        <v>0</v>
      </c>
    </row>
    <row r="157" spans="1:17">
      <c r="A157" s="4">
        <f>IF(B157=" "," ",HYPERLINK(CONCATENATE("#metadata!",ADDRESS(INDEX($J$2:$J$1001,MATCH(ROWS($H$2:H157),$H$2:$H$1001,0),0),1)),INDEX($M$2:$M$1001,MATCH(ROWS($H$2:H157),$H$2:$H$1001,0),0)))</f>
        <v>0</v>
      </c>
      <c r="B157" s="3">
        <f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>0</v>
      </c>
      <c r="C157" s="3">
        <f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>0</v>
      </c>
      <c r="D157" s="3">
        <f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>0</v>
      </c>
      <c r="H157">
        <v>0</v>
      </c>
      <c r="I157">
        <v>0</v>
      </c>
      <c r="J157">
        <v>0</v>
      </c>
      <c r="K157">
        <f>IF(L157,TRUE,AND(O157:Q157))</f>
        <v>0</v>
      </c>
      <c r="L157">
        <f>COUNTBLANK(Metadata!B157:D157)=COLUMNS(Metadata!B157:D157)</f>
        <v>0</v>
      </c>
      <c r="M157">
        <v>0</v>
      </c>
      <c r="O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>
        <f>AND(IF(Metadata!C157="",FALSE,TRUE),exact(Metadata!C157,"rat metagenome"))</f>
        <v>0</v>
      </c>
      <c r="Q157">
        <f>AND(IF(Metadata!D157="",FALSE,TRUE),exact(Metadata!D157,"1427740"))</f>
        <v>0</v>
      </c>
    </row>
    <row r="158" spans="1:17">
      <c r="A158" s="4">
        <f>IF(B158=" "," ",HYPERLINK(CONCATENATE("#metadata!",ADDRESS(INDEX($J$2:$J$1001,MATCH(ROWS($H$2:H158),$H$2:$H$1001,0),0),1)),INDEX($M$2:$M$1001,MATCH(ROWS($H$2:H158),$H$2:$H$1001,0),0)))</f>
        <v>0</v>
      </c>
      <c r="B158" s="3">
        <f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>0</v>
      </c>
      <c r="C158" s="3">
        <f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>0</v>
      </c>
      <c r="D158" s="3">
        <f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>0</v>
      </c>
      <c r="H158">
        <v>0</v>
      </c>
      <c r="I158">
        <v>0</v>
      </c>
      <c r="J158">
        <v>0</v>
      </c>
      <c r="K158">
        <f>IF(L158,TRUE,AND(O158:Q158))</f>
        <v>0</v>
      </c>
      <c r="L158">
        <f>COUNTBLANK(Metadata!B158:D158)=COLUMNS(Metadata!B158:D158)</f>
        <v>0</v>
      </c>
      <c r="M158">
        <v>0</v>
      </c>
      <c r="O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>
        <f>AND(IF(Metadata!C158="",FALSE,TRUE),exact(Metadata!C158,"rat metagenome"))</f>
        <v>0</v>
      </c>
      <c r="Q158">
        <f>AND(IF(Metadata!D158="",FALSE,TRUE),exact(Metadata!D158,"1427740"))</f>
        <v>0</v>
      </c>
    </row>
    <row r="159" spans="1:17">
      <c r="A159" s="4">
        <f>IF(B159=" "," ",HYPERLINK(CONCATENATE("#metadata!",ADDRESS(INDEX($J$2:$J$1001,MATCH(ROWS($H$2:H159),$H$2:$H$1001,0),0),1)),INDEX($M$2:$M$1001,MATCH(ROWS($H$2:H159),$H$2:$H$1001,0),0)))</f>
        <v>0</v>
      </c>
      <c r="B159" s="3">
        <f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>0</v>
      </c>
      <c r="C159" s="3">
        <f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>0</v>
      </c>
      <c r="D159" s="3">
        <f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>0</v>
      </c>
      <c r="H159">
        <v>0</v>
      </c>
      <c r="I159">
        <v>0</v>
      </c>
      <c r="J159">
        <v>0</v>
      </c>
      <c r="K159">
        <f>IF(L159,TRUE,AND(O159:Q159))</f>
        <v>0</v>
      </c>
      <c r="L159">
        <f>COUNTBLANK(Metadata!B159:D159)=COLUMNS(Metadata!B159:D159)</f>
        <v>0</v>
      </c>
      <c r="M159">
        <v>0</v>
      </c>
      <c r="O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>
        <f>AND(IF(Metadata!C159="",FALSE,TRUE),exact(Metadata!C159,"rat metagenome"))</f>
        <v>0</v>
      </c>
      <c r="Q159">
        <f>AND(IF(Metadata!D159="",FALSE,TRUE),exact(Metadata!D159,"1427740"))</f>
        <v>0</v>
      </c>
    </row>
    <row r="160" spans="1:17">
      <c r="A160" s="4">
        <f>IF(B160=" "," ",HYPERLINK(CONCATENATE("#metadata!",ADDRESS(INDEX($J$2:$J$1001,MATCH(ROWS($H$2:H160),$H$2:$H$1001,0),0),1)),INDEX($M$2:$M$1001,MATCH(ROWS($H$2:H160),$H$2:$H$1001,0),0)))</f>
        <v>0</v>
      </c>
      <c r="B160" s="3">
        <f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>0</v>
      </c>
      <c r="C160" s="3">
        <f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>0</v>
      </c>
      <c r="D160" s="3">
        <f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>0</v>
      </c>
      <c r="H160">
        <v>0</v>
      </c>
      <c r="I160">
        <v>0</v>
      </c>
      <c r="J160">
        <v>0</v>
      </c>
      <c r="K160">
        <f>IF(L160,TRUE,AND(O160:Q160))</f>
        <v>0</v>
      </c>
      <c r="L160">
        <f>COUNTBLANK(Metadata!B160:D160)=COLUMNS(Metadata!B160:D160)</f>
        <v>0</v>
      </c>
      <c r="M160">
        <v>0</v>
      </c>
      <c r="O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>
        <f>AND(IF(Metadata!C160="",FALSE,TRUE),exact(Metadata!C160,"rat metagenome"))</f>
        <v>0</v>
      </c>
      <c r="Q160">
        <f>AND(IF(Metadata!D160="",FALSE,TRUE),exact(Metadata!D160,"1427740"))</f>
        <v>0</v>
      </c>
    </row>
    <row r="161" spans="1:17">
      <c r="A161" s="4">
        <f>IF(B161=" "," ",HYPERLINK(CONCATENATE("#metadata!",ADDRESS(INDEX($J$2:$J$1001,MATCH(ROWS($H$2:H161),$H$2:$H$1001,0),0),1)),INDEX($M$2:$M$1001,MATCH(ROWS($H$2:H161),$H$2:$H$1001,0),0)))</f>
        <v>0</v>
      </c>
      <c r="B161" s="3">
        <f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>0</v>
      </c>
      <c r="C161" s="3">
        <f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>0</v>
      </c>
      <c r="D161" s="3">
        <f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>0</v>
      </c>
      <c r="H161">
        <v>0</v>
      </c>
      <c r="I161">
        <v>0</v>
      </c>
      <c r="J161">
        <v>0</v>
      </c>
      <c r="K161">
        <f>IF(L161,TRUE,AND(O161:Q161))</f>
        <v>0</v>
      </c>
      <c r="L161">
        <f>COUNTBLANK(Metadata!B161:D161)=COLUMNS(Metadata!B161:D161)</f>
        <v>0</v>
      </c>
      <c r="M161">
        <v>0</v>
      </c>
      <c r="O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>
        <f>AND(IF(Metadata!C161="",FALSE,TRUE),exact(Metadata!C161,"rat metagenome"))</f>
        <v>0</v>
      </c>
      <c r="Q161">
        <f>AND(IF(Metadata!D161="",FALSE,TRUE),exact(Metadata!D161,"1427740"))</f>
        <v>0</v>
      </c>
    </row>
    <row r="162" spans="1:17">
      <c r="A162" s="4">
        <f>IF(B162=" "," ",HYPERLINK(CONCATENATE("#metadata!",ADDRESS(INDEX($J$2:$J$1001,MATCH(ROWS($H$2:H162),$H$2:$H$1001,0),0),1)),INDEX($M$2:$M$1001,MATCH(ROWS($H$2:H162),$H$2:$H$1001,0),0)))</f>
        <v>0</v>
      </c>
      <c r="B162" s="3">
        <f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>0</v>
      </c>
      <c r="C162" s="3">
        <f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>0</v>
      </c>
      <c r="D162" s="3">
        <f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>0</v>
      </c>
      <c r="H162">
        <v>0</v>
      </c>
      <c r="I162">
        <v>0</v>
      </c>
      <c r="J162">
        <v>0</v>
      </c>
      <c r="K162">
        <f>IF(L162,TRUE,AND(O162:Q162))</f>
        <v>0</v>
      </c>
      <c r="L162">
        <f>COUNTBLANK(Metadata!B162:D162)=COLUMNS(Metadata!B162:D162)</f>
        <v>0</v>
      </c>
      <c r="M162">
        <v>0</v>
      </c>
      <c r="O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>
        <f>AND(IF(Metadata!C162="",FALSE,TRUE),exact(Metadata!C162,"rat metagenome"))</f>
        <v>0</v>
      </c>
      <c r="Q162">
        <f>AND(IF(Metadata!D162="",FALSE,TRUE),exact(Metadata!D162,"1427740"))</f>
        <v>0</v>
      </c>
    </row>
    <row r="163" spans="1:17">
      <c r="A163" s="4">
        <f>IF(B163=" "," ",HYPERLINK(CONCATENATE("#metadata!",ADDRESS(INDEX($J$2:$J$1001,MATCH(ROWS($H$2:H163),$H$2:$H$1001,0),0),1)),INDEX($M$2:$M$1001,MATCH(ROWS($H$2:H163),$H$2:$H$1001,0),0)))</f>
        <v>0</v>
      </c>
      <c r="B163" s="3">
        <f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>0</v>
      </c>
      <c r="C163" s="3">
        <f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>0</v>
      </c>
      <c r="D163" s="3">
        <f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>0</v>
      </c>
      <c r="H163">
        <v>0</v>
      </c>
      <c r="I163">
        <v>0</v>
      </c>
      <c r="J163">
        <v>0</v>
      </c>
      <c r="K163">
        <f>IF(L163,TRUE,AND(O163:Q163))</f>
        <v>0</v>
      </c>
      <c r="L163">
        <f>COUNTBLANK(Metadata!B163:D163)=COLUMNS(Metadata!B163:D163)</f>
        <v>0</v>
      </c>
      <c r="M163">
        <v>0</v>
      </c>
      <c r="O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>
        <f>AND(IF(Metadata!C163="",FALSE,TRUE),exact(Metadata!C163,"rat metagenome"))</f>
        <v>0</v>
      </c>
      <c r="Q163">
        <f>AND(IF(Metadata!D163="",FALSE,TRUE),exact(Metadata!D163,"1427740"))</f>
        <v>0</v>
      </c>
    </row>
    <row r="164" spans="1:17">
      <c r="A164" s="4">
        <f>IF(B164=" "," ",HYPERLINK(CONCATENATE("#metadata!",ADDRESS(INDEX($J$2:$J$1001,MATCH(ROWS($H$2:H164),$H$2:$H$1001,0),0),1)),INDEX($M$2:$M$1001,MATCH(ROWS($H$2:H164),$H$2:$H$1001,0),0)))</f>
        <v>0</v>
      </c>
      <c r="B164" s="3">
        <f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>0</v>
      </c>
      <c r="C164" s="3">
        <f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>0</v>
      </c>
      <c r="D164" s="3">
        <f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>0</v>
      </c>
      <c r="H164">
        <v>0</v>
      </c>
      <c r="I164">
        <v>0</v>
      </c>
      <c r="J164">
        <v>0</v>
      </c>
      <c r="K164">
        <f>IF(L164,TRUE,AND(O164:Q164))</f>
        <v>0</v>
      </c>
      <c r="L164">
        <f>COUNTBLANK(Metadata!B164:D164)=COLUMNS(Metadata!B164:D164)</f>
        <v>0</v>
      </c>
      <c r="M164">
        <v>0</v>
      </c>
      <c r="O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>
        <f>AND(IF(Metadata!C164="",FALSE,TRUE),exact(Metadata!C164,"rat metagenome"))</f>
        <v>0</v>
      </c>
      <c r="Q164">
        <f>AND(IF(Metadata!D164="",FALSE,TRUE),exact(Metadata!D164,"1427740"))</f>
        <v>0</v>
      </c>
    </row>
    <row r="165" spans="1:17">
      <c r="A165" s="4">
        <f>IF(B165=" "," ",HYPERLINK(CONCATENATE("#metadata!",ADDRESS(INDEX($J$2:$J$1001,MATCH(ROWS($H$2:H165),$H$2:$H$1001,0),0),1)),INDEX($M$2:$M$1001,MATCH(ROWS($H$2:H165),$H$2:$H$1001,0),0)))</f>
        <v>0</v>
      </c>
      <c r="B165" s="3">
        <f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>0</v>
      </c>
      <c r="C165" s="3">
        <f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>0</v>
      </c>
      <c r="D165" s="3">
        <f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>0</v>
      </c>
      <c r="H165">
        <v>0</v>
      </c>
      <c r="I165">
        <v>0</v>
      </c>
      <c r="J165">
        <v>0</v>
      </c>
      <c r="K165">
        <f>IF(L165,TRUE,AND(O165:Q165))</f>
        <v>0</v>
      </c>
      <c r="L165">
        <f>COUNTBLANK(Metadata!B165:D165)=COLUMNS(Metadata!B165:D165)</f>
        <v>0</v>
      </c>
      <c r="M165">
        <v>0</v>
      </c>
      <c r="O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>
        <f>AND(IF(Metadata!C165="",FALSE,TRUE),exact(Metadata!C165,"rat metagenome"))</f>
        <v>0</v>
      </c>
      <c r="Q165">
        <f>AND(IF(Metadata!D165="",FALSE,TRUE),exact(Metadata!D165,"1427740"))</f>
        <v>0</v>
      </c>
    </row>
    <row r="166" spans="1:17">
      <c r="A166" s="4">
        <f>IF(B166=" "," ",HYPERLINK(CONCATENATE("#metadata!",ADDRESS(INDEX($J$2:$J$1001,MATCH(ROWS($H$2:H166),$H$2:$H$1001,0),0),1)),INDEX($M$2:$M$1001,MATCH(ROWS($H$2:H166),$H$2:$H$1001,0),0)))</f>
        <v>0</v>
      </c>
      <c r="B166" s="3">
        <f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>0</v>
      </c>
      <c r="C166" s="3">
        <f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>0</v>
      </c>
      <c r="D166" s="3">
        <f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>0</v>
      </c>
      <c r="H166">
        <v>0</v>
      </c>
      <c r="I166">
        <v>0</v>
      </c>
      <c r="J166">
        <v>0</v>
      </c>
      <c r="K166">
        <f>IF(L166,TRUE,AND(O166:Q166))</f>
        <v>0</v>
      </c>
      <c r="L166">
        <f>COUNTBLANK(Metadata!B166:D166)=COLUMNS(Metadata!B166:D166)</f>
        <v>0</v>
      </c>
      <c r="M166">
        <v>0</v>
      </c>
      <c r="O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>
        <f>AND(IF(Metadata!C166="",FALSE,TRUE),exact(Metadata!C166,"rat metagenome"))</f>
        <v>0</v>
      </c>
      <c r="Q166">
        <f>AND(IF(Metadata!D166="",FALSE,TRUE),exact(Metadata!D166,"1427740"))</f>
        <v>0</v>
      </c>
    </row>
    <row r="167" spans="1:17">
      <c r="A167" s="4">
        <f>IF(B167=" "," ",HYPERLINK(CONCATENATE("#metadata!",ADDRESS(INDEX($J$2:$J$1001,MATCH(ROWS($H$2:H167),$H$2:$H$1001,0),0),1)),INDEX($M$2:$M$1001,MATCH(ROWS($H$2:H167),$H$2:$H$1001,0),0)))</f>
        <v>0</v>
      </c>
      <c r="B167" s="3">
        <f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>0</v>
      </c>
      <c r="C167" s="3">
        <f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>0</v>
      </c>
      <c r="D167" s="3">
        <f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>0</v>
      </c>
      <c r="H167">
        <v>0</v>
      </c>
      <c r="I167">
        <v>0</v>
      </c>
      <c r="J167">
        <v>0</v>
      </c>
      <c r="K167">
        <f>IF(L167,TRUE,AND(O167:Q167))</f>
        <v>0</v>
      </c>
      <c r="L167">
        <f>COUNTBLANK(Metadata!B167:D167)=COLUMNS(Metadata!B167:D167)</f>
        <v>0</v>
      </c>
      <c r="M167">
        <v>0</v>
      </c>
      <c r="O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>
        <f>AND(IF(Metadata!C167="",FALSE,TRUE),exact(Metadata!C167,"rat metagenome"))</f>
        <v>0</v>
      </c>
      <c r="Q167">
        <f>AND(IF(Metadata!D167="",FALSE,TRUE),exact(Metadata!D167,"1427740"))</f>
        <v>0</v>
      </c>
    </row>
    <row r="168" spans="1:17">
      <c r="A168" s="4">
        <f>IF(B168=" "," ",HYPERLINK(CONCATENATE("#metadata!",ADDRESS(INDEX($J$2:$J$1001,MATCH(ROWS($H$2:H168),$H$2:$H$1001,0),0),1)),INDEX($M$2:$M$1001,MATCH(ROWS($H$2:H168),$H$2:$H$1001,0),0)))</f>
        <v>0</v>
      </c>
      <c r="B168" s="3">
        <f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>0</v>
      </c>
      <c r="C168" s="3">
        <f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>0</v>
      </c>
      <c r="D168" s="3">
        <f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>0</v>
      </c>
      <c r="H168">
        <v>0</v>
      </c>
      <c r="I168">
        <v>0</v>
      </c>
      <c r="J168">
        <v>0</v>
      </c>
      <c r="K168">
        <f>IF(L168,TRUE,AND(O168:Q168))</f>
        <v>0</v>
      </c>
      <c r="L168">
        <f>COUNTBLANK(Metadata!B168:D168)=COLUMNS(Metadata!B168:D168)</f>
        <v>0</v>
      </c>
      <c r="M168">
        <v>0</v>
      </c>
      <c r="O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>
        <f>AND(IF(Metadata!C168="",FALSE,TRUE),exact(Metadata!C168,"rat metagenome"))</f>
        <v>0</v>
      </c>
      <c r="Q168">
        <f>AND(IF(Metadata!D168="",FALSE,TRUE),exact(Metadata!D168,"1427740"))</f>
        <v>0</v>
      </c>
    </row>
    <row r="169" spans="1:17">
      <c r="A169" s="4">
        <f>IF(B169=" "," ",HYPERLINK(CONCATENATE("#metadata!",ADDRESS(INDEX($J$2:$J$1001,MATCH(ROWS($H$2:H169),$H$2:$H$1001,0),0),1)),INDEX($M$2:$M$1001,MATCH(ROWS($H$2:H169),$H$2:$H$1001,0),0)))</f>
        <v>0</v>
      </c>
      <c r="B169" s="3">
        <f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>0</v>
      </c>
      <c r="C169" s="3">
        <f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>0</v>
      </c>
      <c r="D169" s="3">
        <f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>0</v>
      </c>
      <c r="H169">
        <v>0</v>
      </c>
      <c r="I169">
        <v>0</v>
      </c>
      <c r="J169">
        <v>0</v>
      </c>
      <c r="K169">
        <f>IF(L169,TRUE,AND(O169:Q169))</f>
        <v>0</v>
      </c>
      <c r="L169">
        <f>COUNTBLANK(Metadata!B169:D169)=COLUMNS(Metadata!B169:D169)</f>
        <v>0</v>
      </c>
      <c r="M169">
        <v>0</v>
      </c>
      <c r="O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>
        <f>AND(IF(Metadata!C169="",FALSE,TRUE),exact(Metadata!C169,"rat metagenome"))</f>
        <v>0</v>
      </c>
      <c r="Q169">
        <f>AND(IF(Metadata!D169="",FALSE,TRUE),exact(Metadata!D169,"1427740"))</f>
        <v>0</v>
      </c>
    </row>
    <row r="170" spans="1:17">
      <c r="A170" s="4">
        <f>IF(B170=" "," ",HYPERLINK(CONCATENATE("#metadata!",ADDRESS(INDEX($J$2:$J$1001,MATCH(ROWS($H$2:H170),$H$2:$H$1001,0),0),1)),INDEX($M$2:$M$1001,MATCH(ROWS($H$2:H170),$H$2:$H$1001,0),0)))</f>
        <v>0</v>
      </c>
      <c r="B170" s="3">
        <f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>0</v>
      </c>
      <c r="C170" s="3">
        <f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>0</v>
      </c>
      <c r="D170" s="3">
        <f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>0</v>
      </c>
      <c r="H170">
        <v>0</v>
      </c>
      <c r="I170">
        <v>0</v>
      </c>
      <c r="J170">
        <v>0</v>
      </c>
      <c r="K170">
        <f>IF(L170,TRUE,AND(O170:Q170))</f>
        <v>0</v>
      </c>
      <c r="L170">
        <f>COUNTBLANK(Metadata!B170:D170)=COLUMNS(Metadata!B170:D170)</f>
        <v>0</v>
      </c>
      <c r="M170">
        <v>0</v>
      </c>
      <c r="O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>
        <f>AND(IF(Metadata!C170="",FALSE,TRUE),exact(Metadata!C170,"rat metagenome"))</f>
        <v>0</v>
      </c>
      <c r="Q170">
        <f>AND(IF(Metadata!D170="",FALSE,TRUE),exact(Metadata!D170,"1427740"))</f>
        <v>0</v>
      </c>
    </row>
    <row r="171" spans="1:17">
      <c r="A171" s="4">
        <f>IF(B171=" "," ",HYPERLINK(CONCATENATE("#metadata!",ADDRESS(INDEX($J$2:$J$1001,MATCH(ROWS($H$2:H171),$H$2:$H$1001,0),0),1)),INDEX($M$2:$M$1001,MATCH(ROWS($H$2:H171),$H$2:$H$1001,0),0)))</f>
        <v>0</v>
      </c>
      <c r="B171" s="3">
        <f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>0</v>
      </c>
      <c r="C171" s="3">
        <f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>0</v>
      </c>
      <c r="D171" s="3">
        <f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>0</v>
      </c>
      <c r="H171">
        <v>0</v>
      </c>
      <c r="I171">
        <v>0</v>
      </c>
      <c r="J171">
        <v>0</v>
      </c>
      <c r="K171">
        <f>IF(L171,TRUE,AND(O171:Q171))</f>
        <v>0</v>
      </c>
      <c r="L171">
        <f>COUNTBLANK(Metadata!B171:D171)=COLUMNS(Metadata!B171:D171)</f>
        <v>0</v>
      </c>
      <c r="M171">
        <v>0</v>
      </c>
      <c r="O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>
        <f>AND(IF(Metadata!C171="",FALSE,TRUE),exact(Metadata!C171,"rat metagenome"))</f>
        <v>0</v>
      </c>
      <c r="Q171">
        <f>AND(IF(Metadata!D171="",FALSE,TRUE),exact(Metadata!D171,"1427740"))</f>
        <v>0</v>
      </c>
    </row>
    <row r="172" spans="1:17">
      <c r="A172" s="4">
        <f>IF(B172=" "," ",HYPERLINK(CONCATENATE("#metadata!",ADDRESS(INDEX($J$2:$J$1001,MATCH(ROWS($H$2:H172),$H$2:$H$1001,0),0),1)),INDEX($M$2:$M$1001,MATCH(ROWS($H$2:H172),$H$2:$H$1001,0),0)))</f>
        <v>0</v>
      </c>
      <c r="B172" s="3">
        <f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>0</v>
      </c>
      <c r="C172" s="3">
        <f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>0</v>
      </c>
      <c r="D172" s="3">
        <f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>0</v>
      </c>
      <c r="H172">
        <v>0</v>
      </c>
      <c r="I172">
        <v>0</v>
      </c>
      <c r="J172">
        <v>0</v>
      </c>
      <c r="K172">
        <f>IF(L172,TRUE,AND(O172:Q172))</f>
        <v>0</v>
      </c>
      <c r="L172">
        <f>COUNTBLANK(Metadata!B172:D172)=COLUMNS(Metadata!B172:D172)</f>
        <v>0</v>
      </c>
      <c r="M172">
        <v>0</v>
      </c>
      <c r="O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>
        <f>AND(IF(Metadata!C172="",FALSE,TRUE),exact(Metadata!C172,"rat metagenome"))</f>
        <v>0</v>
      </c>
      <c r="Q172">
        <f>AND(IF(Metadata!D172="",FALSE,TRUE),exact(Metadata!D172,"1427740"))</f>
        <v>0</v>
      </c>
    </row>
    <row r="173" spans="1:17">
      <c r="A173" s="4">
        <f>IF(B173=" "," ",HYPERLINK(CONCATENATE("#metadata!",ADDRESS(INDEX($J$2:$J$1001,MATCH(ROWS($H$2:H173),$H$2:$H$1001,0),0),1)),INDEX($M$2:$M$1001,MATCH(ROWS($H$2:H173),$H$2:$H$1001,0),0)))</f>
        <v>0</v>
      </c>
      <c r="B173" s="3">
        <f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>0</v>
      </c>
      <c r="C173" s="3">
        <f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>0</v>
      </c>
      <c r="D173" s="3">
        <f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>0</v>
      </c>
      <c r="H173">
        <v>0</v>
      </c>
      <c r="I173">
        <v>0</v>
      </c>
      <c r="J173">
        <v>0</v>
      </c>
      <c r="K173">
        <f>IF(L173,TRUE,AND(O173:Q173))</f>
        <v>0</v>
      </c>
      <c r="L173">
        <f>COUNTBLANK(Metadata!B173:D173)=COLUMNS(Metadata!B173:D173)</f>
        <v>0</v>
      </c>
      <c r="M173">
        <v>0</v>
      </c>
      <c r="O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>
        <f>AND(IF(Metadata!C173="",FALSE,TRUE),exact(Metadata!C173,"rat metagenome"))</f>
        <v>0</v>
      </c>
      <c r="Q173">
        <f>AND(IF(Metadata!D173="",FALSE,TRUE),exact(Metadata!D173,"1427740"))</f>
        <v>0</v>
      </c>
    </row>
    <row r="174" spans="1:17">
      <c r="A174" s="4">
        <f>IF(B174=" "," ",HYPERLINK(CONCATENATE("#metadata!",ADDRESS(INDEX($J$2:$J$1001,MATCH(ROWS($H$2:H174),$H$2:$H$1001,0),0),1)),INDEX($M$2:$M$1001,MATCH(ROWS($H$2:H174),$H$2:$H$1001,0),0)))</f>
        <v>0</v>
      </c>
      <c r="B174" s="3">
        <f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>0</v>
      </c>
      <c r="C174" s="3">
        <f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>0</v>
      </c>
      <c r="D174" s="3">
        <f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>0</v>
      </c>
      <c r="H174">
        <v>0</v>
      </c>
      <c r="I174">
        <v>0</v>
      </c>
      <c r="J174">
        <v>0</v>
      </c>
      <c r="K174">
        <f>IF(L174,TRUE,AND(O174:Q174))</f>
        <v>0</v>
      </c>
      <c r="L174">
        <f>COUNTBLANK(Metadata!B174:D174)=COLUMNS(Metadata!B174:D174)</f>
        <v>0</v>
      </c>
      <c r="M174">
        <v>0</v>
      </c>
      <c r="O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>
        <f>AND(IF(Metadata!C174="",FALSE,TRUE),exact(Metadata!C174,"rat metagenome"))</f>
        <v>0</v>
      </c>
      <c r="Q174">
        <f>AND(IF(Metadata!D174="",FALSE,TRUE),exact(Metadata!D174,"1427740"))</f>
        <v>0</v>
      </c>
    </row>
    <row r="175" spans="1:17">
      <c r="A175" s="4">
        <f>IF(B175=" "," ",HYPERLINK(CONCATENATE("#metadata!",ADDRESS(INDEX($J$2:$J$1001,MATCH(ROWS($H$2:H175),$H$2:$H$1001,0),0),1)),INDEX($M$2:$M$1001,MATCH(ROWS($H$2:H175),$H$2:$H$1001,0),0)))</f>
        <v>0</v>
      </c>
      <c r="B175" s="3">
        <f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>0</v>
      </c>
      <c r="C175" s="3">
        <f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>0</v>
      </c>
      <c r="D175" s="3">
        <f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>0</v>
      </c>
      <c r="H175">
        <v>0</v>
      </c>
      <c r="I175">
        <v>0</v>
      </c>
      <c r="J175">
        <v>0</v>
      </c>
      <c r="K175">
        <f>IF(L175,TRUE,AND(O175:Q175))</f>
        <v>0</v>
      </c>
      <c r="L175">
        <f>COUNTBLANK(Metadata!B175:D175)=COLUMNS(Metadata!B175:D175)</f>
        <v>0</v>
      </c>
      <c r="M175">
        <v>0</v>
      </c>
      <c r="O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>
        <f>AND(IF(Metadata!C175="",FALSE,TRUE),exact(Metadata!C175,"rat metagenome"))</f>
        <v>0</v>
      </c>
      <c r="Q175">
        <f>AND(IF(Metadata!D175="",FALSE,TRUE),exact(Metadata!D175,"1427740"))</f>
        <v>0</v>
      </c>
    </row>
    <row r="176" spans="1:17">
      <c r="A176" s="4">
        <f>IF(B176=" "," ",HYPERLINK(CONCATENATE("#metadata!",ADDRESS(INDEX($J$2:$J$1001,MATCH(ROWS($H$2:H176),$H$2:$H$1001,0),0),1)),INDEX($M$2:$M$1001,MATCH(ROWS($H$2:H176),$H$2:$H$1001,0),0)))</f>
        <v>0</v>
      </c>
      <c r="B176" s="3">
        <f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>0</v>
      </c>
      <c r="C176" s="3">
        <f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>0</v>
      </c>
      <c r="D176" s="3">
        <f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>0</v>
      </c>
      <c r="H176">
        <v>0</v>
      </c>
      <c r="I176">
        <v>0</v>
      </c>
      <c r="J176">
        <v>0</v>
      </c>
      <c r="K176">
        <f>IF(L176,TRUE,AND(O176:Q176))</f>
        <v>0</v>
      </c>
      <c r="L176">
        <f>COUNTBLANK(Metadata!B176:D176)=COLUMNS(Metadata!B176:D176)</f>
        <v>0</v>
      </c>
      <c r="M176">
        <v>0</v>
      </c>
      <c r="O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>
        <f>AND(IF(Metadata!C176="",FALSE,TRUE),exact(Metadata!C176,"rat metagenome"))</f>
        <v>0</v>
      </c>
      <c r="Q176">
        <f>AND(IF(Metadata!D176="",FALSE,TRUE),exact(Metadata!D176,"1427740"))</f>
        <v>0</v>
      </c>
    </row>
    <row r="177" spans="1:17">
      <c r="A177" s="4">
        <f>IF(B177=" "," ",HYPERLINK(CONCATENATE("#metadata!",ADDRESS(INDEX($J$2:$J$1001,MATCH(ROWS($H$2:H177),$H$2:$H$1001,0),0),1)),INDEX($M$2:$M$1001,MATCH(ROWS($H$2:H177),$H$2:$H$1001,0),0)))</f>
        <v>0</v>
      </c>
      <c r="B177" s="3">
        <f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>0</v>
      </c>
      <c r="C177" s="3">
        <f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>0</v>
      </c>
      <c r="D177" s="3">
        <f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>0</v>
      </c>
      <c r="H177">
        <v>0</v>
      </c>
      <c r="I177">
        <v>0</v>
      </c>
      <c r="J177">
        <v>0</v>
      </c>
      <c r="K177">
        <f>IF(L177,TRUE,AND(O177:Q177))</f>
        <v>0</v>
      </c>
      <c r="L177">
        <f>COUNTBLANK(Metadata!B177:D177)=COLUMNS(Metadata!B177:D177)</f>
        <v>0</v>
      </c>
      <c r="M177">
        <v>0</v>
      </c>
      <c r="O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>
        <f>AND(IF(Metadata!C177="",FALSE,TRUE),exact(Metadata!C177,"rat metagenome"))</f>
        <v>0</v>
      </c>
      <c r="Q177">
        <f>AND(IF(Metadata!D177="",FALSE,TRUE),exact(Metadata!D177,"1427740"))</f>
        <v>0</v>
      </c>
    </row>
    <row r="178" spans="1:17">
      <c r="A178" s="4">
        <f>IF(B178=" "," ",HYPERLINK(CONCATENATE("#metadata!",ADDRESS(INDEX($J$2:$J$1001,MATCH(ROWS($H$2:H178),$H$2:$H$1001,0),0),1)),INDEX($M$2:$M$1001,MATCH(ROWS($H$2:H178),$H$2:$H$1001,0),0)))</f>
        <v>0</v>
      </c>
      <c r="B178" s="3">
        <f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>0</v>
      </c>
      <c r="C178" s="3">
        <f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>0</v>
      </c>
      <c r="D178" s="3">
        <f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>0</v>
      </c>
      <c r="H178">
        <v>0</v>
      </c>
      <c r="I178">
        <v>0</v>
      </c>
      <c r="J178">
        <v>0</v>
      </c>
      <c r="K178">
        <f>IF(L178,TRUE,AND(O178:Q178))</f>
        <v>0</v>
      </c>
      <c r="L178">
        <f>COUNTBLANK(Metadata!B178:D178)=COLUMNS(Metadata!B178:D178)</f>
        <v>0</v>
      </c>
      <c r="M178">
        <v>0</v>
      </c>
      <c r="O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>
        <f>AND(IF(Metadata!C178="",FALSE,TRUE),exact(Metadata!C178,"rat metagenome"))</f>
        <v>0</v>
      </c>
      <c r="Q178">
        <f>AND(IF(Metadata!D178="",FALSE,TRUE),exact(Metadata!D178,"1427740"))</f>
        <v>0</v>
      </c>
    </row>
    <row r="179" spans="1:17">
      <c r="A179" s="4">
        <f>IF(B179=" "," ",HYPERLINK(CONCATENATE("#metadata!",ADDRESS(INDEX($J$2:$J$1001,MATCH(ROWS($H$2:H179),$H$2:$H$1001,0),0),1)),INDEX($M$2:$M$1001,MATCH(ROWS($H$2:H179),$H$2:$H$1001,0),0)))</f>
        <v>0</v>
      </c>
      <c r="B179" s="3">
        <f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>0</v>
      </c>
      <c r="C179" s="3">
        <f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>0</v>
      </c>
      <c r="D179" s="3">
        <f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>0</v>
      </c>
      <c r="H179">
        <v>0</v>
      </c>
      <c r="I179">
        <v>0</v>
      </c>
      <c r="J179">
        <v>0</v>
      </c>
      <c r="K179">
        <f>IF(L179,TRUE,AND(O179:Q179))</f>
        <v>0</v>
      </c>
      <c r="L179">
        <f>COUNTBLANK(Metadata!B179:D179)=COLUMNS(Metadata!B179:D179)</f>
        <v>0</v>
      </c>
      <c r="M179">
        <v>0</v>
      </c>
      <c r="O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>
        <f>AND(IF(Metadata!C179="",FALSE,TRUE),exact(Metadata!C179,"rat metagenome"))</f>
        <v>0</v>
      </c>
      <c r="Q179">
        <f>AND(IF(Metadata!D179="",FALSE,TRUE),exact(Metadata!D179,"1427740"))</f>
        <v>0</v>
      </c>
    </row>
    <row r="180" spans="1:17">
      <c r="A180" s="4">
        <f>IF(B180=" "," ",HYPERLINK(CONCATENATE("#metadata!",ADDRESS(INDEX($J$2:$J$1001,MATCH(ROWS($H$2:H180),$H$2:$H$1001,0),0),1)),INDEX($M$2:$M$1001,MATCH(ROWS($H$2:H180),$H$2:$H$1001,0),0)))</f>
        <v>0</v>
      </c>
      <c r="B180" s="3">
        <f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>0</v>
      </c>
      <c r="C180" s="3">
        <f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>0</v>
      </c>
      <c r="D180" s="3">
        <f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>0</v>
      </c>
      <c r="H180">
        <v>0</v>
      </c>
      <c r="I180">
        <v>0</v>
      </c>
      <c r="J180">
        <v>0</v>
      </c>
      <c r="K180">
        <f>IF(L180,TRUE,AND(O180:Q180))</f>
        <v>0</v>
      </c>
      <c r="L180">
        <f>COUNTBLANK(Metadata!B180:D180)=COLUMNS(Metadata!B180:D180)</f>
        <v>0</v>
      </c>
      <c r="M180">
        <v>0</v>
      </c>
      <c r="O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>
        <f>AND(IF(Metadata!C180="",FALSE,TRUE),exact(Metadata!C180,"rat metagenome"))</f>
        <v>0</v>
      </c>
      <c r="Q180">
        <f>AND(IF(Metadata!D180="",FALSE,TRUE),exact(Metadata!D180,"1427740"))</f>
        <v>0</v>
      </c>
    </row>
    <row r="181" spans="1:17">
      <c r="A181" s="4">
        <f>IF(B181=" "," ",HYPERLINK(CONCATENATE("#metadata!",ADDRESS(INDEX($J$2:$J$1001,MATCH(ROWS($H$2:H181),$H$2:$H$1001,0),0),1)),INDEX($M$2:$M$1001,MATCH(ROWS($H$2:H181),$H$2:$H$1001,0),0)))</f>
        <v>0</v>
      </c>
      <c r="B181" s="3">
        <f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>0</v>
      </c>
      <c r="C181" s="3">
        <f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>0</v>
      </c>
      <c r="D181" s="3">
        <f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>0</v>
      </c>
      <c r="H181">
        <v>0</v>
      </c>
      <c r="I181">
        <v>0</v>
      </c>
      <c r="J181">
        <v>0</v>
      </c>
      <c r="K181">
        <f>IF(L181,TRUE,AND(O181:Q181))</f>
        <v>0</v>
      </c>
      <c r="L181">
        <f>COUNTBLANK(Metadata!B181:D181)=COLUMNS(Metadata!B181:D181)</f>
        <v>0</v>
      </c>
      <c r="M181">
        <v>0</v>
      </c>
      <c r="O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>
        <f>AND(IF(Metadata!C181="",FALSE,TRUE),exact(Metadata!C181,"rat metagenome"))</f>
        <v>0</v>
      </c>
      <c r="Q181">
        <f>AND(IF(Metadata!D181="",FALSE,TRUE),exact(Metadata!D181,"1427740"))</f>
        <v>0</v>
      </c>
    </row>
    <row r="182" spans="1:17">
      <c r="A182" s="4">
        <f>IF(B182=" "," ",HYPERLINK(CONCATENATE("#metadata!",ADDRESS(INDEX($J$2:$J$1001,MATCH(ROWS($H$2:H182),$H$2:$H$1001,0),0),1)),INDEX($M$2:$M$1001,MATCH(ROWS($H$2:H182),$H$2:$H$1001,0),0)))</f>
        <v>0</v>
      </c>
      <c r="B182" s="3">
        <f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>0</v>
      </c>
      <c r="C182" s="3">
        <f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>0</v>
      </c>
      <c r="D182" s="3">
        <f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>0</v>
      </c>
      <c r="H182">
        <v>0</v>
      </c>
      <c r="I182">
        <v>0</v>
      </c>
      <c r="J182">
        <v>0</v>
      </c>
      <c r="K182">
        <f>IF(L182,TRUE,AND(O182:Q182))</f>
        <v>0</v>
      </c>
      <c r="L182">
        <f>COUNTBLANK(Metadata!B182:D182)=COLUMNS(Metadata!B182:D182)</f>
        <v>0</v>
      </c>
      <c r="M182">
        <v>0</v>
      </c>
      <c r="O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>
        <f>AND(IF(Metadata!C182="",FALSE,TRUE),exact(Metadata!C182,"rat metagenome"))</f>
        <v>0</v>
      </c>
      <c r="Q182">
        <f>AND(IF(Metadata!D182="",FALSE,TRUE),exact(Metadata!D182,"1427740"))</f>
        <v>0</v>
      </c>
    </row>
    <row r="183" spans="1:17">
      <c r="A183" s="4">
        <f>IF(B183=" "," ",HYPERLINK(CONCATENATE("#metadata!",ADDRESS(INDEX($J$2:$J$1001,MATCH(ROWS($H$2:H183),$H$2:$H$1001,0),0),1)),INDEX($M$2:$M$1001,MATCH(ROWS($H$2:H183),$H$2:$H$1001,0),0)))</f>
        <v>0</v>
      </c>
      <c r="B183" s="3">
        <f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>0</v>
      </c>
      <c r="C183" s="3">
        <f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>0</v>
      </c>
      <c r="D183" s="3">
        <f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>0</v>
      </c>
      <c r="H183">
        <v>0</v>
      </c>
      <c r="I183">
        <v>0</v>
      </c>
      <c r="J183">
        <v>0</v>
      </c>
      <c r="K183">
        <f>IF(L183,TRUE,AND(O183:Q183))</f>
        <v>0</v>
      </c>
      <c r="L183">
        <f>COUNTBLANK(Metadata!B183:D183)=COLUMNS(Metadata!B183:D183)</f>
        <v>0</v>
      </c>
      <c r="M183">
        <v>0</v>
      </c>
      <c r="O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>
        <f>AND(IF(Metadata!C183="",FALSE,TRUE),exact(Metadata!C183,"rat metagenome"))</f>
        <v>0</v>
      </c>
      <c r="Q183">
        <f>AND(IF(Metadata!D183="",FALSE,TRUE),exact(Metadata!D183,"1427740"))</f>
        <v>0</v>
      </c>
    </row>
    <row r="184" spans="1:17">
      <c r="A184" s="4">
        <f>IF(B184=" "," ",HYPERLINK(CONCATENATE("#metadata!",ADDRESS(INDEX($J$2:$J$1001,MATCH(ROWS($H$2:H184),$H$2:$H$1001,0),0),1)),INDEX($M$2:$M$1001,MATCH(ROWS($H$2:H184),$H$2:$H$1001,0),0)))</f>
        <v>0</v>
      </c>
      <c r="B184" s="3">
        <f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>0</v>
      </c>
      <c r="C184" s="3">
        <f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>0</v>
      </c>
      <c r="D184" s="3">
        <f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>0</v>
      </c>
      <c r="H184">
        <v>0</v>
      </c>
      <c r="I184">
        <v>0</v>
      </c>
      <c r="J184">
        <v>0</v>
      </c>
      <c r="K184">
        <f>IF(L184,TRUE,AND(O184:Q184))</f>
        <v>0</v>
      </c>
      <c r="L184">
        <f>COUNTBLANK(Metadata!B184:D184)=COLUMNS(Metadata!B184:D184)</f>
        <v>0</v>
      </c>
      <c r="M184">
        <v>0</v>
      </c>
      <c r="O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>
        <f>AND(IF(Metadata!C184="",FALSE,TRUE),exact(Metadata!C184,"rat metagenome"))</f>
        <v>0</v>
      </c>
      <c r="Q184">
        <f>AND(IF(Metadata!D184="",FALSE,TRUE),exact(Metadata!D184,"1427740"))</f>
        <v>0</v>
      </c>
    </row>
    <row r="185" spans="1:17">
      <c r="A185" s="4">
        <f>IF(B185=" "," ",HYPERLINK(CONCATENATE("#metadata!",ADDRESS(INDEX($J$2:$J$1001,MATCH(ROWS($H$2:H185),$H$2:$H$1001,0),0),1)),INDEX($M$2:$M$1001,MATCH(ROWS($H$2:H185),$H$2:$H$1001,0),0)))</f>
        <v>0</v>
      </c>
      <c r="B185" s="3">
        <f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>0</v>
      </c>
      <c r="C185" s="3">
        <f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>0</v>
      </c>
      <c r="D185" s="3">
        <f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>0</v>
      </c>
      <c r="H185">
        <v>0</v>
      </c>
      <c r="I185">
        <v>0</v>
      </c>
      <c r="J185">
        <v>0</v>
      </c>
      <c r="K185">
        <f>IF(L185,TRUE,AND(O185:Q185))</f>
        <v>0</v>
      </c>
      <c r="L185">
        <f>COUNTBLANK(Metadata!B185:D185)=COLUMNS(Metadata!B185:D185)</f>
        <v>0</v>
      </c>
      <c r="M185">
        <v>0</v>
      </c>
      <c r="O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>
        <f>AND(IF(Metadata!C185="",FALSE,TRUE),exact(Metadata!C185,"rat metagenome"))</f>
        <v>0</v>
      </c>
      <c r="Q185">
        <f>AND(IF(Metadata!D185="",FALSE,TRUE),exact(Metadata!D185,"1427740"))</f>
        <v>0</v>
      </c>
    </row>
    <row r="186" spans="1:17">
      <c r="A186" s="4">
        <f>IF(B186=" "," ",HYPERLINK(CONCATENATE("#metadata!",ADDRESS(INDEX($J$2:$J$1001,MATCH(ROWS($H$2:H186),$H$2:$H$1001,0),0),1)),INDEX($M$2:$M$1001,MATCH(ROWS($H$2:H186),$H$2:$H$1001,0),0)))</f>
        <v>0</v>
      </c>
      <c r="B186" s="3">
        <f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>0</v>
      </c>
      <c r="C186" s="3">
        <f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>0</v>
      </c>
      <c r="D186" s="3">
        <f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>0</v>
      </c>
      <c r="H186">
        <v>0</v>
      </c>
      <c r="I186">
        <v>0</v>
      </c>
      <c r="J186">
        <v>0</v>
      </c>
      <c r="K186">
        <f>IF(L186,TRUE,AND(O186:Q186))</f>
        <v>0</v>
      </c>
      <c r="L186">
        <f>COUNTBLANK(Metadata!B186:D186)=COLUMNS(Metadata!B186:D186)</f>
        <v>0</v>
      </c>
      <c r="M186">
        <v>0</v>
      </c>
      <c r="O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>
        <f>AND(IF(Metadata!C186="",FALSE,TRUE),exact(Metadata!C186,"rat metagenome"))</f>
        <v>0</v>
      </c>
      <c r="Q186">
        <f>AND(IF(Metadata!D186="",FALSE,TRUE),exact(Metadata!D186,"1427740"))</f>
        <v>0</v>
      </c>
    </row>
    <row r="187" spans="1:17">
      <c r="A187" s="4">
        <f>IF(B187=" "," ",HYPERLINK(CONCATENATE("#metadata!",ADDRESS(INDEX($J$2:$J$1001,MATCH(ROWS($H$2:H187),$H$2:$H$1001,0),0),1)),INDEX($M$2:$M$1001,MATCH(ROWS($H$2:H187),$H$2:$H$1001,0),0)))</f>
        <v>0</v>
      </c>
      <c r="B187" s="3">
        <f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>0</v>
      </c>
      <c r="C187" s="3">
        <f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>0</v>
      </c>
      <c r="D187" s="3">
        <f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>0</v>
      </c>
      <c r="H187">
        <v>0</v>
      </c>
      <c r="I187">
        <v>0</v>
      </c>
      <c r="J187">
        <v>0</v>
      </c>
      <c r="K187">
        <f>IF(L187,TRUE,AND(O187:Q187))</f>
        <v>0</v>
      </c>
      <c r="L187">
        <f>COUNTBLANK(Metadata!B187:D187)=COLUMNS(Metadata!B187:D187)</f>
        <v>0</v>
      </c>
      <c r="M187">
        <v>0</v>
      </c>
      <c r="O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>
        <f>AND(IF(Metadata!C187="",FALSE,TRUE),exact(Metadata!C187,"rat metagenome"))</f>
        <v>0</v>
      </c>
      <c r="Q187">
        <f>AND(IF(Metadata!D187="",FALSE,TRUE),exact(Metadata!D187,"1427740"))</f>
        <v>0</v>
      </c>
    </row>
    <row r="188" spans="1:17">
      <c r="A188" s="4">
        <f>IF(B188=" "," ",HYPERLINK(CONCATENATE("#metadata!",ADDRESS(INDEX($J$2:$J$1001,MATCH(ROWS($H$2:H188),$H$2:$H$1001,0),0),1)),INDEX($M$2:$M$1001,MATCH(ROWS($H$2:H188),$H$2:$H$1001,0),0)))</f>
        <v>0</v>
      </c>
      <c r="B188" s="3">
        <f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>0</v>
      </c>
      <c r="C188" s="3">
        <f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>0</v>
      </c>
      <c r="D188" s="3">
        <f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>0</v>
      </c>
      <c r="H188">
        <v>0</v>
      </c>
      <c r="I188">
        <v>0</v>
      </c>
      <c r="J188">
        <v>0</v>
      </c>
      <c r="K188">
        <f>IF(L188,TRUE,AND(O188:Q188))</f>
        <v>0</v>
      </c>
      <c r="L188">
        <f>COUNTBLANK(Metadata!B188:D188)=COLUMNS(Metadata!B188:D188)</f>
        <v>0</v>
      </c>
      <c r="M188">
        <v>0</v>
      </c>
      <c r="O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>
        <f>AND(IF(Metadata!C188="",FALSE,TRUE),exact(Metadata!C188,"rat metagenome"))</f>
        <v>0</v>
      </c>
      <c r="Q188">
        <f>AND(IF(Metadata!D188="",FALSE,TRUE),exact(Metadata!D188,"1427740"))</f>
        <v>0</v>
      </c>
    </row>
    <row r="189" spans="1:17">
      <c r="A189" s="4">
        <f>IF(B189=" "," ",HYPERLINK(CONCATENATE("#metadata!",ADDRESS(INDEX($J$2:$J$1001,MATCH(ROWS($H$2:H189),$H$2:$H$1001,0),0),1)),INDEX($M$2:$M$1001,MATCH(ROWS($H$2:H189),$H$2:$H$1001,0),0)))</f>
        <v>0</v>
      </c>
      <c r="B189" s="3">
        <f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>0</v>
      </c>
      <c r="C189" s="3">
        <f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>0</v>
      </c>
      <c r="D189" s="3">
        <f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>0</v>
      </c>
      <c r="H189">
        <v>0</v>
      </c>
      <c r="I189">
        <v>0</v>
      </c>
      <c r="J189">
        <v>0</v>
      </c>
      <c r="K189">
        <f>IF(L189,TRUE,AND(O189:Q189))</f>
        <v>0</v>
      </c>
      <c r="L189">
        <f>COUNTBLANK(Metadata!B189:D189)=COLUMNS(Metadata!B189:D189)</f>
        <v>0</v>
      </c>
      <c r="M189">
        <v>0</v>
      </c>
      <c r="O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>
        <f>AND(IF(Metadata!C189="",FALSE,TRUE),exact(Metadata!C189,"rat metagenome"))</f>
        <v>0</v>
      </c>
      <c r="Q189">
        <f>AND(IF(Metadata!D189="",FALSE,TRUE),exact(Metadata!D189,"1427740"))</f>
        <v>0</v>
      </c>
    </row>
    <row r="190" spans="1:17">
      <c r="A190" s="4">
        <f>IF(B190=" "," ",HYPERLINK(CONCATENATE("#metadata!",ADDRESS(INDEX($J$2:$J$1001,MATCH(ROWS($H$2:H190),$H$2:$H$1001,0),0),1)),INDEX($M$2:$M$1001,MATCH(ROWS($H$2:H190),$H$2:$H$1001,0),0)))</f>
        <v>0</v>
      </c>
      <c r="B190" s="3">
        <f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>0</v>
      </c>
      <c r="C190" s="3">
        <f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>0</v>
      </c>
      <c r="D190" s="3">
        <f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>0</v>
      </c>
      <c r="H190">
        <v>0</v>
      </c>
      <c r="I190">
        <v>0</v>
      </c>
      <c r="J190">
        <v>0</v>
      </c>
      <c r="K190">
        <f>IF(L190,TRUE,AND(O190:Q190))</f>
        <v>0</v>
      </c>
      <c r="L190">
        <f>COUNTBLANK(Metadata!B190:D190)=COLUMNS(Metadata!B190:D190)</f>
        <v>0</v>
      </c>
      <c r="M190">
        <v>0</v>
      </c>
      <c r="O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>
        <f>AND(IF(Metadata!C190="",FALSE,TRUE),exact(Metadata!C190,"rat metagenome"))</f>
        <v>0</v>
      </c>
      <c r="Q190">
        <f>AND(IF(Metadata!D190="",FALSE,TRUE),exact(Metadata!D190,"1427740"))</f>
        <v>0</v>
      </c>
    </row>
    <row r="191" spans="1:17">
      <c r="A191" s="4">
        <f>IF(B191=" "," ",HYPERLINK(CONCATENATE("#metadata!",ADDRESS(INDEX($J$2:$J$1001,MATCH(ROWS($H$2:H191),$H$2:$H$1001,0),0),1)),INDEX($M$2:$M$1001,MATCH(ROWS($H$2:H191),$H$2:$H$1001,0),0)))</f>
        <v>0</v>
      </c>
      <c r="B191" s="3">
        <f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>0</v>
      </c>
      <c r="C191" s="3">
        <f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>0</v>
      </c>
      <c r="D191" s="3">
        <f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>0</v>
      </c>
      <c r="H191">
        <v>0</v>
      </c>
      <c r="I191">
        <v>0</v>
      </c>
      <c r="J191">
        <v>0</v>
      </c>
      <c r="K191">
        <f>IF(L191,TRUE,AND(O191:Q191))</f>
        <v>0</v>
      </c>
      <c r="L191">
        <f>COUNTBLANK(Metadata!B191:D191)=COLUMNS(Metadata!B191:D191)</f>
        <v>0</v>
      </c>
      <c r="M191">
        <v>0</v>
      </c>
      <c r="O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>
        <f>AND(IF(Metadata!C191="",FALSE,TRUE),exact(Metadata!C191,"rat metagenome"))</f>
        <v>0</v>
      </c>
      <c r="Q191">
        <f>AND(IF(Metadata!D191="",FALSE,TRUE),exact(Metadata!D191,"1427740"))</f>
        <v>0</v>
      </c>
    </row>
    <row r="192" spans="1:17">
      <c r="A192" s="4">
        <f>IF(B192=" "," ",HYPERLINK(CONCATENATE("#metadata!",ADDRESS(INDEX($J$2:$J$1001,MATCH(ROWS($H$2:H192),$H$2:$H$1001,0),0),1)),INDEX($M$2:$M$1001,MATCH(ROWS($H$2:H192),$H$2:$H$1001,0),0)))</f>
        <v>0</v>
      </c>
      <c r="B192" s="3">
        <f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>0</v>
      </c>
      <c r="C192" s="3">
        <f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>0</v>
      </c>
      <c r="D192" s="3">
        <f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>0</v>
      </c>
      <c r="H192">
        <v>0</v>
      </c>
      <c r="I192">
        <v>0</v>
      </c>
      <c r="J192">
        <v>0</v>
      </c>
      <c r="K192">
        <f>IF(L192,TRUE,AND(O192:Q192))</f>
        <v>0</v>
      </c>
      <c r="L192">
        <f>COUNTBLANK(Metadata!B192:D192)=COLUMNS(Metadata!B192:D192)</f>
        <v>0</v>
      </c>
      <c r="M192">
        <v>0</v>
      </c>
      <c r="O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>
        <f>AND(IF(Metadata!C192="",FALSE,TRUE),exact(Metadata!C192,"rat metagenome"))</f>
        <v>0</v>
      </c>
      <c r="Q192">
        <f>AND(IF(Metadata!D192="",FALSE,TRUE),exact(Metadata!D192,"1427740"))</f>
        <v>0</v>
      </c>
    </row>
    <row r="193" spans="1:17">
      <c r="A193" s="4">
        <f>IF(B193=" "," ",HYPERLINK(CONCATENATE("#metadata!",ADDRESS(INDEX($J$2:$J$1001,MATCH(ROWS($H$2:H193),$H$2:$H$1001,0),0),1)),INDEX($M$2:$M$1001,MATCH(ROWS($H$2:H193),$H$2:$H$1001,0),0)))</f>
        <v>0</v>
      </c>
      <c r="B193" s="3">
        <f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>0</v>
      </c>
      <c r="C193" s="3">
        <f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>0</v>
      </c>
      <c r="D193" s="3">
        <f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>0</v>
      </c>
      <c r="H193">
        <v>0</v>
      </c>
      <c r="I193">
        <v>0</v>
      </c>
      <c r="J193">
        <v>0</v>
      </c>
      <c r="K193">
        <f>IF(L193,TRUE,AND(O193:Q193))</f>
        <v>0</v>
      </c>
      <c r="L193">
        <f>COUNTBLANK(Metadata!B193:D193)=COLUMNS(Metadata!B193:D193)</f>
        <v>0</v>
      </c>
      <c r="M193">
        <v>0</v>
      </c>
      <c r="O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>
        <f>AND(IF(Metadata!C193="",FALSE,TRUE),exact(Metadata!C193,"rat metagenome"))</f>
        <v>0</v>
      </c>
      <c r="Q193">
        <f>AND(IF(Metadata!D193="",FALSE,TRUE),exact(Metadata!D193,"1427740"))</f>
        <v>0</v>
      </c>
    </row>
    <row r="194" spans="1:17">
      <c r="A194" s="4">
        <f>IF(B194=" "," ",HYPERLINK(CONCATENATE("#metadata!",ADDRESS(INDEX($J$2:$J$1001,MATCH(ROWS($H$2:H194),$H$2:$H$1001,0),0),1)),INDEX($M$2:$M$1001,MATCH(ROWS($H$2:H194),$H$2:$H$1001,0),0)))</f>
        <v>0</v>
      </c>
      <c r="B194" s="3">
        <f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>0</v>
      </c>
      <c r="C194" s="3">
        <f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>0</v>
      </c>
      <c r="D194" s="3">
        <f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>0</v>
      </c>
      <c r="H194">
        <v>0</v>
      </c>
      <c r="I194">
        <v>0</v>
      </c>
      <c r="J194">
        <v>0</v>
      </c>
      <c r="K194">
        <f>IF(L194,TRUE,AND(O194:Q194))</f>
        <v>0</v>
      </c>
      <c r="L194">
        <f>COUNTBLANK(Metadata!B194:D194)=COLUMNS(Metadata!B194:D194)</f>
        <v>0</v>
      </c>
      <c r="M194">
        <v>0</v>
      </c>
      <c r="O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>
        <f>AND(IF(Metadata!C194="",FALSE,TRUE),exact(Metadata!C194,"rat metagenome"))</f>
        <v>0</v>
      </c>
      <c r="Q194">
        <f>AND(IF(Metadata!D194="",FALSE,TRUE),exact(Metadata!D194,"1427740"))</f>
        <v>0</v>
      </c>
    </row>
    <row r="195" spans="1:17">
      <c r="A195" s="4">
        <f>IF(B195=" "," ",HYPERLINK(CONCATENATE("#metadata!",ADDRESS(INDEX($J$2:$J$1001,MATCH(ROWS($H$2:H195),$H$2:$H$1001,0),0),1)),INDEX($M$2:$M$1001,MATCH(ROWS($H$2:H195),$H$2:$H$1001,0),0)))</f>
        <v>0</v>
      </c>
      <c r="B195" s="3">
        <f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>0</v>
      </c>
      <c r="C195" s="3">
        <f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>0</v>
      </c>
      <c r="D195" s="3">
        <f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>0</v>
      </c>
      <c r="H195">
        <v>0</v>
      </c>
      <c r="I195">
        <v>0</v>
      </c>
      <c r="J195">
        <v>0</v>
      </c>
      <c r="K195">
        <f>IF(L195,TRUE,AND(O195:Q195))</f>
        <v>0</v>
      </c>
      <c r="L195">
        <f>COUNTBLANK(Metadata!B195:D195)=COLUMNS(Metadata!B195:D195)</f>
        <v>0</v>
      </c>
      <c r="M195">
        <v>0</v>
      </c>
      <c r="O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>
        <f>AND(IF(Metadata!C195="",FALSE,TRUE),exact(Metadata!C195,"rat metagenome"))</f>
        <v>0</v>
      </c>
      <c r="Q195">
        <f>AND(IF(Metadata!D195="",FALSE,TRUE),exact(Metadata!D195,"1427740"))</f>
        <v>0</v>
      </c>
    </row>
    <row r="196" spans="1:17">
      <c r="A196" s="4">
        <f>IF(B196=" "," ",HYPERLINK(CONCATENATE("#metadata!",ADDRESS(INDEX($J$2:$J$1001,MATCH(ROWS($H$2:H196),$H$2:$H$1001,0),0),1)),INDEX($M$2:$M$1001,MATCH(ROWS($H$2:H196),$H$2:$H$1001,0),0)))</f>
        <v>0</v>
      </c>
      <c r="B196" s="3">
        <f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>0</v>
      </c>
      <c r="C196" s="3">
        <f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>0</v>
      </c>
      <c r="D196" s="3">
        <f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>0</v>
      </c>
      <c r="H196">
        <v>0</v>
      </c>
      <c r="I196">
        <v>0</v>
      </c>
      <c r="J196">
        <v>0</v>
      </c>
      <c r="K196">
        <f>IF(L196,TRUE,AND(O196:Q196))</f>
        <v>0</v>
      </c>
      <c r="L196">
        <f>COUNTBLANK(Metadata!B196:D196)=COLUMNS(Metadata!B196:D196)</f>
        <v>0</v>
      </c>
      <c r="M196">
        <v>0</v>
      </c>
      <c r="O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>
        <f>AND(IF(Metadata!C196="",FALSE,TRUE),exact(Metadata!C196,"rat metagenome"))</f>
        <v>0</v>
      </c>
      <c r="Q196">
        <f>AND(IF(Metadata!D196="",FALSE,TRUE),exact(Metadata!D196,"1427740"))</f>
        <v>0</v>
      </c>
    </row>
    <row r="197" spans="1:17">
      <c r="A197" s="4">
        <f>IF(B197=" "," ",HYPERLINK(CONCATENATE("#metadata!",ADDRESS(INDEX($J$2:$J$1001,MATCH(ROWS($H$2:H197),$H$2:$H$1001,0),0),1)),INDEX($M$2:$M$1001,MATCH(ROWS($H$2:H197),$H$2:$H$1001,0),0)))</f>
        <v>0</v>
      </c>
      <c r="B197" s="3">
        <f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>0</v>
      </c>
      <c r="C197" s="3">
        <f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>0</v>
      </c>
      <c r="D197" s="3">
        <f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>0</v>
      </c>
      <c r="H197">
        <v>0</v>
      </c>
      <c r="I197">
        <v>0</v>
      </c>
      <c r="J197">
        <v>0</v>
      </c>
      <c r="K197">
        <f>IF(L197,TRUE,AND(O197:Q197))</f>
        <v>0</v>
      </c>
      <c r="L197">
        <f>COUNTBLANK(Metadata!B197:D197)=COLUMNS(Metadata!B197:D197)</f>
        <v>0</v>
      </c>
      <c r="M197">
        <v>0</v>
      </c>
      <c r="O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>
        <f>AND(IF(Metadata!C197="",FALSE,TRUE),exact(Metadata!C197,"rat metagenome"))</f>
        <v>0</v>
      </c>
      <c r="Q197">
        <f>AND(IF(Metadata!D197="",FALSE,TRUE),exact(Metadata!D197,"1427740"))</f>
        <v>0</v>
      </c>
    </row>
    <row r="198" spans="1:17">
      <c r="A198" s="4">
        <f>IF(B198=" "," ",HYPERLINK(CONCATENATE("#metadata!",ADDRESS(INDEX($J$2:$J$1001,MATCH(ROWS($H$2:H198),$H$2:$H$1001,0),0),1)),INDEX($M$2:$M$1001,MATCH(ROWS($H$2:H198),$H$2:$H$1001,0),0)))</f>
        <v>0</v>
      </c>
      <c r="B198" s="3">
        <f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>0</v>
      </c>
      <c r="C198" s="3">
        <f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>0</v>
      </c>
      <c r="D198" s="3">
        <f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>0</v>
      </c>
      <c r="H198">
        <v>0</v>
      </c>
      <c r="I198">
        <v>0</v>
      </c>
      <c r="J198">
        <v>0</v>
      </c>
      <c r="K198">
        <f>IF(L198,TRUE,AND(O198:Q198))</f>
        <v>0</v>
      </c>
      <c r="L198">
        <f>COUNTBLANK(Metadata!B198:D198)=COLUMNS(Metadata!B198:D198)</f>
        <v>0</v>
      </c>
      <c r="M198">
        <v>0</v>
      </c>
      <c r="O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>
        <f>AND(IF(Metadata!C198="",FALSE,TRUE),exact(Metadata!C198,"rat metagenome"))</f>
        <v>0</v>
      </c>
      <c r="Q198">
        <f>AND(IF(Metadata!D198="",FALSE,TRUE),exact(Metadata!D198,"1427740"))</f>
        <v>0</v>
      </c>
    </row>
    <row r="199" spans="1:17">
      <c r="A199" s="4">
        <f>IF(B199=" "," ",HYPERLINK(CONCATENATE("#metadata!",ADDRESS(INDEX($J$2:$J$1001,MATCH(ROWS($H$2:H199),$H$2:$H$1001,0),0),1)),INDEX($M$2:$M$1001,MATCH(ROWS($H$2:H199),$H$2:$H$1001,0),0)))</f>
        <v>0</v>
      </c>
      <c r="B199" s="3">
        <f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>0</v>
      </c>
      <c r="C199" s="3">
        <f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>0</v>
      </c>
      <c r="D199" s="3">
        <f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>0</v>
      </c>
      <c r="H199">
        <v>0</v>
      </c>
      <c r="I199">
        <v>0</v>
      </c>
      <c r="J199">
        <v>0</v>
      </c>
      <c r="K199">
        <f>IF(L199,TRUE,AND(O199:Q199))</f>
        <v>0</v>
      </c>
      <c r="L199">
        <f>COUNTBLANK(Metadata!B199:D199)=COLUMNS(Metadata!B199:D199)</f>
        <v>0</v>
      </c>
      <c r="M199">
        <v>0</v>
      </c>
      <c r="O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>
        <f>AND(IF(Metadata!C199="",FALSE,TRUE),exact(Metadata!C199,"rat metagenome"))</f>
        <v>0</v>
      </c>
      <c r="Q199">
        <f>AND(IF(Metadata!D199="",FALSE,TRUE),exact(Metadata!D199,"1427740"))</f>
        <v>0</v>
      </c>
    </row>
    <row r="200" spans="1:17">
      <c r="A200" s="4">
        <f>IF(B200=" "," ",HYPERLINK(CONCATENATE("#metadata!",ADDRESS(INDEX($J$2:$J$1001,MATCH(ROWS($H$2:H200),$H$2:$H$1001,0),0),1)),INDEX($M$2:$M$1001,MATCH(ROWS($H$2:H200),$H$2:$H$1001,0),0)))</f>
        <v>0</v>
      </c>
      <c r="B200" s="3">
        <f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>0</v>
      </c>
      <c r="C200" s="3">
        <f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>0</v>
      </c>
      <c r="D200" s="3">
        <f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>0</v>
      </c>
      <c r="H200">
        <v>0</v>
      </c>
      <c r="I200">
        <v>0</v>
      </c>
      <c r="J200">
        <v>0</v>
      </c>
      <c r="K200">
        <f>IF(L200,TRUE,AND(O200:Q200))</f>
        <v>0</v>
      </c>
      <c r="L200">
        <f>COUNTBLANK(Metadata!B200:D200)=COLUMNS(Metadata!B200:D200)</f>
        <v>0</v>
      </c>
      <c r="M200">
        <v>0</v>
      </c>
      <c r="O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>
        <f>AND(IF(Metadata!C200="",FALSE,TRUE),exact(Metadata!C200,"rat metagenome"))</f>
        <v>0</v>
      </c>
      <c r="Q200">
        <f>AND(IF(Metadata!D200="",FALSE,TRUE),exact(Metadata!D200,"1427740"))</f>
        <v>0</v>
      </c>
    </row>
    <row r="201" spans="1:17">
      <c r="A201" s="4">
        <f>IF(B201=" "," ",HYPERLINK(CONCATENATE("#metadata!",ADDRESS(INDEX($J$2:$J$1001,MATCH(ROWS($H$2:H201),$H$2:$H$1001,0),0),1)),INDEX($M$2:$M$1001,MATCH(ROWS($H$2:H201),$H$2:$H$1001,0),0)))</f>
        <v>0</v>
      </c>
      <c r="B201" s="3">
        <f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>0</v>
      </c>
      <c r="C201" s="3">
        <f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>0</v>
      </c>
      <c r="D201" s="3">
        <f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>0</v>
      </c>
      <c r="H201">
        <v>0</v>
      </c>
      <c r="I201">
        <v>0</v>
      </c>
      <c r="J201">
        <v>0</v>
      </c>
      <c r="K201">
        <f>IF(L201,TRUE,AND(O201:Q201))</f>
        <v>0</v>
      </c>
      <c r="L201">
        <f>COUNTBLANK(Metadata!B201:D201)=COLUMNS(Metadata!B201:D201)</f>
        <v>0</v>
      </c>
      <c r="M201">
        <v>0</v>
      </c>
      <c r="O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>
        <f>AND(IF(Metadata!C201="",FALSE,TRUE),exact(Metadata!C201,"rat metagenome"))</f>
        <v>0</v>
      </c>
      <c r="Q201">
        <f>AND(IF(Metadata!D201="",FALSE,TRUE),exact(Metadata!D201,"1427740"))</f>
        <v>0</v>
      </c>
    </row>
    <row r="202" spans="1:17">
      <c r="A202" s="4">
        <f>IF(B202=" "," ",HYPERLINK(CONCATENATE("#metadata!",ADDRESS(INDEX($J$2:$J$1001,MATCH(ROWS($H$2:H202),$H$2:$H$1001,0),0),1)),INDEX($M$2:$M$1001,MATCH(ROWS($H$2:H202),$H$2:$H$1001,0),0)))</f>
        <v>0</v>
      </c>
      <c r="B202" s="3">
        <f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>0</v>
      </c>
      <c r="C202" s="3">
        <f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>0</v>
      </c>
      <c r="D202" s="3">
        <f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>0</v>
      </c>
      <c r="H202">
        <v>0</v>
      </c>
      <c r="I202">
        <v>0</v>
      </c>
      <c r="J202">
        <v>0</v>
      </c>
      <c r="K202">
        <f>IF(L202,TRUE,AND(O202:Q202))</f>
        <v>0</v>
      </c>
      <c r="L202">
        <f>COUNTBLANK(Metadata!B202:D202)=COLUMNS(Metadata!B202:D202)</f>
        <v>0</v>
      </c>
      <c r="M202">
        <v>0</v>
      </c>
      <c r="O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>
        <f>AND(IF(Metadata!C202="",FALSE,TRUE),exact(Metadata!C202,"rat metagenome"))</f>
        <v>0</v>
      </c>
      <c r="Q202">
        <f>AND(IF(Metadata!D202="",FALSE,TRUE),exact(Metadata!D202,"1427740"))</f>
        <v>0</v>
      </c>
    </row>
    <row r="203" spans="1:17">
      <c r="A203" s="4">
        <f>IF(B203=" "," ",HYPERLINK(CONCATENATE("#metadata!",ADDRESS(INDEX($J$2:$J$1001,MATCH(ROWS($H$2:H203),$H$2:$H$1001,0),0),1)),INDEX($M$2:$M$1001,MATCH(ROWS($H$2:H203),$H$2:$H$1001,0),0)))</f>
        <v>0</v>
      </c>
      <c r="B203" s="3">
        <f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>0</v>
      </c>
      <c r="C203" s="3">
        <f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>0</v>
      </c>
      <c r="D203" s="3">
        <f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>0</v>
      </c>
      <c r="H203">
        <v>0</v>
      </c>
      <c r="I203">
        <v>0</v>
      </c>
      <c r="J203">
        <v>0</v>
      </c>
      <c r="K203">
        <f>IF(L203,TRUE,AND(O203:Q203))</f>
        <v>0</v>
      </c>
      <c r="L203">
        <f>COUNTBLANK(Metadata!B203:D203)=COLUMNS(Metadata!B203:D203)</f>
        <v>0</v>
      </c>
      <c r="M203">
        <v>0</v>
      </c>
      <c r="O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>
        <f>AND(IF(Metadata!C203="",FALSE,TRUE),exact(Metadata!C203,"rat metagenome"))</f>
        <v>0</v>
      </c>
      <c r="Q203">
        <f>AND(IF(Metadata!D203="",FALSE,TRUE),exact(Metadata!D203,"1427740"))</f>
        <v>0</v>
      </c>
    </row>
    <row r="204" spans="1:17">
      <c r="A204" s="4">
        <f>IF(B204=" "," ",HYPERLINK(CONCATENATE("#metadata!",ADDRESS(INDEX($J$2:$J$1001,MATCH(ROWS($H$2:H204),$H$2:$H$1001,0),0),1)),INDEX($M$2:$M$1001,MATCH(ROWS($H$2:H204),$H$2:$H$1001,0),0)))</f>
        <v>0</v>
      </c>
      <c r="B204" s="3">
        <f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>0</v>
      </c>
      <c r="C204" s="3">
        <f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>0</v>
      </c>
      <c r="D204" s="3">
        <f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>0</v>
      </c>
      <c r="H204">
        <v>0</v>
      </c>
      <c r="I204">
        <v>0</v>
      </c>
      <c r="J204">
        <v>0</v>
      </c>
      <c r="K204">
        <f>IF(L204,TRUE,AND(O204:Q204))</f>
        <v>0</v>
      </c>
      <c r="L204">
        <f>COUNTBLANK(Metadata!B204:D204)=COLUMNS(Metadata!B204:D204)</f>
        <v>0</v>
      </c>
      <c r="M204">
        <v>0</v>
      </c>
      <c r="O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>
        <f>AND(IF(Metadata!C204="",FALSE,TRUE),exact(Metadata!C204,"rat metagenome"))</f>
        <v>0</v>
      </c>
      <c r="Q204">
        <f>AND(IF(Metadata!D204="",FALSE,TRUE),exact(Metadata!D204,"1427740"))</f>
        <v>0</v>
      </c>
    </row>
    <row r="205" spans="1:17">
      <c r="A205" s="4">
        <f>IF(B205=" "," ",HYPERLINK(CONCATENATE("#metadata!",ADDRESS(INDEX($J$2:$J$1001,MATCH(ROWS($H$2:H205),$H$2:$H$1001,0),0),1)),INDEX($M$2:$M$1001,MATCH(ROWS($H$2:H205),$H$2:$H$1001,0),0)))</f>
        <v>0</v>
      </c>
      <c r="B205" s="3">
        <f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>0</v>
      </c>
      <c r="C205" s="3">
        <f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>0</v>
      </c>
      <c r="D205" s="3">
        <f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>0</v>
      </c>
      <c r="H205">
        <v>0</v>
      </c>
      <c r="I205">
        <v>0</v>
      </c>
      <c r="J205">
        <v>0</v>
      </c>
      <c r="K205">
        <f>IF(L205,TRUE,AND(O205:Q205))</f>
        <v>0</v>
      </c>
      <c r="L205">
        <f>COUNTBLANK(Metadata!B205:D205)=COLUMNS(Metadata!B205:D205)</f>
        <v>0</v>
      </c>
      <c r="M205">
        <v>0</v>
      </c>
      <c r="O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>
        <f>AND(IF(Metadata!C205="",FALSE,TRUE),exact(Metadata!C205,"rat metagenome"))</f>
        <v>0</v>
      </c>
      <c r="Q205">
        <f>AND(IF(Metadata!D205="",FALSE,TRUE),exact(Metadata!D205,"1427740"))</f>
        <v>0</v>
      </c>
    </row>
    <row r="206" spans="1:17">
      <c r="A206" s="4">
        <f>IF(B206=" "," ",HYPERLINK(CONCATENATE("#metadata!",ADDRESS(INDEX($J$2:$J$1001,MATCH(ROWS($H$2:H206),$H$2:$H$1001,0),0),1)),INDEX($M$2:$M$1001,MATCH(ROWS($H$2:H206),$H$2:$H$1001,0),0)))</f>
        <v>0</v>
      </c>
      <c r="B206" s="3">
        <f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>0</v>
      </c>
      <c r="C206" s="3">
        <f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>0</v>
      </c>
      <c r="D206" s="3">
        <f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>0</v>
      </c>
      <c r="H206">
        <v>0</v>
      </c>
      <c r="I206">
        <v>0</v>
      </c>
      <c r="J206">
        <v>0</v>
      </c>
      <c r="K206">
        <f>IF(L206,TRUE,AND(O206:Q206))</f>
        <v>0</v>
      </c>
      <c r="L206">
        <f>COUNTBLANK(Metadata!B206:D206)=COLUMNS(Metadata!B206:D206)</f>
        <v>0</v>
      </c>
      <c r="M206">
        <v>0</v>
      </c>
      <c r="O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>
        <f>AND(IF(Metadata!C206="",FALSE,TRUE),exact(Metadata!C206,"rat metagenome"))</f>
        <v>0</v>
      </c>
      <c r="Q206">
        <f>AND(IF(Metadata!D206="",FALSE,TRUE),exact(Metadata!D206,"1427740"))</f>
        <v>0</v>
      </c>
    </row>
    <row r="207" spans="1:17">
      <c r="A207" s="4">
        <f>IF(B207=" "," ",HYPERLINK(CONCATENATE("#metadata!",ADDRESS(INDEX($J$2:$J$1001,MATCH(ROWS($H$2:H207),$H$2:$H$1001,0),0),1)),INDEX($M$2:$M$1001,MATCH(ROWS($H$2:H207),$H$2:$H$1001,0),0)))</f>
        <v>0</v>
      </c>
      <c r="B207" s="3">
        <f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>0</v>
      </c>
      <c r="C207" s="3">
        <f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>0</v>
      </c>
      <c r="D207" s="3">
        <f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>0</v>
      </c>
      <c r="H207">
        <v>0</v>
      </c>
      <c r="I207">
        <v>0</v>
      </c>
      <c r="J207">
        <v>0</v>
      </c>
      <c r="K207">
        <f>IF(L207,TRUE,AND(O207:Q207))</f>
        <v>0</v>
      </c>
      <c r="L207">
        <f>COUNTBLANK(Metadata!B207:D207)=COLUMNS(Metadata!B207:D207)</f>
        <v>0</v>
      </c>
      <c r="M207">
        <v>0</v>
      </c>
      <c r="O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>
        <f>AND(IF(Metadata!C207="",FALSE,TRUE),exact(Metadata!C207,"rat metagenome"))</f>
        <v>0</v>
      </c>
      <c r="Q207">
        <f>AND(IF(Metadata!D207="",FALSE,TRUE),exact(Metadata!D207,"1427740"))</f>
        <v>0</v>
      </c>
    </row>
    <row r="208" spans="1:17">
      <c r="A208" s="4">
        <f>IF(B208=" "," ",HYPERLINK(CONCATENATE("#metadata!",ADDRESS(INDEX($J$2:$J$1001,MATCH(ROWS($H$2:H208),$H$2:$H$1001,0),0),1)),INDEX($M$2:$M$1001,MATCH(ROWS($H$2:H208),$H$2:$H$1001,0),0)))</f>
        <v>0</v>
      </c>
      <c r="B208" s="3">
        <f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>0</v>
      </c>
      <c r="C208" s="3">
        <f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>0</v>
      </c>
      <c r="D208" s="3">
        <f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>0</v>
      </c>
      <c r="H208">
        <v>0</v>
      </c>
      <c r="I208">
        <v>0</v>
      </c>
      <c r="J208">
        <v>0</v>
      </c>
      <c r="K208">
        <f>IF(L208,TRUE,AND(O208:Q208))</f>
        <v>0</v>
      </c>
      <c r="L208">
        <f>COUNTBLANK(Metadata!B208:D208)=COLUMNS(Metadata!B208:D208)</f>
        <v>0</v>
      </c>
      <c r="M208">
        <v>0</v>
      </c>
      <c r="O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>
        <f>AND(IF(Metadata!C208="",FALSE,TRUE),exact(Metadata!C208,"rat metagenome"))</f>
        <v>0</v>
      </c>
      <c r="Q208">
        <f>AND(IF(Metadata!D208="",FALSE,TRUE),exact(Metadata!D208,"1427740"))</f>
        <v>0</v>
      </c>
    </row>
    <row r="209" spans="1:17">
      <c r="A209" s="4">
        <f>IF(B209=" "," ",HYPERLINK(CONCATENATE("#metadata!",ADDRESS(INDEX($J$2:$J$1001,MATCH(ROWS($H$2:H209),$H$2:$H$1001,0),0),1)),INDEX($M$2:$M$1001,MATCH(ROWS($H$2:H209),$H$2:$H$1001,0),0)))</f>
        <v>0</v>
      </c>
      <c r="B209" s="3">
        <f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>0</v>
      </c>
      <c r="C209" s="3">
        <f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>0</v>
      </c>
      <c r="D209" s="3">
        <f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>0</v>
      </c>
      <c r="H209">
        <v>0</v>
      </c>
      <c r="I209">
        <v>0</v>
      </c>
      <c r="J209">
        <v>0</v>
      </c>
      <c r="K209">
        <f>IF(L209,TRUE,AND(O209:Q209))</f>
        <v>0</v>
      </c>
      <c r="L209">
        <f>COUNTBLANK(Metadata!B209:D209)=COLUMNS(Metadata!B209:D209)</f>
        <v>0</v>
      </c>
      <c r="M209">
        <v>0</v>
      </c>
      <c r="O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>
        <f>AND(IF(Metadata!C209="",FALSE,TRUE),exact(Metadata!C209,"rat metagenome"))</f>
        <v>0</v>
      </c>
      <c r="Q209">
        <f>AND(IF(Metadata!D209="",FALSE,TRUE),exact(Metadata!D209,"1427740"))</f>
        <v>0</v>
      </c>
    </row>
    <row r="210" spans="1:17">
      <c r="A210" s="4">
        <f>IF(B210=" "," ",HYPERLINK(CONCATENATE("#metadata!",ADDRESS(INDEX($J$2:$J$1001,MATCH(ROWS($H$2:H210),$H$2:$H$1001,0),0),1)),INDEX($M$2:$M$1001,MATCH(ROWS($H$2:H210),$H$2:$H$1001,0),0)))</f>
        <v>0</v>
      </c>
      <c r="B210" s="3">
        <f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>0</v>
      </c>
      <c r="C210" s="3">
        <f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>0</v>
      </c>
      <c r="D210" s="3">
        <f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>0</v>
      </c>
      <c r="H210">
        <v>0</v>
      </c>
      <c r="I210">
        <v>0</v>
      </c>
      <c r="J210">
        <v>0</v>
      </c>
      <c r="K210">
        <f>IF(L210,TRUE,AND(O210:Q210))</f>
        <v>0</v>
      </c>
      <c r="L210">
        <f>COUNTBLANK(Metadata!B210:D210)=COLUMNS(Metadata!B210:D210)</f>
        <v>0</v>
      </c>
      <c r="M210">
        <v>0</v>
      </c>
      <c r="O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>
        <f>AND(IF(Metadata!C210="",FALSE,TRUE),exact(Metadata!C210,"rat metagenome"))</f>
        <v>0</v>
      </c>
      <c r="Q210">
        <f>AND(IF(Metadata!D210="",FALSE,TRUE),exact(Metadata!D210,"1427740"))</f>
        <v>0</v>
      </c>
    </row>
    <row r="211" spans="1:17">
      <c r="A211" s="4">
        <f>IF(B211=" "," ",HYPERLINK(CONCATENATE("#metadata!",ADDRESS(INDEX($J$2:$J$1001,MATCH(ROWS($H$2:H211),$H$2:$H$1001,0),0),1)),INDEX($M$2:$M$1001,MATCH(ROWS($H$2:H211),$H$2:$H$1001,0),0)))</f>
        <v>0</v>
      </c>
      <c r="B211" s="3">
        <f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>0</v>
      </c>
      <c r="C211" s="3">
        <f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>0</v>
      </c>
      <c r="D211" s="3">
        <f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>0</v>
      </c>
      <c r="H211">
        <v>0</v>
      </c>
      <c r="I211">
        <v>0</v>
      </c>
      <c r="J211">
        <v>0</v>
      </c>
      <c r="K211">
        <f>IF(L211,TRUE,AND(O211:Q211))</f>
        <v>0</v>
      </c>
      <c r="L211">
        <f>COUNTBLANK(Metadata!B211:D211)=COLUMNS(Metadata!B211:D211)</f>
        <v>0</v>
      </c>
      <c r="M211">
        <v>0</v>
      </c>
      <c r="O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>
        <f>AND(IF(Metadata!C211="",FALSE,TRUE),exact(Metadata!C211,"rat metagenome"))</f>
        <v>0</v>
      </c>
      <c r="Q211">
        <f>AND(IF(Metadata!D211="",FALSE,TRUE),exact(Metadata!D211,"1427740"))</f>
        <v>0</v>
      </c>
    </row>
    <row r="212" spans="1:17">
      <c r="A212" s="4">
        <f>IF(B212=" "," ",HYPERLINK(CONCATENATE("#metadata!",ADDRESS(INDEX($J$2:$J$1001,MATCH(ROWS($H$2:H212),$H$2:$H$1001,0),0),1)),INDEX($M$2:$M$1001,MATCH(ROWS($H$2:H212),$H$2:$H$1001,0),0)))</f>
        <v>0</v>
      </c>
      <c r="B212" s="3">
        <f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>0</v>
      </c>
      <c r="C212" s="3">
        <f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>0</v>
      </c>
      <c r="D212" s="3">
        <f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>0</v>
      </c>
      <c r="H212">
        <v>0</v>
      </c>
      <c r="I212">
        <v>0</v>
      </c>
      <c r="J212">
        <v>0</v>
      </c>
      <c r="K212">
        <f>IF(L212,TRUE,AND(O212:Q212))</f>
        <v>0</v>
      </c>
      <c r="L212">
        <f>COUNTBLANK(Metadata!B212:D212)=COLUMNS(Metadata!B212:D212)</f>
        <v>0</v>
      </c>
      <c r="M212">
        <v>0</v>
      </c>
      <c r="O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>
        <f>AND(IF(Metadata!C212="",FALSE,TRUE),exact(Metadata!C212,"rat metagenome"))</f>
        <v>0</v>
      </c>
      <c r="Q212">
        <f>AND(IF(Metadata!D212="",FALSE,TRUE),exact(Metadata!D212,"1427740"))</f>
        <v>0</v>
      </c>
    </row>
    <row r="213" spans="1:17">
      <c r="A213" s="4">
        <f>IF(B213=" "," ",HYPERLINK(CONCATENATE("#metadata!",ADDRESS(INDEX($J$2:$J$1001,MATCH(ROWS($H$2:H213),$H$2:$H$1001,0),0),1)),INDEX($M$2:$M$1001,MATCH(ROWS($H$2:H213),$H$2:$H$1001,0),0)))</f>
        <v>0</v>
      </c>
      <c r="B213" s="3">
        <f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>0</v>
      </c>
      <c r="C213" s="3">
        <f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>0</v>
      </c>
      <c r="D213" s="3">
        <f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>0</v>
      </c>
      <c r="H213">
        <v>0</v>
      </c>
      <c r="I213">
        <v>0</v>
      </c>
      <c r="J213">
        <v>0</v>
      </c>
      <c r="K213">
        <f>IF(L213,TRUE,AND(O213:Q213))</f>
        <v>0</v>
      </c>
      <c r="L213">
        <f>COUNTBLANK(Metadata!B213:D213)=COLUMNS(Metadata!B213:D213)</f>
        <v>0</v>
      </c>
      <c r="M213">
        <v>0</v>
      </c>
      <c r="O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>
        <f>AND(IF(Metadata!C213="",FALSE,TRUE),exact(Metadata!C213,"rat metagenome"))</f>
        <v>0</v>
      </c>
      <c r="Q213">
        <f>AND(IF(Metadata!D213="",FALSE,TRUE),exact(Metadata!D213,"1427740"))</f>
        <v>0</v>
      </c>
    </row>
    <row r="214" spans="1:17">
      <c r="A214" s="4">
        <f>IF(B214=" "," ",HYPERLINK(CONCATENATE("#metadata!",ADDRESS(INDEX($J$2:$J$1001,MATCH(ROWS($H$2:H214),$H$2:$H$1001,0),0),1)),INDEX($M$2:$M$1001,MATCH(ROWS($H$2:H214),$H$2:$H$1001,0),0)))</f>
        <v>0</v>
      </c>
      <c r="B214" s="3">
        <f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>0</v>
      </c>
      <c r="C214" s="3">
        <f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>0</v>
      </c>
      <c r="D214" s="3">
        <f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>0</v>
      </c>
      <c r="H214">
        <v>0</v>
      </c>
      <c r="I214">
        <v>0</v>
      </c>
      <c r="J214">
        <v>0</v>
      </c>
      <c r="K214">
        <f>IF(L214,TRUE,AND(O214:Q214))</f>
        <v>0</v>
      </c>
      <c r="L214">
        <f>COUNTBLANK(Metadata!B214:D214)=COLUMNS(Metadata!B214:D214)</f>
        <v>0</v>
      </c>
      <c r="M214">
        <v>0</v>
      </c>
      <c r="O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>
        <f>AND(IF(Metadata!C214="",FALSE,TRUE),exact(Metadata!C214,"rat metagenome"))</f>
        <v>0</v>
      </c>
      <c r="Q214">
        <f>AND(IF(Metadata!D214="",FALSE,TRUE),exact(Metadata!D214,"1427740"))</f>
        <v>0</v>
      </c>
    </row>
    <row r="215" spans="1:17">
      <c r="A215" s="4">
        <f>IF(B215=" "," ",HYPERLINK(CONCATENATE("#metadata!",ADDRESS(INDEX($J$2:$J$1001,MATCH(ROWS($H$2:H215),$H$2:$H$1001,0),0),1)),INDEX($M$2:$M$1001,MATCH(ROWS($H$2:H215),$H$2:$H$1001,0),0)))</f>
        <v>0</v>
      </c>
      <c r="B215" s="3">
        <f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>0</v>
      </c>
      <c r="C215" s="3">
        <f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>0</v>
      </c>
      <c r="D215" s="3">
        <f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>0</v>
      </c>
      <c r="H215">
        <v>0</v>
      </c>
      <c r="I215">
        <v>0</v>
      </c>
      <c r="J215">
        <v>0</v>
      </c>
      <c r="K215">
        <f>IF(L215,TRUE,AND(O215:Q215))</f>
        <v>0</v>
      </c>
      <c r="L215">
        <f>COUNTBLANK(Metadata!B215:D215)=COLUMNS(Metadata!B215:D215)</f>
        <v>0</v>
      </c>
      <c r="M215">
        <v>0</v>
      </c>
      <c r="O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>
        <f>AND(IF(Metadata!C215="",FALSE,TRUE),exact(Metadata!C215,"rat metagenome"))</f>
        <v>0</v>
      </c>
      <c r="Q215">
        <f>AND(IF(Metadata!D215="",FALSE,TRUE),exact(Metadata!D215,"1427740"))</f>
        <v>0</v>
      </c>
    </row>
    <row r="216" spans="1:17">
      <c r="A216" s="4">
        <f>IF(B216=" "," ",HYPERLINK(CONCATENATE("#metadata!",ADDRESS(INDEX($J$2:$J$1001,MATCH(ROWS($H$2:H216),$H$2:$H$1001,0),0),1)),INDEX($M$2:$M$1001,MATCH(ROWS($H$2:H216),$H$2:$H$1001,0),0)))</f>
        <v>0</v>
      </c>
      <c r="B216" s="3">
        <f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>0</v>
      </c>
      <c r="C216" s="3">
        <f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>0</v>
      </c>
      <c r="D216" s="3">
        <f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>0</v>
      </c>
      <c r="H216">
        <v>0</v>
      </c>
      <c r="I216">
        <v>0</v>
      </c>
      <c r="J216">
        <v>0</v>
      </c>
      <c r="K216">
        <f>IF(L216,TRUE,AND(O216:Q216))</f>
        <v>0</v>
      </c>
      <c r="L216">
        <f>COUNTBLANK(Metadata!B216:D216)=COLUMNS(Metadata!B216:D216)</f>
        <v>0</v>
      </c>
      <c r="M216">
        <v>0</v>
      </c>
      <c r="O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>
        <f>AND(IF(Metadata!C216="",FALSE,TRUE),exact(Metadata!C216,"rat metagenome"))</f>
        <v>0</v>
      </c>
      <c r="Q216">
        <f>AND(IF(Metadata!D216="",FALSE,TRUE),exact(Metadata!D216,"1427740"))</f>
        <v>0</v>
      </c>
    </row>
    <row r="217" spans="1:17">
      <c r="A217" s="4">
        <f>IF(B217=" "," ",HYPERLINK(CONCATENATE("#metadata!",ADDRESS(INDEX($J$2:$J$1001,MATCH(ROWS($H$2:H217),$H$2:$H$1001,0),0),1)),INDEX($M$2:$M$1001,MATCH(ROWS($H$2:H217),$H$2:$H$1001,0),0)))</f>
        <v>0</v>
      </c>
      <c r="B217" s="3">
        <f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>0</v>
      </c>
      <c r="C217" s="3">
        <f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>0</v>
      </c>
      <c r="D217" s="3">
        <f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>0</v>
      </c>
      <c r="H217">
        <v>0</v>
      </c>
      <c r="I217">
        <v>0</v>
      </c>
      <c r="J217">
        <v>0</v>
      </c>
      <c r="K217">
        <f>IF(L217,TRUE,AND(O217:Q217))</f>
        <v>0</v>
      </c>
      <c r="L217">
        <f>COUNTBLANK(Metadata!B217:D217)=COLUMNS(Metadata!B217:D217)</f>
        <v>0</v>
      </c>
      <c r="M217">
        <v>0</v>
      </c>
      <c r="O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>
        <f>AND(IF(Metadata!C217="",FALSE,TRUE),exact(Metadata!C217,"rat metagenome"))</f>
        <v>0</v>
      </c>
      <c r="Q217">
        <f>AND(IF(Metadata!D217="",FALSE,TRUE),exact(Metadata!D217,"1427740"))</f>
        <v>0</v>
      </c>
    </row>
    <row r="218" spans="1:17">
      <c r="A218" s="4">
        <f>IF(B218=" "," ",HYPERLINK(CONCATENATE("#metadata!",ADDRESS(INDEX($J$2:$J$1001,MATCH(ROWS($H$2:H218),$H$2:$H$1001,0),0),1)),INDEX($M$2:$M$1001,MATCH(ROWS($H$2:H218),$H$2:$H$1001,0),0)))</f>
        <v>0</v>
      </c>
      <c r="B218" s="3">
        <f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>0</v>
      </c>
      <c r="C218" s="3">
        <f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>0</v>
      </c>
      <c r="D218" s="3">
        <f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>0</v>
      </c>
      <c r="H218">
        <v>0</v>
      </c>
      <c r="I218">
        <v>0</v>
      </c>
      <c r="J218">
        <v>0</v>
      </c>
      <c r="K218">
        <f>IF(L218,TRUE,AND(O218:Q218))</f>
        <v>0</v>
      </c>
      <c r="L218">
        <f>COUNTBLANK(Metadata!B218:D218)=COLUMNS(Metadata!B218:D218)</f>
        <v>0</v>
      </c>
      <c r="M218">
        <v>0</v>
      </c>
      <c r="O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>
        <f>AND(IF(Metadata!C218="",FALSE,TRUE),exact(Metadata!C218,"rat metagenome"))</f>
        <v>0</v>
      </c>
      <c r="Q218">
        <f>AND(IF(Metadata!D218="",FALSE,TRUE),exact(Metadata!D218,"1427740"))</f>
        <v>0</v>
      </c>
    </row>
    <row r="219" spans="1:17">
      <c r="A219" s="4">
        <f>IF(B219=" "," ",HYPERLINK(CONCATENATE("#metadata!",ADDRESS(INDEX($J$2:$J$1001,MATCH(ROWS($H$2:H219),$H$2:$H$1001,0),0),1)),INDEX($M$2:$M$1001,MATCH(ROWS($H$2:H219),$H$2:$H$1001,0),0)))</f>
        <v>0</v>
      </c>
      <c r="B219" s="3">
        <f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>0</v>
      </c>
      <c r="C219" s="3">
        <f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>0</v>
      </c>
      <c r="D219" s="3">
        <f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>0</v>
      </c>
      <c r="H219">
        <v>0</v>
      </c>
      <c r="I219">
        <v>0</v>
      </c>
      <c r="J219">
        <v>0</v>
      </c>
      <c r="K219">
        <f>IF(L219,TRUE,AND(O219:Q219))</f>
        <v>0</v>
      </c>
      <c r="L219">
        <f>COUNTBLANK(Metadata!B219:D219)=COLUMNS(Metadata!B219:D219)</f>
        <v>0</v>
      </c>
      <c r="M219">
        <v>0</v>
      </c>
      <c r="O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>
        <f>AND(IF(Metadata!C219="",FALSE,TRUE),exact(Metadata!C219,"rat metagenome"))</f>
        <v>0</v>
      </c>
      <c r="Q219">
        <f>AND(IF(Metadata!D219="",FALSE,TRUE),exact(Metadata!D219,"1427740"))</f>
        <v>0</v>
      </c>
    </row>
    <row r="220" spans="1:17">
      <c r="A220" s="4">
        <f>IF(B220=" "," ",HYPERLINK(CONCATENATE("#metadata!",ADDRESS(INDEX($J$2:$J$1001,MATCH(ROWS($H$2:H220),$H$2:$H$1001,0),0),1)),INDEX($M$2:$M$1001,MATCH(ROWS($H$2:H220),$H$2:$H$1001,0),0)))</f>
        <v>0</v>
      </c>
      <c r="B220" s="3">
        <f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>0</v>
      </c>
      <c r="C220" s="3">
        <f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>0</v>
      </c>
      <c r="D220" s="3">
        <f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>0</v>
      </c>
      <c r="H220">
        <v>0</v>
      </c>
      <c r="I220">
        <v>0</v>
      </c>
      <c r="J220">
        <v>0</v>
      </c>
      <c r="K220">
        <f>IF(L220,TRUE,AND(O220:Q220))</f>
        <v>0</v>
      </c>
      <c r="L220">
        <f>COUNTBLANK(Metadata!B220:D220)=COLUMNS(Metadata!B220:D220)</f>
        <v>0</v>
      </c>
      <c r="M220">
        <v>0</v>
      </c>
      <c r="O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>
        <f>AND(IF(Metadata!C220="",FALSE,TRUE),exact(Metadata!C220,"rat metagenome"))</f>
        <v>0</v>
      </c>
      <c r="Q220">
        <f>AND(IF(Metadata!D220="",FALSE,TRUE),exact(Metadata!D220,"1427740"))</f>
        <v>0</v>
      </c>
    </row>
    <row r="221" spans="1:17">
      <c r="A221" s="4">
        <f>IF(B221=" "," ",HYPERLINK(CONCATENATE("#metadata!",ADDRESS(INDEX($J$2:$J$1001,MATCH(ROWS($H$2:H221),$H$2:$H$1001,0),0),1)),INDEX($M$2:$M$1001,MATCH(ROWS($H$2:H221),$H$2:$H$1001,0),0)))</f>
        <v>0</v>
      </c>
      <c r="B221" s="3">
        <f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>0</v>
      </c>
      <c r="C221" s="3">
        <f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>0</v>
      </c>
      <c r="D221" s="3">
        <f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>0</v>
      </c>
      <c r="H221">
        <v>0</v>
      </c>
      <c r="I221">
        <v>0</v>
      </c>
      <c r="J221">
        <v>0</v>
      </c>
      <c r="K221">
        <f>IF(L221,TRUE,AND(O221:Q221))</f>
        <v>0</v>
      </c>
      <c r="L221">
        <f>COUNTBLANK(Metadata!B221:D221)=COLUMNS(Metadata!B221:D221)</f>
        <v>0</v>
      </c>
      <c r="M221">
        <v>0</v>
      </c>
      <c r="O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>
        <f>AND(IF(Metadata!C221="",FALSE,TRUE),exact(Metadata!C221,"rat metagenome"))</f>
        <v>0</v>
      </c>
      <c r="Q221">
        <f>AND(IF(Metadata!D221="",FALSE,TRUE),exact(Metadata!D221,"1427740"))</f>
        <v>0</v>
      </c>
    </row>
    <row r="222" spans="1:17">
      <c r="A222" s="4">
        <f>IF(B222=" "," ",HYPERLINK(CONCATENATE("#metadata!",ADDRESS(INDEX($J$2:$J$1001,MATCH(ROWS($H$2:H222),$H$2:$H$1001,0),0),1)),INDEX($M$2:$M$1001,MATCH(ROWS($H$2:H222),$H$2:$H$1001,0),0)))</f>
        <v>0</v>
      </c>
      <c r="B222" s="3">
        <f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>0</v>
      </c>
      <c r="C222" s="3">
        <f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>0</v>
      </c>
      <c r="D222" s="3">
        <f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>0</v>
      </c>
      <c r="H222">
        <v>0</v>
      </c>
      <c r="I222">
        <v>0</v>
      </c>
      <c r="J222">
        <v>0</v>
      </c>
      <c r="K222">
        <f>IF(L222,TRUE,AND(O222:Q222))</f>
        <v>0</v>
      </c>
      <c r="L222">
        <f>COUNTBLANK(Metadata!B222:D222)=COLUMNS(Metadata!B222:D222)</f>
        <v>0</v>
      </c>
      <c r="M222">
        <v>0</v>
      </c>
      <c r="O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>
        <f>AND(IF(Metadata!C222="",FALSE,TRUE),exact(Metadata!C222,"rat metagenome"))</f>
        <v>0</v>
      </c>
      <c r="Q222">
        <f>AND(IF(Metadata!D222="",FALSE,TRUE),exact(Metadata!D222,"1427740"))</f>
        <v>0</v>
      </c>
    </row>
    <row r="223" spans="1:17">
      <c r="A223" s="4">
        <f>IF(B223=" "," ",HYPERLINK(CONCATENATE("#metadata!",ADDRESS(INDEX($J$2:$J$1001,MATCH(ROWS($H$2:H223),$H$2:$H$1001,0),0),1)),INDEX($M$2:$M$1001,MATCH(ROWS($H$2:H223),$H$2:$H$1001,0),0)))</f>
        <v>0</v>
      </c>
      <c r="B223" s="3">
        <f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>0</v>
      </c>
      <c r="C223" s="3">
        <f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>0</v>
      </c>
      <c r="D223" s="3">
        <f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>0</v>
      </c>
      <c r="H223">
        <v>0</v>
      </c>
      <c r="I223">
        <v>0</v>
      </c>
      <c r="J223">
        <v>0</v>
      </c>
      <c r="K223">
        <f>IF(L223,TRUE,AND(O223:Q223))</f>
        <v>0</v>
      </c>
      <c r="L223">
        <f>COUNTBLANK(Metadata!B223:D223)=COLUMNS(Metadata!B223:D223)</f>
        <v>0</v>
      </c>
      <c r="M223">
        <v>0</v>
      </c>
      <c r="O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>
        <f>AND(IF(Metadata!C223="",FALSE,TRUE),exact(Metadata!C223,"rat metagenome"))</f>
        <v>0</v>
      </c>
      <c r="Q223">
        <f>AND(IF(Metadata!D223="",FALSE,TRUE),exact(Metadata!D223,"1427740"))</f>
        <v>0</v>
      </c>
    </row>
    <row r="224" spans="1:17">
      <c r="A224" s="4">
        <f>IF(B224=" "," ",HYPERLINK(CONCATENATE("#metadata!",ADDRESS(INDEX($J$2:$J$1001,MATCH(ROWS($H$2:H224),$H$2:$H$1001,0),0),1)),INDEX($M$2:$M$1001,MATCH(ROWS($H$2:H224),$H$2:$H$1001,0),0)))</f>
        <v>0</v>
      </c>
      <c r="B224" s="3">
        <f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>0</v>
      </c>
      <c r="C224" s="3">
        <f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>0</v>
      </c>
      <c r="D224" s="3">
        <f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>0</v>
      </c>
      <c r="H224">
        <v>0</v>
      </c>
      <c r="I224">
        <v>0</v>
      </c>
      <c r="J224">
        <v>0</v>
      </c>
      <c r="K224">
        <f>IF(L224,TRUE,AND(O224:Q224))</f>
        <v>0</v>
      </c>
      <c r="L224">
        <f>COUNTBLANK(Metadata!B224:D224)=COLUMNS(Metadata!B224:D224)</f>
        <v>0</v>
      </c>
      <c r="M224">
        <v>0</v>
      </c>
      <c r="O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>
        <f>AND(IF(Metadata!C224="",FALSE,TRUE),exact(Metadata!C224,"rat metagenome"))</f>
        <v>0</v>
      </c>
      <c r="Q224">
        <f>AND(IF(Metadata!D224="",FALSE,TRUE),exact(Metadata!D224,"1427740"))</f>
        <v>0</v>
      </c>
    </row>
    <row r="225" spans="1:17">
      <c r="A225" s="4">
        <f>IF(B225=" "," ",HYPERLINK(CONCATENATE("#metadata!",ADDRESS(INDEX($J$2:$J$1001,MATCH(ROWS($H$2:H225),$H$2:$H$1001,0),0),1)),INDEX($M$2:$M$1001,MATCH(ROWS($H$2:H225),$H$2:$H$1001,0),0)))</f>
        <v>0</v>
      </c>
      <c r="B225" s="3">
        <f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>0</v>
      </c>
      <c r="C225" s="3">
        <f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>0</v>
      </c>
      <c r="D225" s="3">
        <f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>0</v>
      </c>
      <c r="H225">
        <v>0</v>
      </c>
      <c r="I225">
        <v>0</v>
      </c>
      <c r="J225">
        <v>0</v>
      </c>
      <c r="K225">
        <f>IF(L225,TRUE,AND(O225:Q225))</f>
        <v>0</v>
      </c>
      <c r="L225">
        <f>COUNTBLANK(Metadata!B225:D225)=COLUMNS(Metadata!B225:D225)</f>
        <v>0</v>
      </c>
      <c r="M225">
        <v>0</v>
      </c>
      <c r="O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>
        <f>AND(IF(Metadata!C225="",FALSE,TRUE),exact(Metadata!C225,"rat metagenome"))</f>
        <v>0</v>
      </c>
      <c r="Q225">
        <f>AND(IF(Metadata!D225="",FALSE,TRUE),exact(Metadata!D225,"1427740"))</f>
        <v>0</v>
      </c>
    </row>
    <row r="226" spans="1:17">
      <c r="A226" s="4">
        <f>IF(B226=" "," ",HYPERLINK(CONCATENATE("#metadata!",ADDRESS(INDEX($J$2:$J$1001,MATCH(ROWS($H$2:H226),$H$2:$H$1001,0),0),1)),INDEX($M$2:$M$1001,MATCH(ROWS($H$2:H226),$H$2:$H$1001,0),0)))</f>
        <v>0</v>
      </c>
      <c r="B226" s="3">
        <f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>0</v>
      </c>
      <c r="C226" s="3">
        <f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>0</v>
      </c>
      <c r="D226" s="3">
        <f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>0</v>
      </c>
      <c r="H226">
        <v>0</v>
      </c>
      <c r="I226">
        <v>0</v>
      </c>
      <c r="J226">
        <v>0</v>
      </c>
      <c r="K226">
        <f>IF(L226,TRUE,AND(O226:Q226))</f>
        <v>0</v>
      </c>
      <c r="L226">
        <f>COUNTBLANK(Metadata!B226:D226)=COLUMNS(Metadata!B226:D226)</f>
        <v>0</v>
      </c>
      <c r="M226">
        <v>0</v>
      </c>
      <c r="O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>
        <f>AND(IF(Metadata!C226="",FALSE,TRUE),exact(Metadata!C226,"rat metagenome"))</f>
        <v>0</v>
      </c>
      <c r="Q226">
        <f>AND(IF(Metadata!D226="",FALSE,TRUE),exact(Metadata!D226,"1427740"))</f>
        <v>0</v>
      </c>
    </row>
    <row r="227" spans="1:17">
      <c r="A227" s="4">
        <f>IF(B227=" "," ",HYPERLINK(CONCATENATE("#metadata!",ADDRESS(INDEX($J$2:$J$1001,MATCH(ROWS($H$2:H227),$H$2:$H$1001,0),0),1)),INDEX($M$2:$M$1001,MATCH(ROWS($H$2:H227),$H$2:$H$1001,0),0)))</f>
        <v>0</v>
      </c>
      <c r="B227" s="3">
        <f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>0</v>
      </c>
      <c r="C227" s="3">
        <f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>0</v>
      </c>
      <c r="D227" s="3">
        <f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>0</v>
      </c>
      <c r="H227">
        <v>0</v>
      </c>
      <c r="I227">
        <v>0</v>
      </c>
      <c r="J227">
        <v>0</v>
      </c>
      <c r="K227">
        <f>IF(L227,TRUE,AND(O227:Q227))</f>
        <v>0</v>
      </c>
      <c r="L227">
        <f>COUNTBLANK(Metadata!B227:D227)=COLUMNS(Metadata!B227:D227)</f>
        <v>0</v>
      </c>
      <c r="M227">
        <v>0</v>
      </c>
      <c r="O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>
        <f>AND(IF(Metadata!C227="",FALSE,TRUE),exact(Metadata!C227,"rat metagenome"))</f>
        <v>0</v>
      </c>
      <c r="Q227">
        <f>AND(IF(Metadata!D227="",FALSE,TRUE),exact(Metadata!D227,"1427740"))</f>
        <v>0</v>
      </c>
    </row>
    <row r="228" spans="1:17">
      <c r="A228" s="4">
        <f>IF(B228=" "," ",HYPERLINK(CONCATENATE("#metadata!",ADDRESS(INDEX($J$2:$J$1001,MATCH(ROWS($H$2:H228),$H$2:$H$1001,0),0),1)),INDEX($M$2:$M$1001,MATCH(ROWS($H$2:H228),$H$2:$H$1001,0),0)))</f>
        <v>0</v>
      </c>
      <c r="B228" s="3">
        <f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>0</v>
      </c>
      <c r="C228" s="3">
        <f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>0</v>
      </c>
      <c r="D228" s="3">
        <f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>0</v>
      </c>
      <c r="H228">
        <v>0</v>
      </c>
      <c r="I228">
        <v>0</v>
      </c>
      <c r="J228">
        <v>0</v>
      </c>
      <c r="K228">
        <f>IF(L228,TRUE,AND(O228:Q228))</f>
        <v>0</v>
      </c>
      <c r="L228">
        <f>COUNTBLANK(Metadata!B228:D228)=COLUMNS(Metadata!B228:D228)</f>
        <v>0</v>
      </c>
      <c r="M228">
        <v>0</v>
      </c>
      <c r="O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>
        <f>AND(IF(Metadata!C228="",FALSE,TRUE),exact(Metadata!C228,"rat metagenome"))</f>
        <v>0</v>
      </c>
      <c r="Q228">
        <f>AND(IF(Metadata!D228="",FALSE,TRUE),exact(Metadata!D228,"1427740"))</f>
        <v>0</v>
      </c>
    </row>
    <row r="229" spans="1:17">
      <c r="A229" s="4">
        <f>IF(B229=" "," ",HYPERLINK(CONCATENATE("#metadata!",ADDRESS(INDEX($J$2:$J$1001,MATCH(ROWS($H$2:H229),$H$2:$H$1001,0),0),1)),INDEX($M$2:$M$1001,MATCH(ROWS($H$2:H229),$H$2:$H$1001,0),0)))</f>
        <v>0</v>
      </c>
      <c r="B229" s="3">
        <f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>0</v>
      </c>
      <c r="C229" s="3">
        <f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>0</v>
      </c>
      <c r="D229" s="3">
        <f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>0</v>
      </c>
      <c r="H229">
        <v>0</v>
      </c>
      <c r="I229">
        <v>0</v>
      </c>
      <c r="J229">
        <v>0</v>
      </c>
      <c r="K229">
        <f>IF(L229,TRUE,AND(O229:Q229))</f>
        <v>0</v>
      </c>
      <c r="L229">
        <f>COUNTBLANK(Metadata!B229:D229)=COLUMNS(Metadata!B229:D229)</f>
        <v>0</v>
      </c>
      <c r="M229">
        <v>0</v>
      </c>
      <c r="O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>
        <f>AND(IF(Metadata!C229="",FALSE,TRUE),exact(Metadata!C229,"rat metagenome"))</f>
        <v>0</v>
      </c>
      <c r="Q229">
        <f>AND(IF(Metadata!D229="",FALSE,TRUE),exact(Metadata!D229,"1427740"))</f>
        <v>0</v>
      </c>
    </row>
    <row r="230" spans="1:17">
      <c r="A230" s="4">
        <f>IF(B230=" "," ",HYPERLINK(CONCATENATE("#metadata!",ADDRESS(INDEX($J$2:$J$1001,MATCH(ROWS($H$2:H230),$H$2:$H$1001,0),0),1)),INDEX($M$2:$M$1001,MATCH(ROWS($H$2:H230),$H$2:$H$1001,0),0)))</f>
        <v>0</v>
      </c>
      <c r="B230" s="3">
        <f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>0</v>
      </c>
      <c r="C230" s="3">
        <f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>0</v>
      </c>
      <c r="D230" s="3">
        <f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>0</v>
      </c>
      <c r="H230">
        <v>0</v>
      </c>
      <c r="I230">
        <v>0</v>
      </c>
      <c r="J230">
        <v>0</v>
      </c>
      <c r="K230">
        <f>IF(L230,TRUE,AND(O230:Q230))</f>
        <v>0</v>
      </c>
      <c r="L230">
        <f>COUNTBLANK(Metadata!B230:D230)=COLUMNS(Metadata!B230:D230)</f>
        <v>0</v>
      </c>
      <c r="M230">
        <v>0</v>
      </c>
      <c r="O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>
        <f>AND(IF(Metadata!C230="",FALSE,TRUE),exact(Metadata!C230,"rat metagenome"))</f>
        <v>0</v>
      </c>
      <c r="Q230">
        <f>AND(IF(Metadata!D230="",FALSE,TRUE),exact(Metadata!D230,"1427740"))</f>
        <v>0</v>
      </c>
    </row>
    <row r="231" spans="1:17">
      <c r="A231" s="4">
        <f>IF(B231=" "," ",HYPERLINK(CONCATENATE("#metadata!",ADDRESS(INDEX($J$2:$J$1001,MATCH(ROWS($H$2:H231),$H$2:$H$1001,0),0),1)),INDEX($M$2:$M$1001,MATCH(ROWS($H$2:H231),$H$2:$H$1001,0),0)))</f>
        <v>0</v>
      </c>
      <c r="B231" s="3">
        <f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>0</v>
      </c>
      <c r="C231" s="3">
        <f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>0</v>
      </c>
      <c r="D231" s="3">
        <f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>0</v>
      </c>
      <c r="H231">
        <v>0</v>
      </c>
      <c r="I231">
        <v>0</v>
      </c>
      <c r="J231">
        <v>0</v>
      </c>
      <c r="K231">
        <f>IF(L231,TRUE,AND(O231:Q231))</f>
        <v>0</v>
      </c>
      <c r="L231">
        <f>COUNTBLANK(Metadata!B231:D231)=COLUMNS(Metadata!B231:D231)</f>
        <v>0</v>
      </c>
      <c r="M231">
        <v>0</v>
      </c>
      <c r="O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>
        <f>AND(IF(Metadata!C231="",FALSE,TRUE),exact(Metadata!C231,"rat metagenome"))</f>
        <v>0</v>
      </c>
      <c r="Q231">
        <f>AND(IF(Metadata!D231="",FALSE,TRUE),exact(Metadata!D231,"1427740"))</f>
        <v>0</v>
      </c>
    </row>
    <row r="232" spans="1:17">
      <c r="A232" s="4">
        <f>IF(B232=" "," ",HYPERLINK(CONCATENATE("#metadata!",ADDRESS(INDEX($J$2:$J$1001,MATCH(ROWS($H$2:H232),$H$2:$H$1001,0),0),1)),INDEX($M$2:$M$1001,MATCH(ROWS($H$2:H232),$H$2:$H$1001,0),0)))</f>
        <v>0</v>
      </c>
      <c r="B232" s="3">
        <f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>0</v>
      </c>
      <c r="C232" s="3">
        <f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>0</v>
      </c>
      <c r="D232" s="3">
        <f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>0</v>
      </c>
      <c r="H232">
        <v>0</v>
      </c>
      <c r="I232">
        <v>0</v>
      </c>
      <c r="J232">
        <v>0</v>
      </c>
      <c r="K232">
        <f>IF(L232,TRUE,AND(O232:Q232))</f>
        <v>0</v>
      </c>
      <c r="L232">
        <f>COUNTBLANK(Metadata!B232:D232)=COLUMNS(Metadata!B232:D232)</f>
        <v>0</v>
      </c>
      <c r="M232">
        <v>0</v>
      </c>
      <c r="O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>
        <f>AND(IF(Metadata!C232="",FALSE,TRUE),exact(Metadata!C232,"rat metagenome"))</f>
        <v>0</v>
      </c>
      <c r="Q232">
        <f>AND(IF(Metadata!D232="",FALSE,TRUE),exact(Metadata!D232,"1427740"))</f>
        <v>0</v>
      </c>
    </row>
    <row r="233" spans="1:17">
      <c r="A233" s="4">
        <f>IF(B233=" "," ",HYPERLINK(CONCATENATE("#metadata!",ADDRESS(INDEX($J$2:$J$1001,MATCH(ROWS($H$2:H233),$H$2:$H$1001,0),0),1)),INDEX($M$2:$M$1001,MATCH(ROWS($H$2:H233),$H$2:$H$1001,0),0)))</f>
        <v>0</v>
      </c>
      <c r="B233" s="3">
        <f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>0</v>
      </c>
      <c r="C233" s="3">
        <f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>0</v>
      </c>
      <c r="D233" s="3">
        <f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>0</v>
      </c>
      <c r="H233">
        <v>0</v>
      </c>
      <c r="I233">
        <v>0</v>
      </c>
      <c r="J233">
        <v>0</v>
      </c>
      <c r="K233">
        <f>IF(L233,TRUE,AND(O233:Q233))</f>
        <v>0</v>
      </c>
      <c r="L233">
        <f>COUNTBLANK(Metadata!B233:D233)=COLUMNS(Metadata!B233:D233)</f>
        <v>0</v>
      </c>
      <c r="M233">
        <v>0</v>
      </c>
      <c r="O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>
        <f>AND(IF(Metadata!C233="",FALSE,TRUE),exact(Metadata!C233,"rat metagenome"))</f>
        <v>0</v>
      </c>
      <c r="Q233">
        <f>AND(IF(Metadata!D233="",FALSE,TRUE),exact(Metadata!D233,"1427740"))</f>
        <v>0</v>
      </c>
    </row>
    <row r="234" spans="1:17">
      <c r="A234" s="4">
        <f>IF(B234=" "," ",HYPERLINK(CONCATENATE("#metadata!",ADDRESS(INDEX($J$2:$J$1001,MATCH(ROWS($H$2:H234),$H$2:$H$1001,0),0),1)),INDEX($M$2:$M$1001,MATCH(ROWS($H$2:H234),$H$2:$H$1001,0),0)))</f>
        <v>0</v>
      </c>
      <c r="B234" s="3">
        <f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>0</v>
      </c>
      <c r="C234" s="3">
        <f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>0</v>
      </c>
      <c r="D234" s="3">
        <f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>0</v>
      </c>
      <c r="H234">
        <v>0</v>
      </c>
      <c r="I234">
        <v>0</v>
      </c>
      <c r="J234">
        <v>0</v>
      </c>
      <c r="K234">
        <f>IF(L234,TRUE,AND(O234:Q234))</f>
        <v>0</v>
      </c>
      <c r="L234">
        <f>COUNTBLANK(Metadata!B234:D234)=COLUMNS(Metadata!B234:D234)</f>
        <v>0</v>
      </c>
      <c r="M234">
        <v>0</v>
      </c>
      <c r="O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>
        <f>AND(IF(Metadata!C234="",FALSE,TRUE),exact(Metadata!C234,"rat metagenome"))</f>
        <v>0</v>
      </c>
      <c r="Q234">
        <f>AND(IF(Metadata!D234="",FALSE,TRUE),exact(Metadata!D234,"1427740"))</f>
        <v>0</v>
      </c>
    </row>
    <row r="235" spans="1:17">
      <c r="A235" s="4">
        <f>IF(B235=" "," ",HYPERLINK(CONCATENATE("#metadata!",ADDRESS(INDEX($J$2:$J$1001,MATCH(ROWS($H$2:H235),$H$2:$H$1001,0),0),1)),INDEX($M$2:$M$1001,MATCH(ROWS($H$2:H235),$H$2:$H$1001,0),0)))</f>
        <v>0</v>
      </c>
      <c r="B235" s="3">
        <f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>0</v>
      </c>
      <c r="C235" s="3">
        <f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>0</v>
      </c>
      <c r="D235" s="3">
        <f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>0</v>
      </c>
      <c r="H235">
        <v>0</v>
      </c>
      <c r="I235">
        <v>0</v>
      </c>
      <c r="J235">
        <v>0</v>
      </c>
      <c r="K235">
        <f>IF(L235,TRUE,AND(O235:Q235))</f>
        <v>0</v>
      </c>
      <c r="L235">
        <f>COUNTBLANK(Metadata!B235:D235)=COLUMNS(Metadata!B235:D235)</f>
        <v>0</v>
      </c>
      <c r="M235">
        <v>0</v>
      </c>
      <c r="O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>
        <f>AND(IF(Metadata!C235="",FALSE,TRUE),exact(Metadata!C235,"rat metagenome"))</f>
        <v>0</v>
      </c>
      <c r="Q235">
        <f>AND(IF(Metadata!D235="",FALSE,TRUE),exact(Metadata!D235,"1427740"))</f>
        <v>0</v>
      </c>
    </row>
    <row r="236" spans="1:17">
      <c r="A236" s="4">
        <f>IF(B236=" "," ",HYPERLINK(CONCATENATE("#metadata!",ADDRESS(INDEX($J$2:$J$1001,MATCH(ROWS($H$2:H236),$H$2:$H$1001,0),0),1)),INDEX($M$2:$M$1001,MATCH(ROWS($H$2:H236),$H$2:$H$1001,0),0)))</f>
        <v>0</v>
      </c>
      <c r="B236" s="3">
        <f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>0</v>
      </c>
      <c r="C236" s="3">
        <f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>0</v>
      </c>
      <c r="D236" s="3">
        <f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>0</v>
      </c>
      <c r="H236">
        <v>0</v>
      </c>
      <c r="I236">
        <v>0</v>
      </c>
      <c r="J236">
        <v>0</v>
      </c>
      <c r="K236">
        <f>IF(L236,TRUE,AND(O236:Q236))</f>
        <v>0</v>
      </c>
      <c r="L236">
        <f>COUNTBLANK(Metadata!B236:D236)=COLUMNS(Metadata!B236:D236)</f>
        <v>0</v>
      </c>
      <c r="M236">
        <v>0</v>
      </c>
      <c r="O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>
        <f>AND(IF(Metadata!C236="",FALSE,TRUE),exact(Metadata!C236,"rat metagenome"))</f>
        <v>0</v>
      </c>
      <c r="Q236">
        <f>AND(IF(Metadata!D236="",FALSE,TRUE),exact(Metadata!D236,"1427740"))</f>
        <v>0</v>
      </c>
    </row>
    <row r="237" spans="1:17">
      <c r="A237" s="4">
        <f>IF(B237=" "," ",HYPERLINK(CONCATENATE("#metadata!",ADDRESS(INDEX($J$2:$J$1001,MATCH(ROWS($H$2:H237),$H$2:$H$1001,0),0),1)),INDEX($M$2:$M$1001,MATCH(ROWS($H$2:H237),$H$2:$H$1001,0),0)))</f>
        <v>0</v>
      </c>
      <c r="B237" s="3">
        <f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>0</v>
      </c>
      <c r="C237" s="3">
        <f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>0</v>
      </c>
      <c r="D237" s="3">
        <f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>0</v>
      </c>
      <c r="H237">
        <v>0</v>
      </c>
      <c r="I237">
        <v>0</v>
      </c>
      <c r="J237">
        <v>0</v>
      </c>
      <c r="K237">
        <f>IF(L237,TRUE,AND(O237:Q237))</f>
        <v>0</v>
      </c>
      <c r="L237">
        <f>COUNTBLANK(Metadata!B237:D237)=COLUMNS(Metadata!B237:D237)</f>
        <v>0</v>
      </c>
      <c r="M237">
        <v>0</v>
      </c>
      <c r="O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>
        <f>AND(IF(Metadata!C237="",FALSE,TRUE),exact(Metadata!C237,"rat metagenome"))</f>
        <v>0</v>
      </c>
      <c r="Q237">
        <f>AND(IF(Metadata!D237="",FALSE,TRUE),exact(Metadata!D237,"1427740"))</f>
        <v>0</v>
      </c>
    </row>
    <row r="238" spans="1:17">
      <c r="A238" s="4">
        <f>IF(B238=" "," ",HYPERLINK(CONCATENATE("#metadata!",ADDRESS(INDEX($J$2:$J$1001,MATCH(ROWS($H$2:H238),$H$2:$H$1001,0),0),1)),INDEX($M$2:$M$1001,MATCH(ROWS($H$2:H238),$H$2:$H$1001,0),0)))</f>
        <v>0</v>
      </c>
      <c r="B238" s="3">
        <f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>0</v>
      </c>
      <c r="C238" s="3">
        <f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>0</v>
      </c>
      <c r="D238" s="3">
        <f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>0</v>
      </c>
      <c r="H238">
        <v>0</v>
      </c>
      <c r="I238">
        <v>0</v>
      </c>
      <c r="J238">
        <v>0</v>
      </c>
      <c r="K238">
        <f>IF(L238,TRUE,AND(O238:Q238))</f>
        <v>0</v>
      </c>
      <c r="L238">
        <f>COUNTBLANK(Metadata!B238:D238)=COLUMNS(Metadata!B238:D238)</f>
        <v>0</v>
      </c>
      <c r="M238">
        <v>0</v>
      </c>
      <c r="O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>
        <f>AND(IF(Metadata!C238="",FALSE,TRUE),exact(Metadata!C238,"rat metagenome"))</f>
        <v>0</v>
      </c>
      <c r="Q238">
        <f>AND(IF(Metadata!D238="",FALSE,TRUE),exact(Metadata!D238,"1427740"))</f>
        <v>0</v>
      </c>
    </row>
    <row r="239" spans="1:17">
      <c r="A239" s="4">
        <f>IF(B239=" "," ",HYPERLINK(CONCATENATE("#metadata!",ADDRESS(INDEX($J$2:$J$1001,MATCH(ROWS($H$2:H239),$H$2:$H$1001,0),0),1)),INDEX($M$2:$M$1001,MATCH(ROWS($H$2:H239),$H$2:$H$1001,0),0)))</f>
        <v>0</v>
      </c>
      <c r="B239" s="3">
        <f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>0</v>
      </c>
      <c r="C239" s="3">
        <f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>0</v>
      </c>
      <c r="D239" s="3">
        <f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>0</v>
      </c>
      <c r="H239">
        <v>0</v>
      </c>
      <c r="I239">
        <v>0</v>
      </c>
      <c r="J239">
        <v>0</v>
      </c>
      <c r="K239">
        <f>IF(L239,TRUE,AND(O239:Q239))</f>
        <v>0</v>
      </c>
      <c r="L239">
        <f>COUNTBLANK(Metadata!B239:D239)=COLUMNS(Metadata!B239:D239)</f>
        <v>0</v>
      </c>
      <c r="M239">
        <v>0</v>
      </c>
      <c r="O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>
        <f>AND(IF(Metadata!C239="",FALSE,TRUE),exact(Metadata!C239,"rat metagenome"))</f>
        <v>0</v>
      </c>
      <c r="Q239">
        <f>AND(IF(Metadata!D239="",FALSE,TRUE),exact(Metadata!D239,"1427740"))</f>
        <v>0</v>
      </c>
    </row>
    <row r="240" spans="1:17">
      <c r="A240" s="4">
        <f>IF(B240=" "," ",HYPERLINK(CONCATENATE("#metadata!",ADDRESS(INDEX($J$2:$J$1001,MATCH(ROWS($H$2:H240),$H$2:$H$1001,0),0),1)),INDEX($M$2:$M$1001,MATCH(ROWS($H$2:H240),$H$2:$H$1001,0),0)))</f>
        <v>0</v>
      </c>
      <c r="B240" s="3">
        <f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>0</v>
      </c>
      <c r="C240" s="3">
        <f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>0</v>
      </c>
      <c r="D240" s="3">
        <f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>0</v>
      </c>
      <c r="H240">
        <v>0</v>
      </c>
      <c r="I240">
        <v>0</v>
      </c>
      <c r="J240">
        <v>0</v>
      </c>
      <c r="K240">
        <f>IF(L240,TRUE,AND(O240:Q240))</f>
        <v>0</v>
      </c>
      <c r="L240">
        <f>COUNTBLANK(Metadata!B240:D240)=COLUMNS(Metadata!B240:D240)</f>
        <v>0</v>
      </c>
      <c r="M240">
        <v>0</v>
      </c>
      <c r="O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>
        <f>AND(IF(Metadata!C240="",FALSE,TRUE),exact(Metadata!C240,"rat metagenome"))</f>
        <v>0</v>
      </c>
      <c r="Q240">
        <f>AND(IF(Metadata!D240="",FALSE,TRUE),exact(Metadata!D240,"1427740"))</f>
        <v>0</v>
      </c>
    </row>
    <row r="241" spans="1:17">
      <c r="A241" s="4">
        <f>IF(B241=" "," ",HYPERLINK(CONCATENATE("#metadata!",ADDRESS(INDEX($J$2:$J$1001,MATCH(ROWS($H$2:H241),$H$2:$H$1001,0),0),1)),INDEX($M$2:$M$1001,MATCH(ROWS($H$2:H241),$H$2:$H$1001,0),0)))</f>
        <v>0</v>
      </c>
      <c r="B241" s="3">
        <f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>0</v>
      </c>
      <c r="C241" s="3">
        <f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>0</v>
      </c>
      <c r="D241" s="3">
        <f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>0</v>
      </c>
      <c r="H241">
        <v>0</v>
      </c>
      <c r="I241">
        <v>0</v>
      </c>
      <c r="J241">
        <v>0</v>
      </c>
      <c r="K241">
        <f>IF(L241,TRUE,AND(O241:Q241))</f>
        <v>0</v>
      </c>
      <c r="L241">
        <f>COUNTBLANK(Metadata!B241:D241)=COLUMNS(Metadata!B241:D241)</f>
        <v>0</v>
      </c>
      <c r="M241">
        <v>0</v>
      </c>
      <c r="O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>
        <f>AND(IF(Metadata!C241="",FALSE,TRUE),exact(Metadata!C241,"rat metagenome"))</f>
        <v>0</v>
      </c>
      <c r="Q241">
        <f>AND(IF(Metadata!D241="",FALSE,TRUE),exact(Metadata!D241,"1427740"))</f>
        <v>0</v>
      </c>
    </row>
    <row r="242" spans="1:17">
      <c r="A242" s="4">
        <f>IF(B242=" "," ",HYPERLINK(CONCATENATE("#metadata!",ADDRESS(INDEX($J$2:$J$1001,MATCH(ROWS($H$2:H242),$H$2:$H$1001,0),0),1)),INDEX($M$2:$M$1001,MATCH(ROWS($H$2:H242),$H$2:$H$1001,0),0)))</f>
        <v>0</v>
      </c>
      <c r="B242" s="3">
        <f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>0</v>
      </c>
      <c r="C242" s="3">
        <f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>0</v>
      </c>
      <c r="D242" s="3">
        <f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>0</v>
      </c>
      <c r="H242">
        <v>0</v>
      </c>
      <c r="I242">
        <v>0</v>
      </c>
      <c r="J242">
        <v>0</v>
      </c>
      <c r="K242">
        <f>IF(L242,TRUE,AND(O242:Q242))</f>
        <v>0</v>
      </c>
      <c r="L242">
        <f>COUNTBLANK(Metadata!B242:D242)=COLUMNS(Metadata!B242:D242)</f>
        <v>0</v>
      </c>
      <c r="M242">
        <v>0</v>
      </c>
      <c r="O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>
        <f>AND(IF(Metadata!C242="",FALSE,TRUE),exact(Metadata!C242,"rat metagenome"))</f>
        <v>0</v>
      </c>
      <c r="Q242">
        <f>AND(IF(Metadata!D242="",FALSE,TRUE),exact(Metadata!D242,"1427740"))</f>
        <v>0</v>
      </c>
    </row>
    <row r="243" spans="1:17">
      <c r="A243" s="4">
        <f>IF(B243=" "," ",HYPERLINK(CONCATENATE("#metadata!",ADDRESS(INDEX($J$2:$J$1001,MATCH(ROWS($H$2:H243),$H$2:$H$1001,0),0),1)),INDEX($M$2:$M$1001,MATCH(ROWS($H$2:H243),$H$2:$H$1001,0),0)))</f>
        <v>0</v>
      </c>
      <c r="B243" s="3">
        <f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>0</v>
      </c>
      <c r="C243" s="3">
        <f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>0</v>
      </c>
      <c r="D243" s="3">
        <f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>0</v>
      </c>
      <c r="H243">
        <v>0</v>
      </c>
      <c r="I243">
        <v>0</v>
      </c>
      <c r="J243">
        <v>0</v>
      </c>
      <c r="K243">
        <f>IF(L243,TRUE,AND(O243:Q243))</f>
        <v>0</v>
      </c>
      <c r="L243">
        <f>COUNTBLANK(Metadata!B243:D243)=COLUMNS(Metadata!B243:D243)</f>
        <v>0</v>
      </c>
      <c r="M243">
        <v>0</v>
      </c>
      <c r="O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>
        <f>AND(IF(Metadata!C243="",FALSE,TRUE),exact(Metadata!C243,"rat metagenome"))</f>
        <v>0</v>
      </c>
      <c r="Q243">
        <f>AND(IF(Metadata!D243="",FALSE,TRUE),exact(Metadata!D243,"1427740"))</f>
        <v>0</v>
      </c>
    </row>
    <row r="244" spans="1:17">
      <c r="A244" s="4">
        <f>IF(B244=" "," ",HYPERLINK(CONCATENATE("#metadata!",ADDRESS(INDEX($J$2:$J$1001,MATCH(ROWS($H$2:H244),$H$2:$H$1001,0),0),1)),INDEX($M$2:$M$1001,MATCH(ROWS($H$2:H244),$H$2:$H$1001,0),0)))</f>
        <v>0</v>
      </c>
      <c r="B244" s="3">
        <f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>0</v>
      </c>
      <c r="C244" s="3">
        <f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>0</v>
      </c>
      <c r="D244" s="3">
        <f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>0</v>
      </c>
      <c r="H244">
        <v>0</v>
      </c>
      <c r="I244">
        <v>0</v>
      </c>
      <c r="J244">
        <v>0</v>
      </c>
      <c r="K244">
        <f>IF(L244,TRUE,AND(O244:Q244))</f>
        <v>0</v>
      </c>
      <c r="L244">
        <f>COUNTBLANK(Metadata!B244:D244)=COLUMNS(Metadata!B244:D244)</f>
        <v>0</v>
      </c>
      <c r="M244">
        <v>0</v>
      </c>
      <c r="O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>
        <f>AND(IF(Metadata!C244="",FALSE,TRUE),exact(Metadata!C244,"rat metagenome"))</f>
        <v>0</v>
      </c>
      <c r="Q244">
        <f>AND(IF(Metadata!D244="",FALSE,TRUE),exact(Metadata!D244,"1427740"))</f>
        <v>0</v>
      </c>
    </row>
    <row r="245" spans="1:17">
      <c r="A245" s="4">
        <f>IF(B245=" "," ",HYPERLINK(CONCATENATE("#metadata!",ADDRESS(INDEX($J$2:$J$1001,MATCH(ROWS($H$2:H245),$H$2:$H$1001,0),0),1)),INDEX($M$2:$M$1001,MATCH(ROWS($H$2:H245),$H$2:$H$1001,0),0)))</f>
        <v>0</v>
      </c>
      <c r="B245" s="3">
        <f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>0</v>
      </c>
      <c r="C245" s="3">
        <f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>0</v>
      </c>
      <c r="D245" s="3">
        <f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>0</v>
      </c>
      <c r="H245">
        <v>0</v>
      </c>
      <c r="I245">
        <v>0</v>
      </c>
      <c r="J245">
        <v>0</v>
      </c>
      <c r="K245">
        <f>IF(L245,TRUE,AND(O245:Q245))</f>
        <v>0</v>
      </c>
      <c r="L245">
        <f>COUNTBLANK(Metadata!B245:D245)=COLUMNS(Metadata!B245:D245)</f>
        <v>0</v>
      </c>
      <c r="M245">
        <v>0</v>
      </c>
      <c r="O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>
        <f>AND(IF(Metadata!C245="",FALSE,TRUE),exact(Metadata!C245,"rat metagenome"))</f>
        <v>0</v>
      </c>
      <c r="Q245">
        <f>AND(IF(Metadata!D245="",FALSE,TRUE),exact(Metadata!D245,"1427740"))</f>
        <v>0</v>
      </c>
    </row>
    <row r="246" spans="1:17">
      <c r="A246" s="4">
        <f>IF(B246=" "," ",HYPERLINK(CONCATENATE("#metadata!",ADDRESS(INDEX($J$2:$J$1001,MATCH(ROWS($H$2:H246),$H$2:$H$1001,0),0),1)),INDEX($M$2:$M$1001,MATCH(ROWS($H$2:H246),$H$2:$H$1001,0),0)))</f>
        <v>0</v>
      </c>
      <c r="B246" s="3">
        <f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>0</v>
      </c>
      <c r="C246" s="3">
        <f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>0</v>
      </c>
      <c r="D246" s="3">
        <f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>0</v>
      </c>
      <c r="H246">
        <v>0</v>
      </c>
      <c r="I246">
        <v>0</v>
      </c>
      <c r="J246">
        <v>0</v>
      </c>
      <c r="K246">
        <f>IF(L246,TRUE,AND(O246:Q246))</f>
        <v>0</v>
      </c>
      <c r="L246">
        <f>COUNTBLANK(Metadata!B246:D246)=COLUMNS(Metadata!B246:D246)</f>
        <v>0</v>
      </c>
      <c r="M246">
        <v>0</v>
      </c>
      <c r="O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>
        <f>AND(IF(Metadata!C246="",FALSE,TRUE),exact(Metadata!C246,"rat metagenome"))</f>
        <v>0</v>
      </c>
      <c r="Q246">
        <f>AND(IF(Metadata!D246="",FALSE,TRUE),exact(Metadata!D246,"1427740"))</f>
        <v>0</v>
      </c>
    </row>
    <row r="247" spans="1:17">
      <c r="A247" s="4">
        <f>IF(B247=" "," ",HYPERLINK(CONCATENATE("#metadata!",ADDRESS(INDEX($J$2:$J$1001,MATCH(ROWS($H$2:H247),$H$2:$H$1001,0),0),1)),INDEX($M$2:$M$1001,MATCH(ROWS($H$2:H247),$H$2:$H$1001,0),0)))</f>
        <v>0</v>
      </c>
      <c r="B247" s="3">
        <f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>0</v>
      </c>
      <c r="C247" s="3">
        <f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>0</v>
      </c>
      <c r="D247" s="3">
        <f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>0</v>
      </c>
      <c r="H247">
        <v>0</v>
      </c>
      <c r="I247">
        <v>0</v>
      </c>
      <c r="J247">
        <v>0</v>
      </c>
      <c r="K247">
        <f>IF(L247,TRUE,AND(O247:Q247))</f>
        <v>0</v>
      </c>
      <c r="L247">
        <f>COUNTBLANK(Metadata!B247:D247)=COLUMNS(Metadata!B247:D247)</f>
        <v>0</v>
      </c>
      <c r="M247">
        <v>0</v>
      </c>
      <c r="O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>
        <f>AND(IF(Metadata!C247="",FALSE,TRUE),exact(Metadata!C247,"rat metagenome"))</f>
        <v>0</v>
      </c>
      <c r="Q247">
        <f>AND(IF(Metadata!D247="",FALSE,TRUE),exact(Metadata!D247,"1427740"))</f>
        <v>0</v>
      </c>
    </row>
    <row r="248" spans="1:17">
      <c r="A248" s="4">
        <f>IF(B248=" "," ",HYPERLINK(CONCATENATE("#metadata!",ADDRESS(INDEX($J$2:$J$1001,MATCH(ROWS($H$2:H248),$H$2:$H$1001,0),0),1)),INDEX($M$2:$M$1001,MATCH(ROWS($H$2:H248),$H$2:$H$1001,0),0)))</f>
        <v>0</v>
      </c>
      <c r="B248" s="3">
        <f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>0</v>
      </c>
      <c r="C248" s="3">
        <f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>0</v>
      </c>
      <c r="D248" s="3">
        <f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>0</v>
      </c>
      <c r="H248">
        <v>0</v>
      </c>
      <c r="I248">
        <v>0</v>
      </c>
      <c r="J248">
        <v>0</v>
      </c>
      <c r="K248">
        <f>IF(L248,TRUE,AND(O248:Q248))</f>
        <v>0</v>
      </c>
      <c r="L248">
        <f>COUNTBLANK(Metadata!B248:D248)=COLUMNS(Metadata!B248:D248)</f>
        <v>0</v>
      </c>
      <c r="M248">
        <v>0</v>
      </c>
      <c r="O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>
        <f>AND(IF(Metadata!C248="",FALSE,TRUE),exact(Metadata!C248,"rat metagenome"))</f>
        <v>0</v>
      </c>
      <c r="Q248">
        <f>AND(IF(Metadata!D248="",FALSE,TRUE),exact(Metadata!D248,"1427740"))</f>
        <v>0</v>
      </c>
    </row>
    <row r="249" spans="1:17">
      <c r="A249" s="4">
        <f>IF(B249=" "," ",HYPERLINK(CONCATENATE("#metadata!",ADDRESS(INDEX($J$2:$J$1001,MATCH(ROWS($H$2:H249),$H$2:$H$1001,0),0),1)),INDEX($M$2:$M$1001,MATCH(ROWS($H$2:H249),$H$2:$H$1001,0),0)))</f>
        <v>0</v>
      </c>
      <c r="B249" s="3">
        <f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>0</v>
      </c>
      <c r="C249" s="3">
        <f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>0</v>
      </c>
      <c r="D249" s="3">
        <f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>0</v>
      </c>
      <c r="H249">
        <v>0</v>
      </c>
      <c r="I249">
        <v>0</v>
      </c>
      <c r="J249">
        <v>0</v>
      </c>
      <c r="K249">
        <f>IF(L249,TRUE,AND(O249:Q249))</f>
        <v>0</v>
      </c>
      <c r="L249">
        <f>COUNTBLANK(Metadata!B249:D249)=COLUMNS(Metadata!B249:D249)</f>
        <v>0</v>
      </c>
      <c r="M249">
        <v>0</v>
      </c>
      <c r="O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>
        <f>AND(IF(Metadata!C249="",FALSE,TRUE),exact(Metadata!C249,"rat metagenome"))</f>
        <v>0</v>
      </c>
      <c r="Q249">
        <f>AND(IF(Metadata!D249="",FALSE,TRUE),exact(Metadata!D249,"1427740"))</f>
        <v>0</v>
      </c>
    </row>
    <row r="250" spans="1:17">
      <c r="A250" s="4">
        <f>IF(B250=" "," ",HYPERLINK(CONCATENATE("#metadata!",ADDRESS(INDEX($J$2:$J$1001,MATCH(ROWS($H$2:H250),$H$2:$H$1001,0),0),1)),INDEX($M$2:$M$1001,MATCH(ROWS($H$2:H250),$H$2:$H$1001,0),0)))</f>
        <v>0</v>
      </c>
      <c r="B250" s="3">
        <f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>0</v>
      </c>
      <c r="C250" s="3">
        <f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>0</v>
      </c>
      <c r="D250" s="3">
        <f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>0</v>
      </c>
      <c r="H250">
        <v>0</v>
      </c>
      <c r="I250">
        <v>0</v>
      </c>
      <c r="J250">
        <v>0</v>
      </c>
      <c r="K250">
        <f>IF(L250,TRUE,AND(O250:Q250))</f>
        <v>0</v>
      </c>
      <c r="L250">
        <f>COUNTBLANK(Metadata!B250:D250)=COLUMNS(Metadata!B250:D250)</f>
        <v>0</v>
      </c>
      <c r="M250">
        <v>0</v>
      </c>
      <c r="O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>
        <f>AND(IF(Metadata!C250="",FALSE,TRUE),exact(Metadata!C250,"rat metagenome"))</f>
        <v>0</v>
      </c>
      <c r="Q250">
        <f>AND(IF(Metadata!D250="",FALSE,TRUE),exact(Metadata!D250,"1427740"))</f>
        <v>0</v>
      </c>
    </row>
    <row r="251" spans="1:17">
      <c r="A251" s="4">
        <f>IF(B251=" "," ",HYPERLINK(CONCATENATE("#metadata!",ADDRESS(INDEX($J$2:$J$1001,MATCH(ROWS($H$2:H251),$H$2:$H$1001,0),0),1)),INDEX($M$2:$M$1001,MATCH(ROWS($H$2:H251),$H$2:$H$1001,0),0)))</f>
        <v>0</v>
      </c>
      <c r="B251" s="3">
        <f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>0</v>
      </c>
      <c r="C251" s="3">
        <f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>0</v>
      </c>
      <c r="D251" s="3">
        <f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>0</v>
      </c>
      <c r="H251">
        <v>0</v>
      </c>
      <c r="I251">
        <v>0</v>
      </c>
      <c r="J251">
        <v>0</v>
      </c>
      <c r="K251">
        <f>IF(L251,TRUE,AND(O251:Q251))</f>
        <v>0</v>
      </c>
      <c r="L251">
        <f>COUNTBLANK(Metadata!B251:D251)=COLUMNS(Metadata!B251:D251)</f>
        <v>0</v>
      </c>
      <c r="M251">
        <v>0</v>
      </c>
      <c r="O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>
        <f>AND(IF(Metadata!C251="",FALSE,TRUE),exact(Metadata!C251,"rat metagenome"))</f>
        <v>0</v>
      </c>
      <c r="Q251">
        <f>AND(IF(Metadata!D251="",FALSE,TRUE),exact(Metadata!D251,"1427740"))</f>
        <v>0</v>
      </c>
    </row>
    <row r="252" spans="1:17">
      <c r="A252" s="4">
        <f>IF(B252=" "," ",HYPERLINK(CONCATENATE("#metadata!",ADDRESS(INDEX($J$2:$J$1001,MATCH(ROWS($H$2:H252),$H$2:$H$1001,0),0),1)),INDEX($M$2:$M$1001,MATCH(ROWS($H$2:H252),$H$2:$H$1001,0),0)))</f>
        <v>0</v>
      </c>
      <c r="B252" s="3">
        <f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>0</v>
      </c>
      <c r="C252" s="3">
        <f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>0</v>
      </c>
      <c r="D252" s="3">
        <f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>0</v>
      </c>
      <c r="H252">
        <v>0</v>
      </c>
      <c r="I252">
        <v>0</v>
      </c>
      <c r="J252">
        <v>0</v>
      </c>
      <c r="K252">
        <f>IF(L252,TRUE,AND(O252:Q252))</f>
        <v>0</v>
      </c>
      <c r="L252">
        <f>COUNTBLANK(Metadata!B252:D252)=COLUMNS(Metadata!B252:D252)</f>
        <v>0</v>
      </c>
      <c r="M252">
        <v>0</v>
      </c>
      <c r="O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>
        <f>AND(IF(Metadata!C252="",FALSE,TRUE),exact(Metadata!C252,"rat metagenome"))</f>
        <v>0</v>
      </c>
      <c r="Q252">
        <f>AND(IF(Metadata!D252="",FALSE,TRUE),exact(Metadata!D252,"1427740"))</f>
        <v>0</v>
      </c>
    </row>
    <row r="253" spans="1:17">
      <c r="A253" s="4">
        <f>IF(B253=" "," ",HYPERLINK(CONCATENATE("#metadata!",ADDRESS(INDEX($J$2:$J$1001,MATCH(ROWS($H$2:H253),$H$2:$H$1001,0),0),1)),INDEX($M$2:$M$1001,MATCH(ROWS($H$2:H253),$H$2:$H$1001,0),0)))</f>
        <v>0</v>
      </c>
      <c r="B253" s="3">
        <f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>0</v>
      </c>
      <c r="C253" s="3">
        <f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>0</v>
      </c>
      <c r="D253" s="3">
        <f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>0</v>
      </c>
      <c r="H253">
        <v>0</v>
      </c>
      <c r="I253">
        <v>0</v>
      </c>
      <c r="J253">
        <v>0</v>
      </c>
      <c r="K253">
        <f>IF(L253,TRUE,AND(O253:Q253))</f>
        <v>0</v>
      </c>
      <c r="L253">
        <f>COUNTBLANK(Metadata!B253:D253)=COLUMNS(Metadata!B253:D253)</f>
        <v>0</v>
      </c>
      <c r="M253">
        <v>0</v>
      </c>
      <c r="O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>
        <f>AND(IF(Metadata!C253="",FALSE,TRUE),exact(Metadata!C253,"rat metagenome"))</f>
        <v>0</v>
      </c>
      <c r="Q253">
        <f>AND(IF(Metadata!D253="",FALSE,TRUE),exact(Metadata!D253,"1427740"))</f>
        <v>0</v>
      </c>
    </row>
    <row r="254" spans="1:17">
      <c r="A254" s="4">
        <f>IF(B254=" "," ",HYPERLINK(CONCATENATE("#metadata!",ADDRESS(INDEX($J$2:$J$1001,MATCH(ROWS($H$2:H254),$H$2:$H$1001,0),0),1)),INDEX($M$2:$M$1001,MATCH(ROWS($H$2:H254),$H$2:$H$1001,0),0)))</f>
        <v>0</v>
      </c>
      <c r="B254" s="3">
        <f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>0</v>
      </c>
      <c r="C254" s="3">
        <f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>0</v>
      </c>
      <c r="D254" s="3">
        <f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>0</v>
      </c>
      <c r="H254">
        <v>0</v>
      </c>
      <c r="I254">
        <v>0</v>
      </c>
      <c r="J254">
        <v>0</v>
      </c>
      <c r="K254">
        <f>IF(L254,TRUE,AND(O254:Q254))</f>
        <v>0</v>
      </c>
      <c r="L254">
        <f>COUNTBLANK(Metadata!B254:D254)=COLUMNS(Metadata!B254:D254)</f>
        <v>0</v>
      </c>
      <c r="M254">
        <v>0</v>
      </c>
      <c r="O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>
        <f>AND(IF(Metadata!C254="",FALSE,TRUE),exact(Metadata!C254,"rat metagenome"))</f>
        <v>0</v>
      </c>
      <c r="Q254">
        <f>AND(IF(Metadata!D254="",FALSE,TRUE),exact(Metadata!D254,"1427740"))</f>
        <v>0</v>
      </c>
    </row>
    <row r="255" spans="1:17">
      <c r="A255" s="4">
        <f>IF(B255=" "," ",HYPERLINK(CONCATENATE("#metadata!",ADDRESS(INDEX($J$2:$J$1001,MATCH(ROWS($H$2:H255),$H$2:$H$1001,0),0),1)),INDEX($M$2:$M$1001,MATCH(ROWS($H$2:H255),$H$2:$H$1001,0),0)))</f>
        <v>0</v>
      </c>
      <c r="B255" s="3">
        <f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>0</v>
      </c>
      <c r="C255" s="3">
        <f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>0</v>
      </c>
      <c r="D255" s="3">
        <f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>0</v>
      </c>
      <c r="H255">
        <v>0</v>
      </c>
      <c r="I255">
        <v>0</v>
      </c>
      <c r="J255">
        <v>0</v>
      </c>
      <c r="K255">
        <f>IF(L255,TRUE,AND(O255:Q255))</f>
        <v>0</v>
      </c>
      <c r="L255">
        <f>COUNTBLANK(Metadata!B255:D255)=COLUMNS(Metadata!B255:D255)</f>
        <v>0</v>
      </c>
      <c r="M255">
        <v>0</v>
      </c>
      <c r="O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>
        <f>AND(IF(Metadata!C255="",FALSE,TRUE),exact(Metadata!C255,"rat metagenome"))</f>
        <v>0</v>
      </c>
      <c r="Q255">
        <f>AND(IF(Metadata!D255="",FALSE,TRUE),exact(Metadata!D255,"1427740"))</f>
        <v>0</v>
      </c>
    </row>
    <row r="256" spans="1:17">
      <c r="A256" s="4">
        <f>IF(B256=" "," ",HYPERLINK(CONCATENATE("#metadata!",ADDRESS(INDEX($J$2:$J$1001,MATCH(ROWS($H$2:H256),$H$2:$H$1001,0),0),1)),INDEX($M$2:$M$1001,MATCH(ROWS($H$2:H256),$H$2:$H$1001,0),0)))</f>
        <v>0</v>
      </c>
      <c r="B256" s="3">
        <f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>0</v>
      </c>
      <c r="C256" s="3">
        <f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>0</v>
      </c>
      <c r="D256" s="3">
        <f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>0</v>
      </c>
      <c r="H256">
        <v>0</v>
      </c>
      <c r="I256">
        <v>0</v>
      </c>
      <c r="J256">
        <v>0</v>
      </c>
      <c r="K256">
        <f>IF(L256,TRUE,AND(O256:Q256))</f>
        <v>0</v>
      </c>
      <c r="L256">
        <f>COUNTBLANK(Metadata!B256:D256)=COLUMNS(Metadata!B256:D256)</f>
        <v>0</v>
      </c>
      <c r="M256">
        <v>0</v>
      </c>
      <c r="O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>
        <f>AND(IF(Metadata!C256="",FALSE,TRUE),exact(Metadata!C256,"rat metagenome"))</f>
        <v>0</v>
      </c>
      <c r="Q256">
        <f>AND(IF(Metadata!D256="",FALSE,TRUE),exact(Metadata!D256,"1427740"))</f>
        <v>0</v>
      </c>
    </row>
    <row r="257" spans="1:17">
      <c r="A257" s="4">
        <f>IF(B257=" "," ",HYPERLINK(CONCATENATE("#metadata!",ADDRESS(INDEX($J$2:$J$1001,MATCH(ROWS($H$2:H257),$H$2:$H$1001,0),0),1)),INDEX($M$2:$M$1001,MATCH(ROWS($H$2:H257),$H$2:$H$1001,0),0)))</f>
        <v>0</v>
      </c>
      <c r="B257" s="3">
        <f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>0</v>
      </c>
      <c r="C257" s="3">
        <f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>0</v>
      </c>
      <c r="D257" s="3">
        <f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>0</v>
      </c>
      <c r="H257">
        <v>0</v>
      </c>
      <c r="I257">
        <v>0</v>
      </c>
      <c r="J257">
        <v>0</v>
      </c>
      <c r="K257">
        <f>IF(L257,TRUE,AND(O257:Q257))</f>
        <v>0</v>
      </c>
      <c r="L257">
        <f>COUNTBLANK(Metadata!B257:D257)=COLUMNS(Metadata!B257:D257)</f>
        <v>0</v>
      </c>
      <c r="M257">
        <v>0</v>
      </c>
      <c r="O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>
        <f>AND(IF(Metadata!C257="",FALSE,TRUE),exact(Metadata!C257,"rat metagenome"))</f>
        <v>0</v>
      </c>
      <c r="Q257">
        <f>AND(IF(Metadata!D257="",FALSE,TRUE),exact(Metadata!D257,"1427740"))</f>
        <v>0</v>
      </c>
    </row>
    <row r="258" spans="1:17">
      <c r="A258" s="4">
        <f>IF(B258=" "," ",HYPERLINK(CONCATENATE("#metadata!",ADDRESS(INDEX($J$2:$J$1001,MATCH(ROWS($H$2:H258),$H$2:$H$1001,0),0),1)),INDEX($M$2:$M$1001,MATCH(ROWS($H$2:H258),$H$2:$H$1001,0),0)))</f>
        <v>0</v>
      </c>
      <c r="B258" s="3">
        <f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>0</v>
      </c>
      <c r="C258" s="3">
        <f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>0</v>
      </c>
      <c r="D258" s="3">
        <f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>0</v>
      </c>
      <c r="H258">
        <v>0</v>
      </c>
      <c r="I258">
        <v>0</v>
      </c>
      <c r="J258">
        <v>0</v>
      </c>
      <c r="K258">
        <f>IF(L258,TRUE,AND(O258:Q258))</f>
        <v>0</v>
      </c>
      <c r="L258">
        <f>COUNTBLANK(Metadata!B258:D258)=COLUMNS(Metadata!B258:D258)</f>
        <v>0</v>
      </c>
      <c r="M258">
        <v>0</v>
      </c>
      <c r="O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>
        <f>AND(IF(Metadata!C258="",FALSE,TRUE),exact(Metadata!C258,"rat metagenome"))</f>
        <v>0</v>
      </c>
      <c r="Q258">
        <f>AND(IF(Metadata!D258="",FALSE,TRUE),exact(Metadata!D258,"1427740"))</f>
        <v>0</v>
      </c>
    </row>
    <row r="259" spans="1:17">
      <c r="A259" s="4">
        <f>IF(B259=" "," ",HYPERLINK(CONCATENATE("#metadata!",ADDRESS(INDEX($J$2:$J$1001,MATCH(ROWS($H$2:H259),$H$2:$H$1001,0),0),1)),INDEX($M$2:$M$1001,MATCH(ROWS($H$2:H259),$H$2:$H$1001,0),0)))</f>
        <v>0</v>
      </c>
      <c r="B259" s="3">
        <f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>0</v>
      </c>
      <c r="C259" s="3">
        <f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>0</v>
      </c>
      <c r="D259" s="3">
        <f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>0</v>
      </c>
      <c r="H259">
        <v>0</v>
      </c>
      <c r="I259">
        <v>0</v>
      </c>
      <c r="J259">
        <v>0</v>
      </c>
      <c r="K259">
        <f>IF(L259,TRUE,AND(O259:Q259))</f>
        <v>0</v>
      </c>
      <c r="L259">
        <f>COUNTBLANK(Metadata!B259:D259)=COLUMNS(Metadata!B259:D259)</f>
        <v>0</v>
      </c>
      <c r="M259">
        <v>0</v>
      </c>
      <c r="O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>
        <f>AND(IF(Metadata!C259="",FALSE,TRUE),exact(Metadata!C259,"rat metagenome"))</f>
        <v>0</v>
      </c>
      <c r="Q259">
        <f>AND(IF(Metadata!D259="",FALSE,TRUE),exact(Metadata!D259,"1427740"))</f>
        <v>0</v>
      </c>
    </row>
    <row r="260" spans="1:17">
      <c r="A260" s="4">
        <f>IF(B260=" "," ",HYPERLINK(CONCATENATE("#metadata!",ADDRESS(INDEX($J$2:$J$1001,MATCH(ROWS($H$2:H260),$H$2:$H$1001,0),0),1)),INDEX($M$2:$M$1001,MATCH(ROWS($H$2:H260),$H$2:$H$1001,0),0)))</f>
        <v>0</v>
      </c>
      <c r="B260" s="3">
        <f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>0</v>
      </c>
      <c r="C260" s="3">
        <f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>0</v>
      </c>
      <c r="D260" s="3">
        <f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>0</v>
      </c>
      <c r="H260">
        <v>0</v>
      </c>
      <c r="I260">
        <v>0</v>
      </c>
      <c r="J260">
        <v>0</v>
      </c>
      <c r="K260">
        <f>IF(L260,TRUE,AND(O260:Q260))</f>
        <v>0</v>
      </c>
      <c r="L260">
        <f>COUNTBLANK(Metadata!B260:D260)=COLUMNS(Metadata!B260:D260)</f>
        <v>0</v>
      </c>
      <c r="M260">
        <v>0</v>
      </c>
      <c r="O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>
        <f>AND(IF(Metadata!C260="",FALSE,TRUE),exact(Metadata!C260,"rat metagenome"))</f>
        <v>0</v>
      </c>
      <c r="Q260">
        <f>AND(IF(Metadata!D260="",FALSE,TRUE),exact(Metadata!D260,"1427740"))</f>
        <v>0</v>
      </c>
    </row>
    <row r="261" spans="1:17">
      <c r="A261" s="4">
        <f>IF(B261=" "," ",HYPERLINK(CONCATENATE("#metadata!",ADDRESS(INDEX($J$2:$J$1001,MATCH(ROWS($H$2:H261),$H$2:$H$1001,0),0),1)),INDEX($M$2:$M$1001,MATCH(ROWS($H$2:H261),$H$2:$H$1001,0),0)))</f>
        <v>0</v>
      </c>
      <c r="B261" s="3">
        <f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>0</v>
      </c>
      <c r="C261" s="3">
        <f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>0</v>
      </c>
      <c r="D261" s="3">
        <f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>0</v>
      </c>
      <c r="H261">
        <v>0</v>
      </c>
      <c r="I261">
        <v>0</v>
      </c>
      <c r="J261">
        <v>0</v>
      </c>
      <c r="K261">
        <f>IF(L261,TRUE,AND(O261:Q261))</f>
        <v>0</v>
      </c>
      <c r="L261">
        <f>COUNTBLANK(Metadata!B261:D261)=COLUMNS(Metadata!B261:D261)</f>
        <v>0</v>
      </c>
      <c r="M261">
        <v>0</v>
      </c>
      <c r="O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>
        <f>AND(IF(Metadata!C261="",FALSE,TRUE),exact(Metadata!C261,"rat metagenome"))</f>
        <v>0</v>
      </c>
      <c r="Q261">
        <f>AND(IF(Metadata!D261="",FALSE,TRUE),exact(Metadata!D261,"1427740"))</f>
        <v>0</v>
      </c>
    </row>
    <row r="262" spans="1:17">
      <c r="A262" s="4">
        <f>IF(B262=" "," ",HYPERLINK(CONCATENATE("#metadata!",ADDRESS(INDEX($J$2:$J$1001,MATCH(ROWS($H$2:H262),$H$2:$H$1001,0),0),1)),INDEX($M$2:$M$1001,MATCH(ROWS($H$2:H262),$H$2:$H$1001,0),0)))</f>
        <v>0</v>
      </c>
      <c r="B262" s="3">
        <f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>0</v>
      </c>
      <c r="C262" s="3">
        <f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>0</v>
      </c>
      <c r="D262" s="3">
        <f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>0</v>
      </c>
      <c r="H262">
        <v>0</v>
      </c>
      <c r="I262">
        <v>0</v>
      </c>
      <c r="J262">
        <v>0</v>
      </c>
      <c r="K262">
        <f>IF(L262,TRUE,AND(O262:Q262))</f>
        <v>0</v>
      </c>
      <c r="L262">
        <f>COUNTBLANK(Metadata!B262:D262)=COLUMNS(Metadata!B262:D262)</f>
        <v>0</v>
      </c>
      <c r="M262">
        <v>0</v>
      </c>
      <c r="O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>
        <f>AND(IF(Metadata!C262="",FALSE,TRUE),exact(Metadata!C262,"rat metagenome"))</f>
        <v>0</v>
      </c>
      <c r="Q262">
        <f>AND(IF(Metadata!D262="",FALSE,TRUE),exact(Metadata!D262,"1427740"))</f>
        <v>0</v>
      </c>
    </row>
    <row r="263" spans="1:17">
      <c r="A263" s="4">
        <f>IF(B263=" "," ",HYPERLINK(CONCATENATE("#metadata!",ADDRESS(INDEX($J$2:$J$1001,MATCH(ROWS($H$2:H263),$H$2:$H$1001,0),0),1)),INDEX($M$2:$M$1001,MATCH(ROWS($H$2:H263),$H$2:$H$1001,0),0)))</f>
        <v>0</v>
      </c>
      <c r="B263" s="3">
        <f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>0</v>
      </c>
      <c r="C263" s="3">
        <f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>0</v>
      </c>
      <c r="D263" s="3">
        <f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>0</v>
      </c>
      <c r="H263">
        <v>0</v>
      </c>
      <c r="I263">
        <v>0</v>
      </c>
      <c r="J263">
        <v>0</v>
      </c>
      <c r="K263">
        <f>IF(L263,TRUE,AND(O263:Q263))</f>
        <v>0</v>
      </c>
      <c r="L263">
        <f>COUNTBLANK(Metadata!B263:D263)=COLUMNS(Metadata!B263:D263)</f>
        <v>0</v>
      </c>
      <c r="M263">
        <v>0</v>
      </c>
      <c r="O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>
        <f>AND(IF(Metadata!C263="",FALSE,TRUE),exact(Metadata!C263,"rat metagenome"))</f>
        <v>0</v>
      </c>
      <c r="Q263">
        <f>AND(IF(Metadata!D263="",FALSE,TRUE),exact(Metadata!D263,"1427740"))</f>
        <v>0</v>
      </c>
    </row>
    <row r="264" spans="1:17">
      <c r="A264" s="4">
        <f>IF(B264=" "," ",HYPERLINK(CONCATENATE("#metadata!",ADDRESS(INDEX($J$2:$J$1001,MATCH(ROWS($H$2:H264),$H$2:$H$1001,0),0),1)),INDEX($M$2:$M$1001,MATCH(ROWS($H$2:H264),$H$2:$H$1001,0),0)))</f>
        <v>0</v>
      </c>
      <c r="B264" s="3">
        <f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>0</v>
      </c>
      <c r="C264" s="3">
        <f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>0</v>
      </c>
      <c r="D264" s="3">
        <f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>0</v>
      </c>
      <c r="H264">
        <v>0</v>
      </c>
      <c r="I264">
        <v>0</v>
      </c>
      <c r="J264">
        <v>0</v>
      </c>
      <c r="K264">
        <f>IF(L264,TRUE,AND(O264:Q264))</f>
        <v>0</v>
      </c>
      <c r="L264">
        <f>COUNTBLANK(Metadata!B264:D264)=COLUMNS(Metadata!B264:D264)</f>
        <v>0</v>
      </c>
      <c r="M264">
        <v>0</v>
      </c>
      <c r="O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>
        <f>AND(IF(Metadata!C264="",FALSE,TRUE),exact(Metadata!C264,"rat metagenome"))</f>
        <v>0</v>
      </c>
      <c r="Q264">
        <f>AND(IF(Metadata!D264="",FALSE,TRUE),exact(Metadata!D264,"1427740"))</f>
        <v>0</v>
      </c>
    </row>
    <row r="265" spans="1:17">
      <c r="A265" s="4">
        <f>IF(B265=" "," ",HYPERLINK(CONCATENATE("#metadata!",ADDRESS(INDEX($J$2:$J$1001,MATCH(ROWS($H$2:H265),$H$2:$H$1001,0),0),1)),INDEX($M$2:$M$1001,MATCH(ROWS($H$2:H265),$H$2:$H$1001,0),0)))</f>
        <v>0</v>
      </c>
      <c r="B265" s="3">
        <f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>0</v>
      </c>
      <c r="C265" s="3">
        <f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>0</v>
      </c>
      <c r="D265" s="3">
        <f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>0</v>
      </c>
      <c r="H265">
        <v>0</v>
      </c>
      <c r="I265">
        <v>0</v>
      </c>
      <c r="J265">
        <v>0</v>
      </c>
      <c r="K265">
        <f>IF(L265,TRUE,AND(O265:Q265))</f>
        <v>0</v>
      </c>
      <c r="L265">
        <f>COUNTBLANK(Metadata!B265:D265)=COLUMNS(Metadata!B265:D265)</f>
        <v>0</v>
      </c>
      <c r="M265">
        <v>0</v>
      </c>
      <c r="O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>
        <f>AND(IF(Metadata!C265="",FALSE,TRUE),exact(Metadata!C265,"rat metagenome"))</f>
        <v>0</v>
      </c>
      <c r="Q265">
        <f>AND(IF(Metadata!D265="",FALSE,TRUE),exact(Metadata!D265,"1427740"))</f>
        <v>0</v>
      </c>
    </row>
    <row r="266" spans="1:17">
      <c r="A266" s="4">
        <f>IF(B266=" "," ",HYPERLINK(CONCATENATE("#metadata!",ADDRESS(INDEX($J$2:$J$1001,MATCH(ROWS($H$2:H266),$H$2:$H$1001,0),0),1)),INDEX($M$2:$M$1001,MATCH(ROWS($H$2:H266),$H$2:$H$1001,0),0)))</f>
        <v>0</v>
      </c>
      <c r="B266" s="3">
        <f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>0</v>
      </c>
      <c r="C266" s="3">
        <f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>0</v>
      </c>
      <c r="D266" s="3">
        <f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>0</v>
      </c>
      <c r="H266">
        <v>0</v>
      </c>
      <c r="I266">
        <v>0</v>
      </c>
      <c r="J266">
        <v>0</v>
      </c>
      <c r="K266">
        <f>IF(L266,TRUE,AND(O266:Q266))</f>
        <v>0</v>
      </c>
      <c r="L266">
        <f>COUNTBLANK(Metadata!B266:D266)=COLUMNS(Metadata!B266:D266)</f>
        <v>0</v>
      </c>
      <c r="M266">
        <v>0</v>
      </c>
      <c r="O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>
        <f>AND(IF(Metadata!C266="",FALSE,TRUE),exact(Metadata!C266,"rat metagenome"))</f>
        <v>0</v>
      </c>
      <c r="Q266">
        <f>AND(IF(Metadata!D266="",FALSE,TRUE),exact(Metadata!D266,"1427740"))</f>
        <v>0</v>
      </c>
    </row>
    <row r="267" spans="1:17">
      <c r="A267" s="4">
        <f>IF(B267=" "," ",HYPERLINK(CONCATENATE("#metadata!",ADDRESS(INDEX($J$2:$J$1001,MATCH(ROWS($H$2:H267),$H$2:$H$1001,0),0),1)),INDEX($M$2:$M$1001,MATCH(ROWS($H$2:H267),$H$2:$H$1001,0),0)))</f>
        <v>0</v>
      </c>
      <c r="B267" s="3">
        <f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>0</v>
      </c>
      <c r="C267" s="3">
        <f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>0</v>
      </c>
      <c r="D267" s="3">
        <f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>0</v>
      </c>
      <c r="H267">
        <v>0</v>
      </c>
      <c r="I267">
        <v>0</v>
      </c>
      <c r="J267">
        <v>0</v>
      </c>
      <c r="K267">
        <f>IF(L267,TRUE,AND(O267:Q267))</f>
        <v>0</v>
      </c>
      <c r="L267">
        <f>COUNTBLANK(Metadata!B267:D267)=COLUMNS(Metadata!B267:D267)</f>
        <v>0</v>
      </c>
      <c r="M267">
        <v>0</v>
      </c>
      <c r="O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>
        <f>AND(IF(Metadata!C267="",FALSE,TRUE),exact(Metadata!C267,"rat metagenome"))</f>
        <v>0</v>
      </c>
      <c r="Q267">
        <f>AND(IF(Metadata!D267="",FALSE,TRUE),exact(Metadata!D267,"1427740"))</f>
        <v>0</v>
      </c>
    </row>
    <row r="268" spans="1:17">
      <c r="A268" s="4">
        <f>IF(B268=" "," ",HYPERLINK(CONCATENATE("#metadata!",ADDRESS(INDEX($J$2:$J$1001,MATCH(ROWS($H$2:H268),$H$2:$H$1001,0),0),1)),INDEX($M$2:$M$1001,MATCH(ROWS($H$2:H268),$H$2:$H$1001,0),0)))</f>
        <v>0</v>
      </c>
      <c r="B268" s="3">
        <f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>0</v>
      </c>
      <c r="C268" s="3">
        <f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>0</v>
      </c>
      <c r="D268" s="3">
        <f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>0</v>
      </c>
      <c r="H268">
        <v>0</v>
      </c>
      <c r="I268">
        <v>0</v>
      </c>
      <c r="J268">
        <v>0</v>
      </c>
      <c r="K268">
        <f>IF(L268,TRUE,AND(O268:Q268))</f>
        <v>0</v>
      </c>
      <c r="L268">
        <f>COUNTBLANK(Metadata!B268:D268)=COLUMNS(Metadata!B268:D268)</f>
        <v>0</v>
      </c>
      <c r="M268">
        <v>0</v>
      </c>
      <c r="O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>
        <f>AND(IF(Metadata!C268="",FALSE,TRUE),exact(Metadata!C268,"rat metagenome"))</f>
        <v>0</v>
      </c>
      <c r="Q268">
        <f>AND(IF(Metadata!D268="",FALSE,TRUE),exact(Metadata!D268,"1427740"))</f>
        <v>0</v>
      </c>
    </row>
    <row r="269" spans="1:17">
      <c r="A269" s="4">
        <f>IF(B269=" "," ",HYPERLINK(CONCATENATE("#metadata!",ADDRESS(INDEX($J$2:$J$1001,MATCH(ROWS($H$2:H269),$H$2:$H$1001,0),0),1)),INDEX($M$2:$M$1001,MATCH(ROWS($H$2:H269),$H$2:$H$1001,0),0)))</f>
        <v>0</v>
      </c>
      <c r="B269" s="3">
        <f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>0</v>
      </c>
      <c r="C269" s="3">
        <f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>0</v>
      </c>
      <c r="D269" s="3">
        <f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>0</v>
      </c>
      <c r="H269">
        <v>0</v>
      </c>
      <c r="I269">
        <v>0</v>
      </c>
      <c r="J269">
        <v>0</v>
      </c>
      <c r="K269">
        <f>IF(L269,TRUE,AND(O269:Q269))</f>
        <v>0</v>
      </c>
      <c r="L269">
        <f>COUNTBLANK(Metadata!B269:D269)=COLUMNS(Metadata!B269:D269)</f>
        <v>0</v>
      </c>
      <c r="M269">
        <v>0</v>
      </c>
      <c r="O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>
        <f>AND(IF(Metadata!C269="",FALSE,TRUE),exact(Metadata!C269,"rat metagenome"))</f>
        <v>0</v>
      </c>
      <c r="Q269">
        <f>AND(IF(Metadata!D269="",FALSE,TRUE),exact(Metadata!D269,"1427740"))</f>
        <v>0</v>
      </c>
    </row>
    <row r="270" spans="1:17">
      <c r="A270" s="4">
        <f>IF(B270=" "," ",HYPERLINK(CONCATENATE("#metadata!",ADDRESS(INDEX($J$2:$J$1001,MATCH(ROWS($H$2:H270),$H$2:$H$1001,0),0),1)),INDEX($M$2:$M$1001,MATCH(ROWS($H$2:H270),$H$2:$H$1001,0),0)))</f>
        <v>0</v>
      </c>
      <c r="B270" s="3">
        <f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>0</v>
      </c>
      <c r="C270" s="3">
        <f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>0</v>
      </c>
      <c r="D270" s="3">
        <f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>0</v>
      </c>
      <c r="H270">
        <v>0</v>
      </c>
      <c r="I270">
        <v>0</v>
      </c>
      <c r="J270">
        <v>0</v>
      </c>
      <c r="K270">
        <f>IF(L270,TRUE,AND(O270:Q270))</f>
        <v>0</v>
      </c>
      <c r="L270">
        <f>COUNTBLANK(Metadata!B270:D270)=COLUMNS(Metadata!B270:D270)</f>
        <v>0</v>
      </c>
      <c r="M270">
        <v>0</v>
      </c>
      <c r="O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>
        <f>AND(IF(Metadata!C270="",FALSE,TRUE),exact(Metadata!C270,"rat metagenome"))</f>
        <v>0</v>
      </c>
      <c r="Q270">
        <f>AND(IF(Metadata!D270="",FALSE,TRUE),exact(Metadata!D270,"1427740"))</f>
        <v>0</v>
      </c>
    </row>
    <row r="271" spans="1:17">
      <c r="A271" s="4">
        <f>IF(B271=" "," ",HYPERLINK(CONCATENATE("#metadata!",ADDRESS(INDEX($J$2:$J$1001,MATCH(ROWS($H$2:H271),$H$2:$H$1001,0),0),1)),INDEX($M$2:$M$1001,MATCH(ROWS($H$2:H271),$H$2:$H$1001,0),0)))</f>
        <v>0</v>
      </c>
      <c r="B271" s="3">
        <f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>0</v>
      </c>
      <c r="C271" s="3">
        <f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>0</v>
      </c>
      <c r="D271" s="3">
        <f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>0</v>
      </c>
      <c r="H271">
        <v>0</v>
      </c>
      <c r="I271">
        <v>0</v>
      </c>
      <c r="J271">
        <v>0</v>
      </c>
      <c r="K271">
        <f>IF(L271,TRUE,AND(O271:Q271))</f>
        <v>0</v>
      </c>
      <c r="L271">
        <f>COUNTBLANK(Metadata!B271:D271)=COLUMNS(Metadata!B271:D271)</f>
        <v>0</v>
      </c>
      <c r="M271">
        <v>0</v>
      </c>
      <c r="O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>
        <f>AND(IF(Metadata!C271="",FALSE,TRUE),exact(Metadata!C271,"rat metagenome"))</f>
        <v>0</v>
      </c>
      <c r="Q271">
        <f>AND(IF(Metadata!D271="",FALSE,TRUE),exact(Metadata!D271,"1427740"))</f>
        <v>0</v>
      </c>
    </row>
    <row r="272" spans="1:17">
      <c r="A272" s="4">
        <f>IF(B272=" "," ",HYPERLINK(CONCATENATE("#metadata!",ADDRESS(INDEX($J$2:$J$1001,MATCH(ROWS($H$2:H272),$H$2:$H$1001,0),0),1)),INDEX($M$2:$M$1001,MATCH(ROWS($H$2:H272),$H$2:$H$1001,0),0)))</f>
        <v>0</v>
      </c>
      <c r="B272" s="3">
        <f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>0</v>
      </c>
      <c r="C272" s="3">
        <f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>0</v>
      </c>
      <c r="D272" s="3">
        <f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>0</v>
      </c>
      <c r="H272">
        <v>0</v>
      </c>
      <c r="I272">
        <v>0</v>
      </c>
      <c r="J272">
        <v>0</v>
      </c>
      <c r="K272">
        <f>IF(L272,TRUE,AND(O272:Q272))</f>
        <v>0</v>
      </c>
      <c r="L272">
        <f>COUNTBLANK(Metadata!B272:D272)=COLUMNS(Metadata!B272:D272)</f>
        <v>0</v>
      </c>
      <c r="M272">
        <v>0</v>
      </c>
      <c r="O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>
        <f>AND(IF(Metadata!C272="",FALSE,TRUE),exact(Metadata!C272,"rat metagenome"))</f>
        <v>0</v>
      </c>
      <c r="Q272">
        <f>AND(IF(Metadata!D272="",FALSE,TRUE),exact(Metadata!D272,"1427740"))</f>
        <v>0</v>
      </c>
    </row>
    <row r="273" spans="1:17">
      <c r="A273" s="4">
        <f>IF(B273=" "," ",HYPERLINK(CONCATENATE("#metadata!",ADDRESS(INDEX($J$2:$J$1001,MATCH(ROWS($H$2:H273),$H$2:$H$1001,0),0),1)),INDEX($M$2:$M$1001,MATCH(ROWS($H$2:H273),$H$2:$H$1001,0),0)))</f>
        <v>0</v>
      </c>
      <c r="B273" s="3">
        <f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>0</v>
      </c>
      <c r="C273" s="3">
        <f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>0</v>
      </c>
      <c r="D273" s="3">
        <f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>0</v>
      </c>
      <c r="H273">
        <v>0</v>
      </c>
      <c r="I273">
        <v>0</v>
      </c>
      <c r="J273">
        <v>0</v>
      </c>
      <c r="K273">
        <f>IF(L273,TRUE,AND(O273:Q273))</f>
        <v>0</v>
      </c>
      <c r="L273">
        <f>COUNTBLANK(Metadata!B273:D273)=COLUMNS(Metadata!B273:D273)</f>
        <v>0</v>
      </c>
      <c r="M273">
        <v>0</v>
      </c>
      <c r="O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>
        <f>AND(IF(Metadata!C273="",FALSE,TRUE),exact(Metadata!C273,"rat metagenome"))</f>
        <v>0</v>
      </c>
      <c r="Q273">
        <f>AND(IF(Metadata!D273="",FALSE,TRUE),exact(Metadata!D273,"1427740"))</f>
        <v>0</v>
      </c>
    </row>
    <row r="274" spans="1:17">
      <c r="A274" s="4">
        <f>IF(B274=" "," ",HYPERLINK(CONCATENATE("#metadata!",ADDRESS(INDEX($J$2:$J$1001,MATCH(ROWS($H$2:H274),$H$2:$H$1001,0),0),1)),INDEX($M$2:$M$1001,MATCH(ROWS($H$2:H274),$H$2:$H$1001,0),0)))</f>
        <v>0</v>
      </c>
      <c r="B274" s="3">
        <f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>0</v>
      </c>
      <c r="C274" s="3">
        <f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>0</v>
      </c>
      <c r="D274" s="3">
        <f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>0</v>
      </c>
      <c r="H274">
        <v>0</v>
      </c>
      <c r="I274">
        <v>0</v>
      </c>
      <c r="J274">
        <v>0</v>
      </c>
      <c r="K274">
        <f>IF(L274,TRUE,AND(O274:Q274))</f>
        <v>0</v>
      </c>
      <c r="L274">
        <f>COUNTBLANK(Metadata!B274:D274)=COLUMNS(Metadata!B274:D274)</f>
        <v>0</v>
      </c>
      <c r="M274">
        <v>0</v>
      </c>
      <c r="O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>
        <f>AND(IF(Metadata!C274="",FALSE,TRUE),exact(Metadata!C274,"rat metagenome"))</f>
        <v>0</v>
      </c>
      <c r="Q274">
        <f>AND(IF(Metadata!D274="",FALSE,TRUE),exact(Metadata!D274,"1427740"))</f>
        <v>0</v>
      </c>
    </row>
    <row r="275" spans="1:17">
      <c r="A275" s="4">
        <f>IF(B275=" "," ",HYPERLINK(CONCATENATE("#metadata!",ADDRESS(INDEX($J$2:$J$1001,MATCH(ROWS($H$2:H275),$H$2:$H$1001,0),0),1)),INDEX($M$2:$M$1001,MATCH(ROWS($H$2:H275),$H$2:$H$1001,0),0)))</f>
        <v>0</v>
      </c>
      <c r="B275" s="3">
        <f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>0</v>
      </c>
      <c r="C275" s="3">
        <f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>0</v>
      </c>
      <c r="D275" s="3">
        <f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>0</v>
      </c>
      <c r="H275">
        <v>0</v>
      </c>
      <c r="I275">
        <v>0</v>
      </c>
      <c r="J275">
        <v>0</v>
      </c>
      <c r="K275">
        <f>IF(L275,TRUE,AND(O275:Q275))</f>
        <v>0</v>
      </c>
      <c r="L275">
        <f>COUNTBLANK(Metadata!B275:D275)=COLUMNS(Metadata!B275:D275)</f>
        <v>0</v>
      </c>
      <c r="M275">
        <v>0</v>
      </c>
      <c r="O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>
        <f>AND(IF(Metadata!C275="",FALSE,TRUE),exact(Metadata!C275,"rat metagenome"))</f>
        <v>0</v>
      </c>
      <c r="Q275">
        <f>AND(IF(Metadata!D275="",FALSE,TRUE),exact(Metadata!D275,"1427740"))</f>
        <v>0</v>
      </c>
    </row>
    <row r="276" spans="1:17">
      <c r="A276" s="4">
        <f>IF(B276=" "," ",HYPERLINK(CONCATENATE("#metadata!",ADDRESS(INDEX($J$2:$J$1001,MATCH(ROWS($H$2:H276),$H$2:$H$1001,0),0),1)),INDEX($M$2:$M$1001,MATCH(ROWS($H$2:H276),$H$2:$H$1001,0),0)))</f>
        <v>0</v>
      </c>
      <c r="B276" s="3">
        <f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>0</v>
      </c>
      <c r="C276" s="3">
        <f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>0</v>
      </c>
      <c r="D276" s="3">
        <f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>0</v>
      </c>
      <c r="H276">
        <v>0</v>
      </c>
      <c r="I276">
        <v>0</v>
      </c>
      <c r="J276">
        <v>0</v>
      </c>
      <c r="K276">
        <f>IF(L276,TRUE,AND(O276:Q276))</f>
        <v>0</v>
      </c>
      <c r="L276">
        <f>COUNTBLANK(Metadata!B276:D276)=COLUMNS(Metadata!B276:D276)</f>
        <v>0</v>
      </c>
      <c r="M276">
        <v>0</v>
      </c>
      <c r="O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>
        <f>AND(IF(Metadata!C276="",FALSE,TRUE),exact(Metadata!C276,"rat metagenome"))</f>
        <v>0</v>
      </c>
      <c r="Q276">
        <f>AND(IF(Metadata!D276="",FALSE,TRUE),exact(Metadata!D276,"1427740"))</f>
        <v>0</v>
      </c>
    </row>
    <row r="277" spans="1:17">
      <c r="A277" s="4">
        <f>IF(B277=" "," ",HYPERLINK(CONCATENATE("#metadata!",ADDRESS(INDEX($J$2:$J$1001,MATCH(ROWS($H$2:H277),$H$2:$H$1001,0),0),1)),INDEX($M$2:$M$1001,MATCH(ROWS($H$2:H277),$H$2:$H$1001,0),0)))</f>
        <v>0</v>
      </c>
      <c r="B277" s="3">
        <f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>0</v>
      </c>
      <c r="C277" s="3">
        <f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>0</v>
      </c>
      <c r="D277" s="3">
        <f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>0</v>
      </c>
      <c r="H277">
        <v>0</v>
      </c>
      <c r="I277">
        <v>0</v>
      </c>
      <c r="J277">
        <v>0</v>
      </c>
      <c r="K277">
        <f>IF(L277,TRUE,AND(O277:Q277))</f>
        <v>0</v>
      </c>
      <c r="L277">
        <f>COUNTBLANK(Metadata!B277:D277)=COLUMNS(Metadata!B277:D277)</f>
        <v>0</v>
      </c>
      <c r="M277">
        <v>0</v>
      </c>
      <c r="O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>
        <f>AND(IF(Metadata!C277="",FALSE,TRUE),exact(Metadata!C277,"rat metagenome"))</f>
        <v>0</v>
      </c>
      <c r="Q277">
        <f>AND(IF(Metadata!D277="",FALSE,TRUE),exact(Metadata!D277,"1427740"))</f>
        <v>0</v>
      </c>
    </row>
    <row r="278" spans="1:17">
      <c r="A278" s="4">
        <f>IF(B278=" "," ",HYPERLINK(CONCATENATE("#metadata!",ADDRESS(INDEX($J$2:$J$1001,MATCH(ROWS($H$2:H278),$H$2:$H$1001,0),0),1)),INDEX($M$2:$M$1001,MATCH(ROWS($H$2:H278),$H$2:$H$1001,0),0)))</f>
        <v>0</v>
      </c>
      <c r="B278" s="3">
        <f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>0</v>
      </c>
      <c r="C278" s="3">
        <f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>0</v>
      </c>
      <c r="D278" s="3">
        <f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>0</v>
      </c>
      <c r="H278">
        <v>0</v>
      </c>
      <c r="I278">
        <v>0</v>
      </c>
      <c r="J278">
        <v>0</v>
      </c>
      <c r="K278">
        <f>IF(L278,TRUE,AND(O278:Q278))</f>
        <v>0</v>
      </c>
      <c r="L278">
        <f>COUNTBLANK(Metadata!B278:D278)=COLUMNS(Metadata!B278:D278)</f>
        <v>0</v>
      </c>
      <c r="M278">
        <v>0</v>
      </c>
      <c r="O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>
        <f>AND(IF(Metadata!C278="",FALSE,TRUE),exact(Metadata!C278,"rat metagenome"))</f>
        <v>0</v>
      </c>
      <c r="Q278">
        <f>AND(IF(Metadata!D278="",FALSE,TRUE),exact(Metadata!D278,"1427740"))</f>
        <v>0</v>
      </c>
    </row>
    <row r="279" spans="1:17">
      <c r="A279" s="4">
        <f>IF(B279=" "," ",HYPERLINK(CONCATENATE("#metadata!",ADDRESS(INDEX($J$2:$J$1001,MATCH(ROWS($H$2:H279),$H$2:$H$1001,0),0),1)),INDEX($M$2:$M$1001,MATCH(ROWS($H$2:H279),$H$2:$H$1001,0),0)))</f>
        <v>0</v>
      </c>
      <c r="B279" s="3">
        <f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>0</v>
      </c>
      <c r="C279" s="3">
        <f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>0</v>
      </c>
      <c r="D279" s="3">
        <f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>0</v>
      </c>
      <c r="H279">
        <v>0</v>
      </c>
      <c r="I279">
        <v>0</v>
      </c>
      <c r="J279">
        <v>0</v>
      </c>
      <c r="K279">
        <f>IF(L279,TRUE,AND(O279:Q279))</f>
        <v>0</v>
      </c>
      <c r="L279">
        <f>COUNTBLANK(Metadata!B279:D279)=COLUMNS(Metadata!B279:D279)</f>
        <v>0</v>
      </c>
      <c r="M279">
        <v>0</v>
      </c>
      <c r="O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>
        <f>AND(IF(Metadata!C279="",FALSE,TRUE),exact(Metadata!C279,"rat metagenome"))</f>
        <v>0</v>
      </c>
      <c r="Q279">
        <f>AND(IF(Metadata!D279="",FALSE,TRUE),exact(Metadata!D279,"1427740"))</f>
        <v>0</v>
      </c>
    </row>
    <row r="280" spans="1:17">
      <c r="A280" s="4">
        <f>IF(B280=" "," ",HYPERLINK(CONCATENATE("#metadata!",ADDRESS(INDEX($J$2:$J$1001,MATCH(ROWS($H$2:H280),$H$2:$H$1001,0),0),1)),INDEX($M$2:$M$1001,MATCH(ROWS($H$2:H280),$H$2:$H$1001,0),0)))</f>
        <v>0</v>
      </c>
      <c r="B280" s="3">
        <f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>0</v>
      </c>
      <c r="C280" s="3">
        <f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>0</v>
      </c>
      <c r="D280" s="3">
        <f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>0</v>
      </c>
      <c r="H280">
        <v>0</v>
      </c>
      <c r="I280">
        <v>0</v>
      </c>
      <c r="J280">
        <v>0</v>
      </c>
      <c r="K280">
        <f>IF(L280,TRUE,AND(O280:Q280))</f>
        <v>0</v>
      </c>
      <c r="L280">
        <f>COUNTBLANK(Metadata!B280:D280)=COLUMNS(Metadata!B280:D280)</f>
        <v>0</v>
      </c>
      <c r="M280">
        <v>0</v>
      </c>
      <c r="O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>
        <f>AND(IF(Metadata!C280="",FALSE,TRUE),exact(Metadata!C280,"rat metagenome"))</f>
        <v>0</v>
      </c>
      <c r="Q280">
        <f>AND(IF(Metadata!D280="",FALSE,TRUE),exact(Metadata!D280,"1427740"))</f>
        <v>0</v>
      </c>
    </row>
    <row r="281" spans="1:17">
      <c r="A281" s="4">
        <f>IF(B281=" "," ",HYPERLINK(CONCATENATE("#metadata!",ADDRESS(INDEX($J$2:$J$1001,MATCH(ROWS($H$2:H281),$H$2:$H$1001,0),0),1)),INDEX($M$2:$M$1001,MATCH(ROWS($H$2:H281),$H$2:$H$1001,0),0)))</f>
        <v>0</v>
      </c>
      <c r="B281" s="3">
        <f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>0</v>
      </c>
      <c r="C281" s="3">
        <f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>0</v>
      </c>
      <c r="D281" s="3">
        <f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>0</v>
      </c>
      <c r="H281">
        <v>0</v>
      </c>
      <c r="I281">
        <v>0</v>
      </c>
      <c r="J281">
        <v>0</v>
      </c>
      <c r="K281">
        <f>IF(L281,TRUE,AND(O281:Q281))</f>
        <v>0</v>
      </c>
      <c r="L281">
        <f>COUNTBLANK(Metadata!B281:D281)=COLUMNS(Metadata!B281:D281)</f>
        <v>0</v>
      </c>
      <c r="M281">
        <v>0</v>
      </c>
      <c r="O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>
        <f>AND(IF(Metadata!C281="",FALSE,TRUE),exact(Metadata!C281,"rat metagenome"))</f>
        <v>0</v>
      </c>
      <c r="Q281">
        <f>AND(IF(Metadata!D281="",FALSE,TRUE),exact(Metadata!D281,"1427740"))</f>
        <v>0</v>
      </c>
    </row>
    <row r="282" spans="1:17">
      <c r="A282" s="4">
        <f>IF(B282=" "," ",HYPERLINK(CONCATENATE("#metadata!",ADDRESS(INDEX($J$2:$J$1001,MATCH(ROWS($H$2:H282),$H$2:$H$1001,0),0),1)),INDEX($M$2:$M$1001,MATCH(ROWS($H$2:H282),$H$2:$H$1001,0),0)))</f>
        <v>0</v>
      </c>
      <c r="B282" s="3">
        <f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>0</v>
      </c>
      <c r="C282" s="3">
        <f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>0</v>
      </c>
      <c r="D282" s="3">
        <f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>0</v>
      </c>
      <c r="H282">
        <v>0</v>
      </c>
      <c r="I282">
        <v>0</v>
      </c>
      <c r="J282">
        <v>0</v>
      </c>
      <c r="K282">
        <f>IF(L282,TRUE,AND(O282:Q282))</f>
        <v>0</v>
      </c>
      <c r="L282">
        <f>COUNTBLANK(Metadata!B282:D282)=COLUMNS(Metadata!B282:D282)</f>
        <v>0</v>
      </c>
      <c r="M282">
        <v>0</v>
      </c>
      <c r="O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>
        <f>AND(IF(Metadata!C282="",FALSE,TRUE),exact(Metadata!C282,"rat metagenome"))</f>
        <v>0</v>
      </c>
      <c r="Q282">
        <f>AND(IF(Metadata!D282="",FALSE,TRUE),exact(Metadata!D282,"1427740"))</f>
        <v>0</v>
      </c>
    </row>
    <row r="283" spans="1:17">
      <c r="A283" s="4">
        <f>IF(B283=" "," ",HYPERLINK(CONCATENATE("#metadata!",ADDRESS(INDEX($J$2:$J$1001,MATCH(ROWS($H$2:H283),$H$2:$H$1001,0),0),1)),INDEX($M$2:$M$1001,MATCH(ROWS($H$2:H283),$H$2:$H$1001,0),0)))</f>
        <v>0</v>
      </c>
      <c r="B283" s="3">
        <f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>0</v>
      </c>
      <c r="C283" s="3">
        <f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>0</v>
      </c>
      <c r="D283" s="3">
        <f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>0</v>
      </c>
      <c r="H283">
        <v>0</v>
      </c>
      <c r="I283">
        <v>0</v>
      </c>
      <c r="J283">
        <v>0</v>
      </c>
      <c r="K283">
        <f>IF(L283,TRUE,AND(O283:Q283))</f>
        <v>0</v>
      </c>
      <c r="L283">
        <f>COUNTBLANK(Metadata!B283:D283)=COLUMNS(Metadata!B283:D283)</f>
        <v>0</v>
      </c>
      <c r="M283">
        <v>0</v>
      </c>
      <c r="O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>
        <f>AND(IF(Metadata!C283="",FALSE,TRUE),exact(Metadata!C283,"rat metagenome"))</f>
        <v>0</v>
      </c>
      <c r="Q283">
        <f>AND(IF(Metadata!D283="",FALSE,TRUE),exact(Metadata!D283,"1427740"))</f>
        <v>0</v>
      </c>
    </row>
    <row r="284" spans="1:17">
      <c r="A284" s="4">
        <f>IF(B284=" "," ",HYPERLINK(CONCATENATE("#metadata!",ADDRESS(INDEX($J$2:$J$1001,MATCH(ROWS($H$2:H284),$H$2:$H$1001,0),0),1)),INDEX($M$2:$M$1001,MATCH(ROWS($H$2:H284),$H$2:$H$1001,0),0)))</f>
        <v>0</v>
      </c>
      <c r="B284" s="3">
        <f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>0</v>
      </c>
      <c r="C284" s="3">
        <f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>0</v>
      </c>
      <c r="D284" s="3">
        <f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>0</v>
      </c>
      <c r="H284">
        <v>0</v>
      </c>
      <c r="I284">
        <v>0</v>
      </c>
      <c r="J284">
        <v>0</v>
      </c>
      <c r="K284">
        <f>IF(L284,TRUE,AND(O284:Q284))</f>
        <v>0</v>
      </c>
      <c r="L284">
        <f>COUNTBLANK(Metadata!B284:D284)=COLUMNS(Metadata!B284:D284)</f>
        <v>0</v>
      </c>
      <c r="M284">
        <v>0</v>
      </c>
      <c r="O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>
        <f>AND(IF(Metadata!C284="",FALSE,TRUE),exact(Metadata!C284,"rat metagenome"))</f>
        <v>0</v>
      </c>
      <c r="Q284">
        <f>AND(IF(Metadata!D284="",FALSE,TRUE),exact(Metadata!D284,"1427740"))</f>
        <v>0</v>
      </c>
    </row>
    <row r="285" spans="1:17">
      <c r="A285" s="4">
        <f>IF(B285=" "," ",HYPERLINK(CONCATENATE("#metadata!",ADDRESS(INDEX($J$2:$J$1001,MATCH(ROWS($H$2:H285),$H$2:$H$1001,0),0),1)),INDEX($M$2:$M$1001,MATCH(ROWS($H$2:H285),$H$2:$H$1001,0),0)))</f>
        <v>0</v>
      </c>
      <c r="B285" s="3">
        <f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>0</v>
      </c>
      <c r="C285" s="3">
        <f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>0</v>
      </c>
      <c r="D285" s="3">
        <f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>0</v>
      </c>
      <c r="H285">
        <v>0</v>
      </c>
      <c r="I285">
        <v>0</v>
      </c>
      <c r="J285">
        <v>0</v>
      </c>
      <c r="K285">
        <f>IF(L285,TRUE,AND(O285:Q285))</f>
        <v>0</v>
      </c>
      <c r="L285">
        <f>COUNTBLANK(Metadata!B285:D285)=COLUMNS(Metadata!B285:D285)</f>
        <v>0</v>
      </c>
      <c r="M285">
        <v>0</v>
      </c>
      <c r="O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>
        <f>AND(IF(Metadata!C285="",FALSE,TRUE),exact(Metadata!C285,"rat metagenome"))</f>
        <v>0</v>
      </c>
      <c r="Q285">
        <f>AND(IF(Metadata!D285="",FALSE,TRUE),exact(Metadata!D285,"1427740"))</f>
        <v>0</v>
      </c>
    </row>
    <row r="286" spans="1:17">
      <c r="A286" s="4">
        <f>IF(B286=" "," ",HYPERLINK(CONCATENATE("#metadata!",ADDRESS(INDEX($J$2:$J$1001,MATCH(ROWS($H$2:H286),$H$2:$H$1001,0),0),1)),INDEX($M$2:$M$1001,MATCH(ROWS($H$2:H286),$H$2:$H$1001,0),0)))</f>
        <v>0</v>
      </c>
      <c r="B286" s="3">
        <f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>0</v>
      </c>
      <c r="C286" s="3">
        <f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>0</v>
      </c>
      <c r="D286" s="3">
        <f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>0</v>
      </c>
      <c r="H286">
        <v>0</v>
      </c>
      <c r="I286">
        <v>0</v>
      </c>
      <c r="J286">
        <v>0</v>
      </c>
      <c r="K286">
        <f>IF(L286,TRUE,AND(O286:Q286))</f>
        <v>0</v>
      </c>
      <c r="L286">
        <f>COUNTBLANK(Metadata!B286:D286)=COLUMNS(Metadata!B286:D286)</f>
        <v>0</v>
      </c>
      <c r="M286">
        <v>0</v>
      </c>
      <c r="O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>
        <f>AND(IF(Metadata!C286="",FALSE,TRUE),exact(Metadata!C286,"rat metagenome"))</f>
        <v>0</v>
      </c>
      <c r="Q286">
        <f>AND(IF(Metadata!D286="",FALSE,TRUE),exact(Metadata!D286,"1427740"))</f>
        <v>0</v>
      </c>
    </row>
    <row r="287" spans="1:17">
      <c r="A287" s="4">
        <f>IF(B287=" "," ",HYPERLINK(CONCATENATE("#metadata!",ADDRESS(INDEX($J$2:$J$1001,MATCH(ROWS($H$2:H287),$H$2:$H$1001,0),0),1)),INDEX($M$2:$M$1001,MATCH(ROWS($H$2:H287),$H$2:$H$1001,0),0)))</f>
        <v>0</v>
      </c>
      <c r="B287" s="3">
        <f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>0</v>
      </c>
      <c r="C287" s="3">
        <f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>0</v>
      </c>
      <c r="D287" s="3">
        <f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>0</v>
      </c>
      <c r="H287">
        <v>0</v>
      </c>
      <c r="I287">
        <v>0</v>
      </c>
      <c r="J287">
        <v>0</v>
      </c>
      <c r="K287">
        <f>IF(L287,TRUE,AND(O287:Q287))</f>
        <v>0</v>
      </c>
      <c r="L287">
        <f>COUNTBLANK(Metadata!B287:D287)=COLUMNS(Metadata!B287:D287)</f>
        <v>0</v>
      </c>
      <c r="M287">
        <v>0</v>
      </c>
      <c r="O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>
        <f>AND(IF(Metadata!C287="",FALSE,TRUE),exact(Metadata!C287,"rat metagenome"))</f>
        <v>0</v>
      </c>
      <c r="Q287">
        <f>AND(IF(Metadata!D287="",FALSE,TRUE),exact(Metadata!D287,"1427740"))</f>
        <v>0</v>
      </c>
    </row>
    <row r="288" spans="1:17">
      <c r="A288" s="4">
        <f>IF(B288=" "," ",HYPERLINK(CONCATENATE("#metadata!",ADDRESS(INDEX($J$2:$J$1001,MATCH(ROWS($H$2:H288),$H$2:$H$1001,0),0),1)),INDEX($M$2:$M$1001,MATCH(ROWS($H$2:H288),$H$2:$H$1001,0),0)))</f>
        <v>0</v>
      </c>
      <c r="B288" s="3">
        <f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>0</v>
      </c>
      <c r="C288" s="3">
        <f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>0</v>
      </c>
      <c r="D288" s="3">
        <f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>0</v>
      </c>
      <c r="H288">
        <v>0</v>
      </c>
      <c r="I288">
        <v>0</v>
      </c>
      <c r="J288">
        <v>0</v>
      </c>
      <c r="K288">
        <f>IF(L288,TRUE,AND(O288:Q288))</f>
        <v>0</v>
      </c>
      <c r="L288">
        <f>COUNTBLANK(Metadata!B288:D288)=COLUMNS(Metadata!B288:D288)</f>
        <v>0</v>
      </c>
      <c r="M288">
        <v>0</v>
      </c>
      <c r="O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>
        <f>AND(IF(Metadata!C288="",FALSE,TRUE),exact(Metadata!C288,"rat metagenome"))</f>
        <v>0</v>
      </c>
      <c r="Q288">
        <f>AND(IF(Metadata!D288="",FALSE,TRUE),exact(Metadata!D288,"1427740"))</f>
        <v>0</v>
      </c>
    </row>
    <row r="289" spans="1:17">
      <c r="A289" s="4">
        <f>IF(B289=" "," ",HYPERLINK(CONCATENATE("#metadata!",ADDRESS(INDEX($J$2:$J$1001,MATCH(ROWS($H$2:H289),$H$2:$H$1001,0),0),1)),INDEX($M$2:$M$1001,MATCH(ROWS($H$2:H289),$H$2:$H$1001,0),0)))</f>
        <v>0</v>
      </c>
      <c r="B289" s="3">
        <f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>0</v>
      </c>
      <c r="C289" s="3">
        <f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>0</v>
      </c>
      <c r="D289" s="3">
        <f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>0</v>
      </c>
      <c r="H289">
        <v>0</v>
      </c>
      <c r="I289">
        <v>0</v>
      </c>
      <c r="J289">
        <v>0</v>
      </c>
      <c r="K289">
        <f>IF(L289,TRUE,AND(O289:Q289))</f>
        <v>0</v>
      </c>
      <c r="L289">
        <f>COUNTBLANK(Metadata!B289:D289)=COLUMNS(Metadata!B289:D289)</f>
        <v>0</v>
      </c>
      <c r="M289">
        <v>0</v>
      </c>
      <c r="O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>
        <f>AND(IF(Metadata!C289="",FALSE,TRUE),exact(Metadata!C289,"rat metagenome"))</f>
        <v>0</v>
      </c>
      <c r="Q289">
        <f>AND(IF(Metadata!D289="",FALSE,TRUE),exact(Metadata!D289,"1427740"))</f>
        <v>0</v>
      </c>
    </row>
    <row r="290" spans="1:17">
      <c r="A290" s="4">
        <f>IF(B290=" "," ",HYPERLINK(CONCATENATE("#metadata!",ADDRESS(INDEX($J$2:$J$1001,MATCH(ROWS($H$2:H290),$H$2:$H$1001,0),0),1)),INDEX($M$2:$M$1001,MATCH(ROWS($H$2:H290),$H$2:$H$1001,0),0)))</f>
        <v>0</v>
      </c>
      <c r="B290" s="3">
        <f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>0</v>
      </c>
      <c r="C290" s="3">
        <f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>0</v>
      </c>
      <c r="D290" s="3">
        <f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>0</v>
      </c>
      <c r="H290">
        <v>0</v>
      </c>
      <c r="I290">
        <v>0</v>
      </c>
      <c r="J290">
        <v>0</v>
      </c>
      <c r="K290">
        <f>IF(L290,TRUE,AND(O290:Q290))</f>
        <v>0</v>
      </c>
      <c r="L290">
        <f>COUNTBLANK(Metadata!B290:D290)=COLUMNS(Metadata!B290:D290)</f>
        <v>0</v>
      </c>
      <c r="M290">
        <v>0</v>
      </c>
      <c r="O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>
        <f>AND(IF(Metadata!C290="",FALSE,TRUE),exact(Metadata!C290,"rat metagenome"))</f>
        <v>0</v>
      </c>
      <c r="Q290">
        <f>AND(IF(Metadata!D290="",FALSE,TRUE),exact(Metadata!D290,"1427740"))</f>
        <v>0</v>
      </c>
    </row>
    <row r="291" spans="1:17">
      <c r="A291" s="4">
        <f>IF(B291=" "," ",HYPERLINK(CONCATENATE("#metadata!",ADDRESS(INDEX($J$2:$J$1001,MATCH(ROWS($H$2:H291),$H$2:$H$1001,0),0),1)),INDEX($M$2:$M$1001,MATCH(ROWS($H$2:H291),$H$2:$H$1001,0),0)))</f>
        <v>0</v>
      </c>
      <c r="B291" s="3">
        <f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>0</v>
      </c>
      <c r="C291" s="3">
        <f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>0</v>
      </c>
      <c r="D291" s="3">
        <f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>0</v>
      </c>
      <c r="H291">
        <v>0</v>
      </c>
      <c r="I291">
        <v>0</v>
      </c>
      <c r="J291">
        <v>0</v>
      </c>
      <c r="K291">
        <f>IF(L291,TRUE,AND(O291:Q291))</f>
        <v>0</v>
      </c>
      <c r="L291">
        <f>COUNTBLANK(Metadata!B291:D291)=COLUMNS(Metadata!B291:D291)</f>
        <v>0</v>
      </c>
      <c r="M291">
        <v>0</v>
      </c>
      <c r="O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>
        <f>AND(IF(Metadata!C291="",FALSE,TRUE),exact(Metadata!C291,"rat metagenome"))</f>
        <v>0</v>
      </c>
      <c r="Q291">
        <f>AND(IF(Metadata!D291="",FALSE,TRUE),exact(Metadata!D291,"1427740"))</f>
        <v>0</v>
      </c>
    </row>
    <row r="292" spans="1:17">
      <c r="A292" s="4">
        <f>IF(B292=" "," ",HYPERLINK(CONCATENATE("#metadata!",ADDRESS(INDEX($J$2:$J$1001,MATCH(ROWS($H$2:H292),$H$2:$H$1001,0),0),1)),INDEX($M$2:$M$1001,MATCH(ROWS($H$2:H292),$H$2:$H$1001,0),0)))</f>
        <v>0</v>
      </c>
      <c r="B292" s="3">
        <f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>0</v>
      </c>
      <c r="C292" s="3">
        <f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>0</v>
      </c>
      <c r="D292" s="3">
        <f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>0</v>
      </c>
      <c r="H292">
        <v>0</v>
      </c>
      <c r="I292">
        <v>0</v>
      </c>
      <c r="J292">
        <v>0</v>
      </c>
      <c r="K292">
        <f>IF(L292,TRUE,AND(O292:Q292))</f>
        <v>0</v>
      </c>
      <c r="L292">
        <f>COUNTBLANK(Metadata!B292:D292)=COLUMNS(Metadata!B292:D292)</f>
        <v>0</v>
      </c>
      <c r="M292">
        <v>0</v>
      </c>
      <c r="O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>
        <f>AND(IF(Metadata!C292="",FALSE,TRUE),exact(Metadata!C292,"rat metagenome"))</f>
        <v>0</v>
      </c>
      <c r="Q292">
        <f>AND(IF(Metadata!D292="",FALSE,TRUE),exact(Metadata!D292,"1427740"))</f>
        <v>0</v>
      </c>
    </row>
    <row r="293" spans="1:17">
      <c r="A293" s="4">
        <f>IF(B293=" "," ",HYPERLINK(CONCATENATE("#metadata!",ADDRESS(INDEX($J$2:$J$1001,MATCH(ROWS($H$2:H293),$H$2:$H$1001,0),0),1)),INDEX($M$2:$M$1001,MATCH(ROWS($H$2:H293),$H$2:$H$1001,0),0)))</f>
        <v>0</v>
      </c>
      <c r="B293" s="3">
        <f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>0</v>
      </c>
      <c r="C293" s="3">
        <f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>0</v>
      </c>
      <c r="D293" s="3">
        <f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>0</v>
      </c>
      <c r="H293">
        <v>0</v>
      </c>
      <c r="I293">
        <v>0</v>
      </c>
      <c r="J293">
        <v>0</v>
      </c>
      <c r="K293">
        <f>IF(L293,TRUE,AND(O293:Q293))</f>
        <v>0</v>
      </c>
      <c r="L293">
        <f>COUNTBLANK(Metadata!B293:D293)=COLUMNS(Metadata!B293:D293)</f>
        <v>0</v>
      </c>
      <c r="M293">
        <v>0</v>
      </c>
      <c r="O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>
        <f>AND(IF(Metadata!C293="",FALSE,TRUE),exact(Metadata!C293,"rat metagenome"))</f>
        <v>0</v>
      </c>
      <c r="Q293">
        <f>AND(IF(Metadata!D293="",FALSE,TRUE),exact(Metadata!D293,"1427740"))</f>
        <v>0</v>
      </c>
    </row>
    <row r="294" spans="1:17">
      <c r="A294" s="4">
        <f>IF(B294=" "," ",HYPERLINK(CONCATENATE("#metadata!",ADDRESS(INDEX($J$2:$J$1001,MATCH(ROWS($H$2:H294),$H$2:$H$1001,0),0),1)),INDEX($M$2:$M$1001,MATCH(ROWS($H$2:H294),$H$2:$H$1001,0),0)))</f>
        <v>0</v>
      </c>
      <c r="B294" s="3">
        <f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>0</v>
      </c>
      <c r="C294" s="3">
        <f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>0</v>
      </c>
      <c r="D294" s="3">
        <f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>0</v>
      </c>
      <c r="H294">
        <v>0</v>
      </c>
      <c r="I294">
        <v>0</v>
      </c>
      <c r="J294">
        <v>0</v>
      </c>
      <c r="K294">
        <f>IF(L294,TRUE,AND(O294:Q294))</f>
        <v>0</v>
      </c>
      <c r="L294">
        <f>COUNTBLANK(Metadata!B294:D294)=COLUMNS(Metadata!B294:D294)</f>
        <v>0</v>
      </c>
      <c r="M294">
        <v>0</v>
      </c>
      <c r="O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>
        <f>AND(IF(Metadata!C294="",FALSE,TRUE),exact(Metadata!C294,"rat metagenome"))</f>
        <v>0</v>
      </c>
      <c r="Q294">
        <f>AND(IF(Metadata!D294="",FALSE,TRUE),exact(Metadata!D294,"1427740"))</f>
        <v>0</v>
      </c>
    </row>
    <row r="295" spans="1:17">
      <c r="A295" s="4">
        <f>IF(B295=" "," ",HYPERLINK(CONCATENATE("#metadata!",ADDRESS(INDEX($J$2:$J$1001,MATCH(ROWS($H$2:H295),$H$2:$H$1001,0),0),1)),INDEX($M$2:$M$1001,MATCH(ROWS($H$2:H295),$H$2:$H$1001,0),0)))</f>
        <v>0</v>
      </c>
      <c r="B295" s="3">
        <f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>0</v>
      </c>
      <c r="C295" s="3">
        <f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>0</v>
      </c>
      <c r="D295" s="3">
        <f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>0</v>
      </c>
      <c r="H295">
        <v>0</v>
      </c>
      <c r="I295">
        <v>0</v>
      </c>
      <c r="J295">
        <v>0</v>
      </c>
      <c r="K295">
        <f>IF(L295,TRUE,AND(O295:Q295))</f>
        <v>0</v>
      </c>
      <c r="L295">
        <f>COUNTBLANK(Metadata!B295:D295)=COLUMNS(Metadata!B295:D295)</f>
        <v>0</v>
      </c>
      <c r="M295">
        <v>0</v>
      </c>
      <c r="O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>
        <f>AND(IF(Metadata!C295="",FALSE,TRUE),exact(Metadata!C295,"rat metagenome"))</f>
        <v>0</v>
      </c>
      <c r="Q295">
        <f>AND(IF(Metadata!D295="",FALSE,TRUE),exact(Metadata!D295,"1427740"))</f>
        <v>0</v>
      </c>
    </row>
    <row r="296" spans="1:17">
      <c r="A296" s="4">
        <f>IF(B296=" "," ",HYPERLINK(CONCATENATE("#metadata!",ADDRESS(INDEX($J$2:$J$1001,MATCH(ROWS($H$2:H296),$H$2:$H$1001,0),0),1)),INDEX($M$2:$M$1001,MATCH(ROWS($H$2:H296),$H$2:$H$1001,0),0)))</f>
        <v>0</v>
      </c>
      <c r="B296" s="3">
        <f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>0</v>
      </c>
      <c r="C296" s="3">
        <f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>0</v>
      </c>
      <c r="D296" s="3">
        <f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>0</v>
      </c>
      <c r="H296">
        <v>0</v>
      </c>
      <c r="I296">
        <v>0</v>
      </c>
      <c r="J296">
        <v>0</v>
      </c>
      <c r="K296">
        <f>IF(L296,TRUE,AND(O296:Q296))</f>
        <v>0</v>
      </c>
      <c r="L296">
        <f>COUNTBLANK(Metadata!B296:D296)=COLUMNS(Metadata!B296:D296)</f>
        <v>0</v>
      </c>
      <c r="M296">
        <v>0</v>
      </c>
      <c r="O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>
        <f>AND(IF(Metadata!C296="",FALSE,TRUE),exact(Metadata!C296,"rat metagenome"))</f>
        <v>0</v>
      </c>
      <c r="Q296">
        <f>AND(IF(Metadata!D296="",FALSE,TRUE),exact(Metadata!D296,"1427740"))</f>
        <v>0</v>
      </c>
    </row>
    <row r="297" spans="1:17">
      <c r="A297" s="4">
        <f>IF(B297=" "," ",HYPERLINK(CONCATENATE("#metadata!",ADDRESS(INDEX($J$2:$J$1001,MATCH(ROWS($H$2:H297),$H$2:$H$1001,0),0),1)),INDEX($M$2:$M$1001,MATCH(ROWS($H$2:H297),$H$2:$H$1001,0),0)))</f>
        <v>0</v>
      </c>
      <c r="B297" s="3">
        <f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>0</v>
      </c>
      <c r="C297" s="3">
        <f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>0</v>
      </c>
      <c r="D297" s="3">
        <f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>0</v>
      </c>
      <c r="H297">
        <v>0</v>
      </c>
      <c r="I297">
        <v>0</v>
      </c>
      <c r="J297">
        <v>0</v>
      </c>
      <c r="K297">
        <f>IF(L297,TRUE,AND(O297:Q297))</f>
        <v>0</v>
      </c>
      <c r="L297">
        <f>COUNTBLANK(Metadata!B297:D297)=COLUMNS(Metadata!B297:D297)</f>
        <v>0</v>
      </c>
      <c r="M297">
        <v>0</v>
      </c>
      <c r="O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>
        <f>AND(IF(Metadata!C297="",FALSE,TRUE),exact(Metadata!C297,"rat metagenome"))</f>
        <v>0</v>
      </c>
      <c r="Q297">
        <f>AND(IF(Metadata!D297="",FALSE,TRUE),exact(Metadata!D297,"1427740"))</f>
        <v>0</v>
      </c>
    </row>
    <row r="298" spans="1:17">
      <c r="A298" s="4">
        <f>IF(B298=" "," ",HYPERLINK(CONCATENATE("#metadata!",ADDRESS(INDEX($J$2:$J$1001,MATCH(ROWS($H$2:H298),$H$2:$H$1001,0),0),1)),INDEX($M$2:$M$1001,MATCH(ROWS($H$2:H298),$H$2:$H$1001,0),0)))</f>
        <v>0</v>
      </c>
      <c r="B298" s="3">
        <f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>0</v>
      </c>
      <c r="C298" s="3">
        <f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>0</v>
      </c>
      <c r="D298" s="3">
        <f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>0</v>
      </c>
      <c r="H298">
        <v>0</v>
      </c>
      <c r="I298">
        <v>0</v>
      </c>
      <c r="J298">
        <v>0</v>
      </c>
      <c r="K298">
        <f>IF(L298,TRUE,AND(O298:Q298))</f>
        <v>0</v>
      </c>
      <c r="L298">
        <f>COUNTBLANK(Metadata!B298:D298)=COLUMNS(Metadata!B298:D298)</f>
        <v>0</v>
      </c>
      <c r="M298">
        <v>0</v>
      </c>
      <c r="O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>
        <f>AND(IF(Metadata!C298="",FALSE,TRUE),exact(Metadata!C298,"rat metagenome"))</f>
        <v>0</v>
      </c>
      <c r="Q298">
        <f>AND(IF(Metadata!D298="",FALSE,TRUE),exact(Metadata!D298,"1427740"))</f>
        <v>0</v>
      </c>
    </row>
    <row r="299" spans="1:17">
      <c r="A299" s="4">
        <f>IF(B299=" "," ",HYPERLINK(CONCATENATE("#metadata!",ADDRESS(INDEX($J$2:$J$1001,MATCH(ROWS($H$2:H299),$H$2:$H$1001,0),0),1)),INDEX($M$2:$M$1001,MATCH(ROWS($H$2:H299),$H$2:$H$1001,0),0)))</f>
        <v>0</v>
      </c>
      <c r="B299" s="3">
        <f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>0</v>
      </c>
      <c r="C299" s="3">
        <f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>0</v>
      </c>
      <c r="D299" s="3">
        <f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>0</v>
      </c>
      <c r="H299">
        <v>0</v>
      </c>
      <c r="I299">
        <v>0</v>
      </c>
      <c r="J299">
        <v>0</v>
      </c>
      <c r="K299">
        <f>IF(L299,TRUE,AND(O299:Q299))</f>
        <v>0</v>
      </c>
      <c r="L299">
        <f>COUNTBLANK(Metadata!B299:D299)=COLUMNS(Metadata!B299:D299)</f>
        <v>0</v>
      </c>
      <c r="M299">
        <v>0</v>
      </c>
      <c r="O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>
        <f>AND(IF(Metadata!C299="",FALSE,TRUE),exact(Metadata!C299,"rat metagenome"))</f>
        <v>0</v>
      </c>
      <c r="Q299">
        <f>AND(IF(Metadata!D299="",FALSE,TRUE),exact(Metadata!D299,"1427740"))</f>
        <v>0</v>
      </c>
    </row>
    <row r="300" spans="1:17">
      <c r="A300" s="4">
        <f>IF(B300=" "," ",HYPERLINK(CONCATENATE("#metadata!",ADDRESS(INDEX($J$2:$J$1001,MATCH(ROWS($H$2:H300),$H$2:$H$1001,0),0),1)),INDEX($M$2:$M$1001,MATCH(ROWS($H$2:H300),$H$2:$H$1001,0),0)))</f>
        <v>0</v>
      </c>
      <c r="B300" s="3">
        <f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>0</v>
      </c>
      <c r="C300" s="3">
        <f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>0</v>
      </c>
      <c r="D300" s="3">
        <f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>0</v>
      </c>
      <c r="H300">
        <v>0</v>
      </c>
      <c r="I300">
        <v>0</v>
      </c>
      <c r="J300">
        <v>0</v>
      </c>
      <c r="K300">
        <f>IF(L300,TRUE,AND(O300:Q300))</f>
        <v>0</v>
      </c>
      <c r="L300">
        <f>COUNTBLANK(Metadata!B300:D300)=COLUMNS(Metadata!B300:D300)</f>
        <v>0</v>
      </c>
      <c r="M300">
        <v>0</v>
      </c>
      <c r="O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>
        <f>AND(IF(Metadata!C300="",FALSE,TRUE),exact(Metadata!C300,"rat metagenome"))</f>
        <v>0</v>
      </c>
      <c r="Q300">
        <f>AND(IF(Metadata!D300="",FALSE,TRUE),exact(Metadata!D300,"1427740"))</f>
        <v>0</v>
      </c>
    </row>
    <row r="301" spans="1:17">
      <c r="A301" s="4">
        <f>IF(B301=" "," ",HYPERLINK(CONCATENATE("#metadata!",ADDRESS(INDEX($J$2:$J$1001,MATCH(ROWS($H$2:H301),$H$2:$H$1001,0),0),1)),INDEX($M$2:$M$1001,MATCH(ROWS($H$2:H301),$H$2:$H$1001,0),0)))</f>
        <v>0</v>
      </c>
      <c r="B301" s="3">
        <f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>0</v>
      </c>
      <c r="C301" s="3">
        <f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>0</v>
      </c>
      <c r="D301" s="3">
        <f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>0</v>
      </c>
      <c r="H301">
        <v>0</v>
      </c>
      <c r="I301">
        <v>0</v>
      </c>
      <c r="J301">
        <v>0</v>
      </c>
      <c r="K301">
        <f>IF(L301,TRUE,AND(O301:Q301))</f>
        <v>0</v>
      </c>
      <c r="L301">
        <f>COUNTBLANK(Metadata!B301:D301)=COLUMNS(Metadata!B301:D301)</f>
        <v>0</v>
      </c>
      <c r="M301">
        <v>0</v>
      </c>
      <c r="O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>
        <f>AND(IF(Metadata!C301="",FALSE,TRUE),exact(Metadata!C301,"rat metagenome"))</f>
        <v>0</v>
      </c>
      <c r="Q301">
        <f>AND(IF(Metadata!D301="",FALSE,TRUE),exact(Metadata!D301,"1427740"))</f>
        <v>0</v>
      </c>
    </row>
    <row r="302" spans="1:17">
      <c r="A302" s="4">
        <f>IF(B302=" "," ",HYPERLINK(CONCATENATE("#metadata!",ADDRESS(INDEX($J$2:$J$1001,MATCH(ROWS($H$2:H302),$H$2:$H$1001,0),0),1)),INDEX($M$2:$M$1001,MATCH(ROWS($H$2:H302),$H$2:$H$1001,0),0)))</f>
        <v>0</v>
      </c>
      <c r="B302" s="3">
        <f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>0</v>
      </c>
      <c r="C302" s="3">
        <f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>0</v>
      </c>
      <c r="D302" s="3">
        <f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>0</v>
      </c>
      <c r="H302">
        <v>0</v>
      </c>
      <c r="I302">
        <v>0</v>
      </c>
      <c r="J302">
        <v>0</v>
      </c>
      <c r="K302">
        <f>IF(L302,TRUE,AND(O302:Q302))</f>
        <v>0</v>
      </c>
      <c r="L302">
        <f>COUNTBLANK(Metadata!B302:D302)=COLUMNS(Metadata!B302:D302)</f>
        <v>0</v>
      </c>
      <c r="M302">
        <v>0</v>
      </c>
      <c r="O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>
        <f>AND(IF(Metadata!C302="",FALSE,TRUE),exact(Metadata!C302,"rat metagenome"))</f>
        <v>0</v>
      </c>
      <c r="Q302">
        <f>AND(IF(Metadata!D302="",FALSE,TRUE),exact(Metadata!D302,"1427740"))</f>
        <v>0</v>
      </c>
    </row>
    <row r="303" spans="1:17">
      <c r="A303" s="4">
        <f>IF(B303=" "," ",HYPERLINK(CONCATENATE("#metadata!",ADDRESS(INDEX($J$2:$J$1001,MATCH(ROWS($H$2:H303),$H$2:$H$1001,0),0),1)),INDEX($M$2:$M$1001,MATCH(ROWS($H$2:H303),$H$2:$H$1001,0),0)))</f>
        <v>0</v>
      </c>
      <c r="B303" s="3">
        <f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>0</v>
      </c>
      <c r="C303" s="3">
        <f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>0</v>
      </c>
      <c r="D303" s="3">
        <f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>0</v>
      </c>
      <c r="H303">
        <v>0</v>
      </c>
      <c r="I303">
        <v>0</v>
      </c>
      <c r="J303">
        <v>0</v>
      </c>
      <c r="K303">
        <f>IF(L303,TRUE,AND(O303:Q303))</f>
        <v>0</v>
      </c>
      <c r="L303">
        <f>COUNTBLANK(Metadata!B303:D303)=COLUMNS(Metadata!B303:D303)</f>
        <v>0</v>
      </c>
      <c r="M303">
        <v>0</v>
      </c>
      <c r="O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>
        <f>AND(IF(Metadata!C303="",FALSE,TRUE),exact(Metadata!C303,"rat metagenome"))</f>
        <v>0</v>
      </c>
      <c r="Q303">
        <f>AND(IF(Metadata!D303="",FALSE,TRUE),exact(Metadata!D303,"1427740"))</f>
        <v>0</v>
      </c>
    </row>
    <row r="304" spans="1:17">
      <c r="A304" s="4">
        <f>IF(B304=" "," ",HYPERLINK(CONCATENATE("#metadata!",ADDRESS(INDEX($J$2:$J$1001,MATCH(ROWS($H$2:H304),$H$2:$H$1001,0),0),1)),INDEX($M$2:$M$1001,MATCH(ROWS($H$2:H304),$H$2:$H$1001,0),0)))</f>
        <v>0</v>
      </c>
      <c r="B304" s="3">
        <f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>0</v>
      </c>
      <c r="C304" s="3">
        <f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>0</v>
      </c>
      <c r="D304" s="3">
        <f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>0</v>
      </c>
      <c r="H304">
        <v>0</v>
      </c>
      <c r="I304">
        <v>0</v>
      </c>
      <c r="J304">
        <v>0</v>
      </c>
      <c r="K304">
        <f>IF(L304,TRUE,AND(O304:Q304))</f>
        <v>0</v>
      </c>
      <c r="L304">
        <f>COUNTBLANK(Metadata!B304:D304)=COLUMNS(Metadata!B304:D304)</f>
        <v>0</v>
      </c>
      <c r="M304">
        <v>0</v>
      </c>
      <c r="O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>
        <f>AND(IF(Metadata!C304="",FALSE,TRUE),exact(Metadata!C304,"rat metagenome"))</f>
        <v>0</v>
      </c>
      <c r="Q304">
        <f>AND(IF(Metadata!D304="",FALSE,TRUE),exact(Metadata!D304,"1427740"))</f>
        <v>0</v>
      </c>
    </row>
    <row r="305" spans="1:17">
      <c r="A305" s="4">
        <f>IF(B305=" "," ",HYPERLINK(CONCATENATE("#metadata!",ADDRESS(INDEX($J$2:$J$1001,MATCH(ROWS($H$2:H305),$H$2:$H$1001,0),0),1)),INDEX($M$2:$M$1001,MATCH(ROWS($H$2:H305),$H$2:$H$1001,0),0)))</f>
        <v>0</v>
      </c>
      <c r="B305" s="3">
        <f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>0</v>
      </c>
      <c r="C305" s="3">
        <f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>0</v>
      </c>
      <c r="D305" s="3">
        <f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>0</v>
      </c>
      <c r="H305">
        <v>0</v>
      </c>
      <c r="I305">
        <v>0</v>
      </c>
      <c r="J305">
        <v>0</v>
      </c>
      <c r="K305">
        <f>IF(L305,TRUE,AND(O305:Q305))</f>
        <v>0</v>
      </c>
      <c r="L305">
        <f>COUNTBLANK(Metadata!B305:D305)=COLUMNS(Metadata!B305:D305)</f>
        <v>0</v>
      </c>
      <c r="M305">
        <v>0</v>
      </c>
      <c r="O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>
        <f>AND(IF(Metadata!C305="",FALSE,TRUE),exact(Metadata!C305,"rat metagenome"))</f>
        <v>0</v>
      </c>
      <c r="Q305">
        <f>AND(IF(Metadata!D305="",FALSE,TRUE),exact(Metadata!D305,"1427740"))</f>
        <v>0</v>
      </c>
    </row>
    <row r="306" spans="1:17">
      <c r="A306" s="4">
        <f>IF(B306=" "," ",HYPERLINK(CONCATENATE("#metadata!",ADDRESS(INDEX($J$2:$J$1001,MATCH(ROWS($H$2:H306),$H$2:$H$1001,0),0),1)),INDEX($M$2:$M$1001,MATCH(ROWS($H$2:H306),$H$2:$H$1001,0),0)))</f>
        <v>0</v>
      </c>
      <c r="B306" s="3">
        <f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>0</v>
      </c>
      <c r="C306" s="3">
        <f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>0</v>
      </c>
      <c r="D306" s="3">
        <f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>0</v>
      </c>
      <c r="H306">
        <v>0</v>
      </c>
      <c r="I306">
        <v>0</v>
      </c>
      <c r="J306">
        <v>0</v>
      </c>
      <c r="K306">
        <f>IF(L306,TRUE,AND(O306:Q306))</f>
        <v>0</v>
      </c>
      <c r="L306">
        <f>COUNTBLANK(Metadata!B306:D306)=COLUMNS(Metadata!B306:D306)</f>
        <v>0</v>
      </c>
      <c r="M306">
        <v>0</v>
      </c>
      <c r="O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>
        <f>AND(IF(Metadata!C306="",FALSE,TRUE),exact(Metadata!C306,"rat metagenome"))</f>
        <v>0</v>
      </c>
      <c r="Q306">
        <f>AND(IF(Metadata!D306="",FALSE,TRUE),exact(Metadata!D306,"1427740"))</f>
        <v>0</v>
      </c>
    </row>
    <row r="307" spans="1:17">
      <c r="A307" s="4">
        <f>IF(B307=" "," ",HYPERLINK(CONCATENATE("#metadata!",ADDRESS(INDEX($J$2:$J$1001,MATCH(ROWS($H$2:H307),$H$2:$H$1001,0),0),1)),INDEX($M$2:$M$1001,MATCH(ROWS($H$2:H307),$H$2:$H$1001,0),0)))</f>
        <v>0</v>
      </c>
      <c r="B307" s="3">
        <f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>0</v>
      </c>
      <c r="C307" s="3">
        <f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>0</v>
      </c>
      <c r="D307" s="3">
        <f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>0</v>
      </c>
      <c r="H307">
        <v>0</v>
      </c>
      <c r="I307">
        <v>0</v>
      </c>
      <c r="J307">
        <v>0</v>
      </c>
      <c r="K307">
        <f>IF(L307,TRUE,AND(O307:Q307))</f>
        <v>0</v>
      </c>
      <c r="L307">
        <f>COUNTBLANK(Metadata!B307:D307)=COLUMNS(Metadata!B307:D307)</f>
        <v>0</v>
      </c>
      <c r="M307">
        <v>0</v>
      </c>
      <c r="O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>
        <f>AND(IF(Metadata!C307="",FALSE,TRUE),exact(Metadata!C307,"rat metagenome"))</f>
        <v>0</v>
      </c>
      <c r="Q307">
        <f>AND(IF(Metadata!D307="",FALSE,TRUE),exact(Metadata!D307,"1427740"))</f>
        <v>0</v>
      </c>
    </row>
    <row r="308" spans="1:17">
      <c r="A308" s="4">
        <f>IF(B308=" "," ",HYPERLINK(CONCATENATE("#metadata!",ADDRESS(INDEX($J$2:$J$1001,MATCH(ROWS($H$2:H308),$H$2:$H$1001,0),0),1)),INDEX($M$2:$M$1001,MATCH(ROWS($H$2:H308),$H$2:$H$1001,0),0)))</f>
        <v>0</v>
      </c>
      <c r="B308" s="3">
        <f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>0</v>
      </c>
      <c r="C308" s="3">
        <f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>0</v>
      </c>
      <c r="D308" s="3">
        <f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>0</v>
      </c>
      <c r="H308">
        <v>0</v>
      </c>
      <c r="I308">
        <v>0</v>
      </c>
      <c r="J308">
        <v>0</v>
      </c>
      <c r="K308">
        <f>IF(L308,TRUE,AND(O308:Q308))</f>
        <v>0</v>
      </c>
      <c r="L308">
        <f>COUNTBLANK(Metadata!B308:D308)=COLUMNS(Metadata!B308:D308)</f>
        <v>0</v>
      </c>
      <c r="M308">
        <v>0</v>
      </c>
      <c r="O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>
        <f>AND(IF(Metadata!C308="",FALSE,TRUE),exact(Metadata!C308,"rat metagenome"))</f>
        <v>0</v>
      </c>
      <c r="Q308">
        <f>AND(IF(Metadata!D308="",FALSE,TRUE),exact(Metadata!D308,"1427740"))</f>
        <v>0</v>
      </c>
    </row>
    <row r="309" spans="1:17">
      <c r="A309" s="4">
        <f>IF(B309=" "," ",HYPERLINK(CONCATENATE("#metadata!",ADDRESS(INDEX($J$2:$J$1001,MATCH(ROWS($H$2:H309),$H$2:$H$1001,0),0),1)),INDEX($M$2:$M$1001,MATCH(ROWS($H$2:H309),$H$2:$H$1001,0),0)))</f>
        <v>0</v>
      </c>
      <c r="B309" s="3">
        <f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>0</v>
      </c>
      <c r="C309" s="3">
        <f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>0</v>
      </c>
      <c r="D309" s="3">
        <f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>0</v>
      </c>
      <c r="H309">
        <v>0</v>
      </c>
      <c r="I309">
        <v>0</v>
      </c>
      <c r="J309">
        <v>0</v>
      </c>
      <c r="K309">
        <f>IF(L309,TRUE,AND(O309:Q309))</f>
        <v>0</v>
      </c>
      <c r="L309">
        <f>COUNTBLANK(Metadata!B309:D309)=COLUMNS(Metadata!B309:D309)</f>
        <v>0</v>
      </c>
      <c r="M309">
        <v>0</v>
      </c>
      <c r="O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>
        <f>AND(IF(Metadata!C309="",FALSE,TRUE),exact(Metadata!C309,"rat metagenome"))</f>
        <v>0</v>
      </c>
      <c r="Q309">
        <f>AND(IF(Metadata!D309="",FALSE,TRUE),exact(Metadata!D309,"1427740"))</f>
        <v>0</v>
      </c>
    </row>
    <row r="310" spans="1:17">
      <c r="A310" s="4">
        <f>IF(B310=" "," ",HYPERLINK(CONCATENATE("#metadata!",ADDRESS(INDEX($J$2:$J$1001,MATCH(ROWS($H$2:H310),$H$2:$H$1001,0),0),1)),INDEX($M$2:$M$1001,MATCH(ROWS($H$2:H310),$H$2:$H$1001,0),0)))</f>
        <v>0</v>
      </c>
      <c r="B310" s="3">
        <f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>0</v>
      </c>
      <c r="C310" s="3">
        <f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>0</v>
      </c>
      <c r="D310" s="3">
        <f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>0</v>
      </c>
      <c r="H310">
        <v>0</v>
      </c>
      <c r="I310">
        <v>0</v>
      </c>
      <c r="J310">
        <v>0</v>
      </c>
      <c r="K310">
        <f>IF(L310,TRUE,AND(O310:Q310))</f>
        <v>0</v>
      </c>
      <c r="L310">
        <f>COUNTBLANK(Metadata!B310:D310)=COLUMNS(Metadata!B310:D310)</f>
        <v>0</v>
      </c>
      <c r="M310">
        <v>0</v>
      </c>
      <c r="O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>
        <f>AND(IF(Metadata!C310="",FALSE,TRUE),exact(Metadata!C310,"rat metagenome"))</f>
        <v>0</v>
      </c>
      <c r="Q310">
        <f>AND(IF(Metadata!D310="",FALSE,TRUE),exact(Metadata!D310,"1427740"))</f>
        <v>0</v>
      </c>
    </row>
    <row r="311" spans="1:17">
      <c r="A311" s="4">
        <f>IF(B311=" "," ",HYPERLINK(CONCATENATE("#metadata!",ADDRESS(INDEX($J$2:$J$1001,MATCH(ROWS($H$2:H311),$H$2:$H$1001,0),0),1)),INDEX($M$2:$M$1001,MATCH(ROWS($H$2:H311),$H$2:$H$1001,0),0)))</f>
        <v>0</v>
      </c>
      <c r="B311" s="3">
        <f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>0</v>
      </c>
      <c r="C311" s="3">
        <f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>0</v>
      </c>
      <c r="D311" s="3">
        <f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>0</v>
      </c>
      <c r="H311">
        <v>0</v>
      </c>
      <c r="I311">
        <v>0</v>
      </c>
      <c r="J311">
        <v>0</v>
      </c>
      <c r="K311">
        <f>IF(L311,TRUE,AND(O311:Q311))</f>
        <v>0</v>
      </c>
      <c r="L311">
        <f>COUNTBLANK(Metadata!B311:D311)=COLUMNS(Metadata!B311:D311)</f>
        <v>0</v>
      </c>
      <c r="M311">
        <v>0</v>
      </c>
      <c r="O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>
        <f>AND(IF(Metadata!C311="",FALSE,TRUE),exact(Metadata!C311,"rat metagenome"))</f>
        <v>0</v>
      </c>
      <c r="Q311">
        <f>AND(IF(Metadata!D311="",FALSE,TRUE),exact(Metadata!D311,"1427740"))</f>
        <v>0</v>
      </c>
    </row>
    <row r="312" spans="1:17">
      <c r="A312" s="4">
        <f>IF(B312=" "," ",HYPERLINK(CONCATENATE("#metadata!",ADDRESS(INDEX($J$2:$J$1001,MATCH(ROWS($H$2:H312),$H$2:$H$1001,0),0),1)),INDEX($M$2:$M$1001,MATCH(ROWS($H$2:H312),$H$2:$H$1001,0),0)))</f>
        <v>0</v>
      </c>
      <c r="B312" s="3">
        <f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>0</v>
      </c>
      <c r="C312" s="3">
        <f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>0</v>
      </c>
      <c r="D312" s="3">
        <f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>0</v>
      </c>
      <c r="H312">
        <v>0</v>
      </c>
      <c r="I312">
        <v>0</v>
      </c>
      <c r="J312">
        <v>0</v>
      </c>
      <c r="K312">
        <f>IF(L312,TRUE,AND(O312:Q312))</f>
        <v>0</v>
      </c>
      <c r="L312">
        <f>COUNTBLANK(Metadata!B312:D312)=COLUMNS(Metadata!B312:D312)</f>
        <v>0</v>
      </c>
      <c r="M312">
        <v>0</v>
      </c>
      <c r="O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>
        <f>AND(IF(Metadata!C312="",FALSE,TRUE),exact(Metadata!C312,"rat metagenome"))</f>
        <v>0</v>
      </c>
      <c r="Q312">
        <f>AND(IF(Metadata!D312="",FALSE,TRUE),exact(Metadata!D312,"1427740"))</f>
        <v>0</v>
      </c>
    </row>
    <row r="313" spans="1:17">
      <c r="A313" s="4">
        <f>IF(B313=" "," ",HYPERLINK(CONCATENATE("#metadata!",ADDRESS(INDEX($J$2:$J$1001,MATCH(ROWS($H$2:H313),$H$2:$H$1001,0),0),1)),INDEX($M$2:$M$1001,MATCH(ROWS($H$2:H313),$H$2:$H$1001,0),0)))</f>
        <v>0</v>
      </c>
      <c r="B313" s="3">
        <f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>0</v>
      </c>
      <c r="C313" s="3">
        <f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>0</v>
      </c>
      <c r="D313" s="3">
        <f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>0</v>
      </c>
      <c r="H313">
        <v>0</v>
      </c>
      <c r="I313">
        <v>0</v>
      </c>
      <c r="J313">
        <v>0</v>
      </c>
      <c r="K313">
        <f>IF(L313,TRUE,AND(O313:Q313))</f>
        <v>0</v>
      </c>
      <c r="L313">
        <f>COUNTBLANK(Metadata!B313:D313)=COLUMNS(Metadata!B313:D313)</f>
        <v>0</v>
      </c>
      <c r="M313">
        <v>0</v>
      </c>
      <c r="O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>
        <f>AND(IF(Metadata!C313="",FALSE,TRUE),exact(Metadata!C313,"rat metagenome"))</f>
        <v>0</v>
      </c>
      <c r="Q313">
        <f>AND(IF(Metadata!D313="",FALSE,TRUE),exact(Metadata!D313,"1427740"))</f>
        <v>0</v>
      </c>
    </row>
    <row r="314" spans="1:17">
      <c r="A314" s="4">
        <f>IF(B314=" "," ",HYPERLINK(CONCATENATE("#metadata!",ADDRESS(INDEX($J$2:$J$1001,MATCH(ROWS($H$2:H314),$H$2:$H$1001,0),0),1)),INDEX($M$2:$M$1001,MATCH(ROWS($H$2:H314),$H$2:$H$1001,0),0)))</f>
        <v>0</v>
      </c>
      <c r="B314" s="3">
        <f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>0</v>
      </c>
      <c r="C314" s="3">
        <f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>0</v>
      </c>
      <c r="D314" s="3">
        <f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>0</v>
      </c>
      <c r="H314">
        <v>0</v>
      </c>
      <c r="I314">
        <v>0</v>
      </c>
      <c r="J314">
        <v>0</v>
      </c>
      <c r="K314">
        <f>IF(L314,TRUE,AND(O314:Q314))</f>
        <v>0</v>
      </c>
      <c r="L314">
        <f>COUNTBLANK(Metadata!B314:D314)=COLUMNS(Metadata!B314:D314)</f>
        <v>0</v>
      </c>
      <c r="M314">
        <v>0</v>
      </c>
      <c r="O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>
        <f>AND(IF(Metadata!C314="",FALSE,TRUE),exact(Metadata!C314,"rat metagenome"))</f>
        <v>0</v>
      </c>
      <c r="Q314">
        <f>AND(IF(Metadata!D314="",FALSE,TRUE),exact(Metadata!D314,"1427740"))</f>
        <v>0</v>
      </c>
    </row>
    <row r="315" spans="1:17">
      <c r="A315" s="4">
        <f>IF(B315=" "," ",HYPERLINK(CONCATENATE("#metadata!",ADDRESS(INDEX($J$2:$J$1001,MATCH(ROWS($H$2:H315),$H$2:$H$1001,0),0),1)),INDEX($M$2:$M$1001,MATCH(ROWS($H$2:H315),$H$2:$H$1001,0),0)))</f>
        <v>0</v>
      </c>
      <c r="B315" s="3">
        <f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>0</v>
      </c>
      <c r="C315" s="3">
        <f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>0</v>
      </c>
      <c r="D315" s="3">
        <f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>0</v>
      </c>
      <c r="H315">
        <v>0</v>
      </c>
      <c r="I315">
        <v>0</v>
      </c>
      <c r="J315">
        <v>0</v>
      </c>
      <c r="K315">
        <f>IF(L315,TRUE,AND(O315:Q315))</f>
        <v>0</v>
      </c>
      <c r="L315">
        <f>COUNTBLANK(Metadata!B315:D315)=COLUMNS(Metadata!B315:D315)</f>
        <v>0</v>
      </c>
      <c r="M315">
        <v>0</v>
      </c>
      <c r="O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>
        <f>AND(IF(Metadata!C315="",FALSE,TRUE),exact(Metadata!C315,"rat metagenome"))</f>
        <v>0</v>
      </c>
      <c r="Q315">
        <f>AND(IF(Metadata!D315="",FALSE,TRUE),exact(Metadata!D315,"1427740"))</f>
        <v>0</v>
      </c>
    </row>
    <row r="316" spans="1:17">
      <c r="A316" s="4">
        <f>IF(B316=" "," ",HYPERLINK(CONCATENATE("#metadata!",ADDRESS(INDEX($J$2:$J$1001,MATCH(ROWS($H$2:H316),$H$2:$H$1001,0),0),1)),INDEX($M$2:$M$1001,MATCH(ROWS($H$2:H316),$H$2:$H$1001,0),0)))</f>
        <v>0</v>
      </c>
      <c r="B316" s="3">
        <f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>0</v>
      </c>
      <c r="C316" s="3">
        <f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>0</v>
      </c>
      <c r="D316" s="3">
        <f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>0</v>
      </c>
      <c r="H316">
        <v>0</v>
      </c>
      <c r="I316">
        <v>0</v>
      </c>
      <c r="J316">
        <v>0</v>
      </c>
      <c r="K316">
        <f>IF(L316,TRUE,AND(O316:Q316))</f>
        <v>0</v>
      </c>
      <c r="L316">
        <f>COUNTBLANK(Metadata!B316:D316)=COLUMNS(Metadata!B316:D316)</f>
        <v>0</v>
      </c>
      <c r="M316">
        <v>0</v>
      </c>
      <c r="O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>
        <f>AND(IF(Metadata!C316="",FALSE,TRUE),exact(Metadata!C316,"rat metagenome"))</f>
        <v>0</v>
      </c>
      <c r="Q316">
        <f>AND(IF(Metadata!D316="",FALSE,TRUE),exact(Metadata!D316,"1427740"))</f>
        <v>0</v>
      </c>
    </row>
    <row r="317" spans="1:17">
      <c r="A317" s="4">
        <f>IF(B317=" "," ",HYPERLINK(CONCATENATE("#metadata!",ADDRESS(INDEX($J$2:$J$1001,MATCH(ROWS($H$2:H317),$H$2:$H$1001,0),0),1)),INDEX($M$2:$M$1001,MATCH(ROWS($H$2:H317),$H$2:$H$1001,0),0)))</f>
        <v>0</v>
      </c>
      <c r="B317" s="3">
        <f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>0</v>
      </c>
      <c r="C317" s="3">
        <f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>0</v>
      </c>
      <c r="D317" s="3">
        <f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>0</v>
      </c>
      <c r="H317">
        <v>0</v>
      </c>
      <c r="I317">
        <v>0</v>
      </c>
      <c r="J317">
        <v>0</v>
      </c>
      <c r="K317">
        <f>IF(L317,TRUE,AND(O317:Q317))</f>
        <v>0</v>
      </c>
      <c r="L317">
        <f>COUNTBLANK(Metadata!B317:D317)=COLUMNS(Metadata!B317:D317)</f>
        <v>0</v>
      </c>
      <c r="M317">
        <v>0</v>
      </c>
      <c r="O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>
        <f>AND(IF(Metadata!C317="",FALSE,TRUE),exact(Metadata!C317,"rat metagenome"))</f>
        <v>0</v>
      </c>
      <c r="Q317">
        <f>AND(IF(Metadata!D317="",FALSE,TRUE),exact(Metadata!D317,"1427740"))</f>
        <v>0</v>
      </c>
    </row>
    <row r="318" spans="1:17">
      <c r="A318" s="4">
        <f>IF(B318=" "," ",HYPERLINK(CONCATENATE("#metadata!",ADDRESS(INDEX($J$2:$J$1001,MATCH(ROWS($H$2:H318),$H$2:$H$1001,0),0),1)),INDEX($M$2:$M$1001,MATCH(ROWS($H$2:H318),$H$2:$H$1001,0),0)))</f>
        <v>0</v>
      </c>
      <c r="B318" s="3">
        <f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>0</v>
      </c>
      <c r="C318" s="3">
        <f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>0</v>
      </c>
      <c r="D318" s="3">
        <f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>0</v>
      </c>
      <c r="H318">
        <v>0</v>
      </c>
      <c r="I318">
        <v>0</v>
      </c>
      <c r="J318">
        <v>0</v>
      </c>
      <c r="K318">
        <f>IF(L318,TRUE,AND(O318:Q318))</f>
        <v>0</v>
      </c>
      <c r="L318">
        <f>COUNTBLANK(Metadata!B318:D318)=COLUMNS(Metadata!B318:D318)</f>
        <v>0</v>
      </c>
      <c r="M318">
        <v>0</v>
      </c>
      <c r="O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>
        <f>AND(IF(Metadata!C318="",FALSE,TRUE),exact(Metadata!C318,"rat metagenome"))</f>
        <v>0</v>
      </c>
      <c r="Q318">
        <f>AND(IF(Metadata!D318="",FALSE,TRUE),exact(Metadata!D318,"1427740"))</f>
        <v>0</v>
      </c>
    </row>
    <row r="319" spans="1:17">
      <c r="A319" s="4">
        <f>IF(B319=" "," ",HYPERLINK(CONCATENATE("#metadata!",ADDRESS(INDEX($J$2:$J$1001,MATCH(ROWS($H$2:H319),$H$2:$H$1001,0),0),1)),INDEX($M$2:$M$1001,MATCH(ROWS($H$2:H319),$H$2:$H$1001,0),0)))</f>
        <v>0</v>
      </c>
      <c r="B319" s="3">
        <f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>0</v>
      </c>
      <c r="C319" s="3">
        <f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>0</v>
      </c>
      <c r="D319" s="3">
        <f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>0</v>
      </c>
      <c r="H319">
        <v>0</v>
      </c>
      <c r="I319">
        <v>0</v>
      </c>
      <c r="J319">
        <v>0</v>
      </c>
      <c r="K319">
        <f>IF(L319,TRUE,AND(O319:Q319))</f>
        <v>0</v>
      </c>
      <c r="L319">
        <f>COUNTBLANK(Metadata!B319:D319)=COLUMNS(Metadata!B319:D319)</f>
        <v>0</v>
      </c>
      <c r="M319">
        <v>0</v>
      </c>
      <c r="O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>
        <f>AND(IF(Metadata!C319="",FALSE,TRUE),exact(Metadata!C319,"rat metagenome"))</f>
        <v>0</v>
      </c>
      <c r="Q319">
        <f>AND(IF(Metadata!D319="",FALSE,TRUE),exact(Metadata!D319,"1427740"))</f>
        <v>0</v>
      </c>
    </row>
    <row r="320" spans="1:17">
      <c r="A320" s="4">
        <f>IF(B320=" "," ",HYPERLINK(CONCATENATE("#metadata!",ADDRESS(INDEX($J$2:$J$1001,MATCH(ROWS($H$2:H320),$H$2:$H$1001,0),0),1)),INDEX($M$2:$M$1001,MATCH(ROWS($H$2:H320),$H$2:$H$1001,0),0)))</f>
        <v>0</v>
      </c>
      <c r="B320" s="3">
        <f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>0</v>
      </c>
      <c r="C320" s="3">
        <f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>0</v>
      </c>
      <c r="D320" s="3">
        <f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>0</v>
      </c>
      <c r="H320">
        <v>0</v>
      </c>
      <c r="I320">
        <v>0</v>
      </c>
      <c r="J320">
        <v>0</v>
      </c>
      <c r="K320">
        <f>IF(L320,TRUE,AND(O320:Q320))</f>
        <v>0</v>
      </c>
      <c r="L320">
        <f>COUNTBLANK(Metadata!B320:D320)=COLUMNS(Metadata!B320:D320)</f>
        <v>0</v>
      </c>
      <c r="M320">
        <v>0</v>
      </c>
      <c r="O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>
        <f>AND(IF(Metadata!C320="",FALSE,TRUE),exact(Metadata!C320,"rat metagenome"))</f>
        <v>0</v>
      </c>
      <c r="Q320">
        <f>AND(IF(Metadata!D320="",FALSE,TRUE),exact(Metadata!D320,"1427740"))</f>
        <v>0</v>
      </c>
    </row>
    <row r="321" spans="1:17">
      <c r="A321" s="4">
        <f>IF(B321=" "," ",HYPERLINK(CONCATENATE("#metadata!",ADDRESS(INDEX($J$2:$J$1001,MATCH(ROWS($H$2:H321),$H$2:$H$1001,0),0),1)),INDEX($M$2:$M$1001,MATCH(ROWS($H$2:H321),$H$2:$H$1001,0),0)))</f>
        <v>0</v>
      </c>
      <c r="B321" s="3">
        <f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>0</v>
      </c>
      <c r="C321" s="3">
        <f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>0</v>
      </c>
      <c r="D321" s="3">
        <f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>0</v>
      </c>
      <c r="H321">
        <v>0</v>
      </c>
      <c r="I321">
        <v>0</v>
      </c>
      <c r="J321">
        <v>0</v>
      </c>
      <c r="K321">
        <f>IF(L321,TRUE,AND(O321:Q321))</f>
        <v>0</v>
      </c>
      <c r="L321">
        <f>COUNTBLANK(Metadata!B321:D321)=COLUMNS(Metadata!B321:D321)</f>
        <v>0</v>
      </c>
      <c r="M321">
        <v>0</v>
      </c>
      <c r="O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>
        <f>AND(IF(Metadata!C321="",FALSE,TRUE),exact(Metadata!C321,"rat metagenome"))</f>
        <v>0</v>
      </c>
      <c r="Q321">
        <f>AND(IF(Metadata!D321="",FALSE,TRUE),exact(Metadata!D321,"1427740"))</f>
        <v>0</v>
      </c>
    </row>
    <row r="322" spans="1:17">
      <c r="A322" s="4">
        <f>IF(B322=" "," ",HYPERLINK(CONCATENATE("#metadata!",ADDRESS(INDEX($J$2:$J$1001,MATCH(ROWS($H$2:H322),$H$2:$H$1001,0),0),1)),INDEX($M$2:$M$1001,MATCH(ROWS($H$2:H322),$H$2:$H$1001,0),0)))</f>
        <v>0</v>
      </c>
      <c r="B322" s="3">
        <f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>0</v>
      </c>
      <c r="C322" s="3">
        <f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>0</v>
      </c>
      <c r="D322" s="3">
        <f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>0</v>
      </c>
      <c r="H322">
        <v>0</v>
      </c>
      <c r="I322">
        <v>0</v>
      </c>
      <c r="J322">
        <v>0</v>
      </c>
      <c r="K322">
        <f>IF(L322,TRUE,AND(O322:Q322))</f>
        <v>0</v>
      </c>
      <c r="L322">
        <f>COUNTBLANK(Metadata!B322:D322)=COLUMNS(Metadata!B322:D322)</f>
        <v>0</v>
      </c>
      <c r="M322">
        <v>0</v>
      </c>
      <c r="O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>
        <f>AND(IF(Metadata!C322="",FALSE,TRUE),exact(Metadata!C322,"rat metagenome"))</f>
        <v>0</v>
      </c>
      <c r="Q322">
        <f>AND(IF(Metadata!D322="",FALSE,TRUE),exact(Metadata!D322,"1427740"))</f>
        <v>0</v>
      </c>
    </row>
    <row r="323" spans="1:17">
      <c r="A323" s="4">
        <f>IF(B323=" "," ",HYPERLINK(CONCATENATE("#metadata!",ADDRESS(INDEX($J$2:$J$1001,MATCH(ROWS($H$2:H323),$H$2:$H$1001,0),0),1)),INDEX($M$2:$M$1001,MATCH(ROWS($H$2:H323),$H$2:$H$1001,0),0)))</f>
        <v>0</v>
      </c>
      <c r="B323" s="3">
        <f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>0</v>
      </c>
      <c r="C323" s="3">
        <f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>0</v>
      </c>
      <c r="D323" s="3">
        <f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>0</v>
      </c>
      <c r="H323">
        <v>0</v>
      </c>
      <c r="I323">
        <v>0</v>
      </c>
      <c r="J323">
        <v>0</v>
      </c>
      <c r="K323">
        <f>IF(L323,TRUE,AND(O323:Q323))</f>
        <v>0</v>
      </c>
      <c r="L323">
        <f>COUNTBLANK(Metadata!B323:D323)=COLUMNS(Metadata!B323:D323)</f>
        <v>0</v>
      </c>
      <c r="M323">
        <v>0</v>
      </c>
      <c r="O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>
        <f>AND(IF(Metadata!C323="",FALSE,TRUE),exact(Metadata!C323,"rat metagenome"))</f>
        <v>0</v>
      </c>
      <c r="Q323">
        <f>AND(IF(Metadata!D323="",FALSE,TRUE),exact(Metadata!D323,"1427740"))</f>
        <v>0</v>
      </c>
    </row>
    <row r="324" spans="1:17">
      <c r="A324" s="4">
        <f>IF(B324=" "," ",HYPERLINK(CONCATENATE("#metadata!",ADDRESS(INDEX($J$2:$J$1001,MATCH(ROWS($H$2:H324),$H$2:$H$1001,0),0),1)),INDEX($M$2:$M$1001,MATCH(ROWS($H$2:H324),$H$2:$H$1001,0),0)))</f>
        <v>0</v>
      </c>
      <c r="B324" s="3">
        <f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>0</v>
      </c>
      <c r="C324" s="3">
        <f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>0</v>
      </c>
      <c r="D324" s="3">
        <f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>0</v>
      </c>
      <c r="H324">
        <v>0</v>
      </c>
      <c r="I324">
        <v>0</v>
      </c>
      <c r="J324">
        <v>0</v>
      </c>
      <c r="K324">
        <f>IF(L324,TRUE,AND(O324:Q324))</f>
        <v>0</v>
      </c>
      <c r="L324">
        <f>COUNTBLANK(Metadata!B324:D324)=COLUMNS(Metadata!B324:D324)</f>
        <v>0</v>
      </c>
      <c r="M324">
        <v>0</v>
      </c>
      <c r="O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>
        <f>AND(IF(Metadata!C324="",FALSE,TRUE),exact(Metadata!C324,"rat metagenome"))</f>
        <v>0</v>
      </c>
      <c r="Q324">
        <f>AND(IF(Metadata!D324="",FALSE,TRUE),exact(Metadata!D324,"1427740"))</f>
        <v>0</v>
      </c>
    </row>
    <row r="325" spans="1:17">
      <c r="A325" s="4">
        <f>IF(B325=" "," ",HYPERLINK(CONCATENATE("#metadata!",ADDRESS(INDEX($J$2:$J$1001,MATCH(ROWS($H$2:H325),$H$2:$H$1001,0),0),1)),INDEX($M$2:$M$1001,MATCH(ROWS($H$2:H325),$H$2:$H$1001,0),0)))</f>
        <v>0</v>
      </c>
      <c r="B325" s="3">
        <f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>0</v>
      </c>
      <c r="C325" s="3">
        <f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>0</v>
      </c>
      <c r="D325" s="3">
        <f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>0</v>
      </c>
      <c r="H325">
        <v>0</v>
      </c>
      <c r="I325">
        <v>0</v>
      </c>
      <c r="J325">
        <v>0</v>
      </c>
      <c r="K325">
        <f>IF(L325,TRUE,AND(O325:Q325))</f>
        <v>0</v>
      </c>
      <c r="L325">
        <f>COUNTBLANK(Metadata!B325:D325)=COLUMNS(Metadata!B325:D325)</f>
        <v>0</v>
      </c>
      <c r="M325">
        <v>0</v>
      </c>
      <c r="O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>
        <f>AND(IF(Metadata!C325="",FALSE,TRUE),exact(Metadata!C325,"rat metagenome"))</f>
        <v>0</v>
      </c>
      <c r="Q325">
        <f>AND(IF(Metadata!D325="",FALSE,TRUE),exact(Metadata!D325,"1427740"))</f>
        <v>0</v>
      </c>
    </row>
    <row r="326" spans="1:17">
      <c r="A326" s="4">
        <f>IF(B326=" "," ",HYPERLINK(CONCATENATE("#metadata!",ADDRESS(INDEX($J$2:$J$1001,MATCH(ROWS($H$2:H326),$H$2:$H$1001,0),0),1)),INDEX($M$2:$M$1001,MATCH(ROWS($H$2:H326),$H$2:$H$1001,0),0)))</f>
        <v>0</v>
      </c>
      <c r="B326" s="3">
        <f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>0</v>
      </c>
      <c r="C326" s="3">
        <f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>0</v>
      </c>
      <c r="D326" s="3">
        <f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>0</v>
      </c>
      <c r="H326">
        <v>0</v>
      </c>
      <c r="I326">
        <v>0</v>
      </c>
      <c r="J326">
        <v>0</v>
      </c>
      <c r="K326">
        <f>IF(L326,TRUE,AND(O326:Q326))</f>
        <v>0</v>
      </c>
      <c r="L326">
        <f>COUNTBLANK(Metadata!B326:D326)=COLUMNS(Metadata!B326:D326)</f>
        <v>0</v>
      </c>
      <c r="M326">
        <v>0</v>
      </c>
      <c r="O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>
        <f>AND(IF(Metadata!C326="",FALSE,TRUE),exact(Metadata!C326,"rat metagenome"))</f>
        <v>0</v>
      </c>
      <c r="Q326">
        <f>AND(IF(Metadata!D326="",FALSE,TRUE),exact(Metadata!D326,"1427740"))</f>
        <v>0</v>
      </c>
    </row>
    <row r="327" spans="1:17">
      <c r="A327" s="4">
        <f>IF(B327=" "," ",HYPERLINK(CONCATENATE("#metadata!",ADDRESS(INDEX($J$2:$J$1001,MATCH(ROWS($H$2:H327),$H$2:$H$1001,0),0),1)),INDEX($M$2:$M$1001,MATCH(ROWS($H$2:H327),$H$2:$H$1001,0),0)))</f>
        <v>0</v>
      </c>
      <c r="B327" s="3">
        <f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>0</v>
      </c>
      <c r="C327" s="3">
        <f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>0</v>
      </c>
      <c r="D327" s="3">
        <f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>0</v>
      </c>
      <c r="H327">
        <v>0</v>
      </c>
      <c r="I327">
        <v>0</v>
      </c>
      <c r="J327">
        <v>0</v>
      </c>
      <c r="K327">
        <f>IF(L327,TRUE,AND(O327:Q327))</f>
        <v>0</v>
      </c>
      <c r="L327">
        <f>COUNTBLANK(Metadata!B327:D327)=COLUMNS(Metadata!B327:D327)</f>
        <v>0</v>
      </c>
      <c r="M327">
        <v>0</v>
      </c>
      <c r="O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>
        <f>AND(IF(Metadata!C327="",FALSE,TRUE),exact(Metadata!C327,"rat metagenome"))</f>
        <v>0</v>
      </c>
      <c r="Q327">
        <f>AND(IF(Metadata!D327="",FALSE,TRUE),exact(Metadata!D327,"1427740"))</f>
        <v>0</v>
      </c>
    </row>
    <row r="328" spans="1:17">
      <c r="A328" s="4">
        <f>IF(B328=" "," ",HYPERLINK(CONCATENATE("#metadata!",ADDRESS(INDEX($J$2:$J$1001,MATCH(ROWS($H$2:H328),$H$2:$H$1001,0),0),1)),INDEX($M$2:$M$1001,MATCH(ROWS($H$2:H328),$H$2:$H$1001,0),0)))</f>
        <v>0</v>
      </c>
      <c r="B328" s="3">
        <f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>0</v>
      </c>
      <c r="C328" s="3">
        <f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>0</v>
      </c>
      <c r="D328" s="3">
        <f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>0</v>
      </c>
      <c r="H328">
        <v>0</v>
      </c>
      <c r="I328">
        <v>0</v>
      </c>
      <c r="J328">
        <v>0</v>
      </c>
      <c r="K328">
        <f>IF(L328,TRUE,AND(O328:Q328))</f>
        <v>0</v>
      </c>
      <c r="L328">
        <f>COUNTBLANK(Metadata!B328:D328)=COLUMNS(Metadata!B328:D328)</f>
        <v>0</v>
      </c>
      <c r="M328">
        <v>0</v>
      </c>
      <c r="O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>
        <f>AND(IF(Metadata!C328="",FALSE,TRUE),exact(Metadata!C328,"rat metagenome"))</f>
        <v>0</v>
      </c>
      <c r="Q328">
        <f>AND(IF(Metadata!D328="",FALSE,TRUE),exact(Metadata!D328,"1427740"))</f>
        <v>0</v>
      </c>
    </row>
    <row r="329" spans="1:17">
      <c r="A329" s="4">
        <f>IF(B329=" "," ",HYPERLINK(CONCATENATE("#metadata!",ADDRESS(INDEX($J$2:$J$1001,MATCH(ROWS($H$2:H329),$H$2:$H$1001,0),0),1)),INDEX($M$2:$M$1001,MATCH(ROWS($H$2:H329),$H$2:$H$1001,0),0)))</f>
        <v>0</v>
      </c>
      <c r="B329" s="3">
        <f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>0</v>
      </c>
      <c r="C329" s="3">
        <f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>0</v>
      </c>
      <c r="D329" s="3">
        <f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>0</v>
      </c>
      <c r="H329">
        <v>0</v>
      </c>
      <c r="I329">
        <v>0</v>
      </c>
      <c r="J329">
        <v>0</v>
      </c>
      <c r="K329">
        <f>IF(L329,TRUE,AND(O329:Q329))</f>
        <v>0</v>
      </c>
      <c r="L329">
        <f>COUNTBLANK(Metadata!B329:D329)=COLUMNS(Metadata!B329:D329)</f>
        <v>0</v>
      </c>
      <c r="M329">
        <v>0</v>
      </c>
      <c r="O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>
        <f>AND(IF(Metadata!C329="",FALSE,TRUE),exact(Metadata!C329,"rat metagenome"))</f>
        <v>0</v>
      </c>
      <c r="Q329">
        <f>AND(IF(Metadata!D329="",FALSE,TRUE),exact(Metadata!D329,"1427740"))</f>
        <v>0</v>
      </c>
    </row>
    <row r="330" spans="1:17">
      <c r="A330" s="4">
        <f>IF(B330=" "," ",HYPERLINK(CONCATENATE("#metadata!",ADDRESS(INDEX($J$2:$J$1001,MATCH(ROWS($H$2:H330),$H$2:$H$1001,0),0),1)),INDEX($M$2:$M$1001,MATCH(ROWS($H$2:H330),$H$2:$H$1001,0),0)))</f>
        <v>0</v>
      </c>
      <c r="B330" s="3">
        <f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>0</v>
      </c>
      <c r="C330" s="3">
        <f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>0</v>
      </c>
      <c r="D330" s="3">
        <f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>0</v>
      </c>
      <c r="H330">
        <v>0</v>
      </c>
      <c r="I330">
        <v>0</v>
      </c>
      <c r="J330">
        <v>0</v>
      </c>
      <c r="K330">
        <f>IF(L330,TRUE,AND(O330:Q330))</f>
        <v>0</v>
      </c>
      <c r="L330">
        <f>COUNTBLANK(Metadata!B330:D330)=COLUMNS(Metadata!B330:D330)</f>
        <v>0</v>
      </c>
      <c r="M330">
        <v>0</v>
      </c>
      <c r="O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>
        <f>AND(IF(Metadata!C330="",FALSE,TRUE),exact(Metadata!C330,"rat metagenome"))</f>
        <v>0</v>
      </c>
      <c r="Q330">
        <f>AND(IF(Metadata!D330="",FALSE,TRUE),exact(Metadata!D330,"1427740"))</f>
        <v>0</v>
      </c>
    </row>
    <row r="331" spans="1:17">
      <c r="A331" s="4">
        <f>IF(B331=" "," ",HYPERLINK(CONCATENATE("#metadata!",ADDRESS(INDEX($J$2:$J$1001,MATCH(ROWS($H$2:H331),$H$2:$H$1001,0),0),1)),INDEX($M$2:$M$1001,MATCH(ROWS($H$2:H331),$H$2:$H$1001,0),0)))</f>
        <v>0</v>
      </c>
      <c r="B331" s="3">
        <f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>0</v>
      </c>
      <c r="C331" s="3">
        <f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>0</v>
      </c>
      <c r="D331" s="3">
        <f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>0</v>
      </c>
      <c r="H331">
        <v>0</v>
      </c>
      <c r="I331">
        <v>0</v>
      </c>
      <c r="J331">
        <v>0</v>
      </c>
      <c r="K331">
        <f>IF(L331,TRUE,AND(O331:Q331))</f>
        <v>0</v>
      </c>
      <c r="L331">
        <f>COUNTBLANK(Metadata!B331:D331)=COLUMNS(Metadata!B331:D331)</f>
        <v>0</v>
      </c>
      <c r="M331">
        <v>0</v>
      </c>
      <c r="O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>
        <f>AND(IF(Metadata!C331="",FALSE,TRUE),exact(Metadata!C331,"rat metagenome"))</f>
        <v>0</v>
      </c>
      <c r="Q331">
        <f>AND(IF(Metadata!D331="",FALSE,TRUE),exact(Metadata!D331,"1427740"))</f>
        <v>0</v>
      </c>
    </row>
    <row r="332" spans="1:17">
      <c r="A332" s="4">
        <f>IF(B332=" "," ",HYPERLINK(CONCATENATE("#metadata!",ADDRESS(INDEX($J$2:$J$1001,MATCH(ROWS($H$2:H332),$H$2:$H$1001,0),0),1)),INDEX($M$2:$M$1001,MATCH(ROWS($H$2:H332),$H$2:$H$1001,0),0)))</f>
        <v>0</v>
      </c>
      <c r="B332" s="3">
        <f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>0</v>
      </c>
      <c r="C332" s="3">
        <f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>0</v>
      </c>
      <c r="D332" s="3">
        <f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>0</v>
      </c>
      <c r="H332">
        <v>0</v>
      </c>
      <c r="I332">
        <v>0</v>
      </c>
      <c r="J332">
        <v>0</v>
      </c>
      <c r="K332">
        <f>IF(L332,TRUE,AND(O332:Q332))</f>
        <v>0</v>
      </c>
      <c r="L332">
        <f>COUNTBLANK(Metadata!B332:D332)=COLUMNS(Metadata!B332:D332)</f>
        <v>0</v>
      </c>
      <c r="M332">
        <v>0</v>
      </c>
      <c r="O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>
        <f>AND(IF(Metadata!C332="",FALSE,TRUE),exact(Metadata!C332,"rat metagenome"))</f>
        <v>0</v>
      </c>
      <c r="Q332">
        <f>AND(IF(Metadata!D332="",FALSE,TRUE),exact(Metadata!D332,"1427740"))</f>
        <v>0</v>
      </c>
    </row>
    <row r="333" spans="1:17">
      <c r="A333" s="4">
        <f>IF(B333=" "," ",HYPERLINK(CONCATENATE("#metadata!",ADDRESS(INDEX($J$2:$J$1001,MATCH(ROWS($H$2:H333),$H$2:$H$1001,0),0),1)),INDEX($M$2:$M$1001,MATCH(ROWS($H$2:H333),$H$2:$H$1001,0),0)))</f>
        <v>0</v>
      </c>
      <c r="B333" s="3">
        <f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>0</v>
      </c>
      <c r="C333" s="3">
        <f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>0</v>
      </c>
      <c r="D333" s="3">
        <f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>0</v>
      </c>
      <c r="H333">
        <v>0</v>
      </c>
      <c r="I333">
        <v>0</v>
      </c>
      <c r="J333">
        <v>0</v>
      </c>
      <c r="K333">
        <f>IF(L333,TRUE,AND(O333:Q333))</f>
        <v>0</v>
      </c>
      <c r="L333">
        <f>COUNTBLANK(Metadata!B333:D333)=COLUMNS(Metadata!B333:D333)</f>
        <v>0</v>
      </c>
      <c r="M333">
        <v>0</v>
      </c>
      <c r="O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>
        <f>AND(IF(Metadata!C333="",FALSE,TRUE),exact(Metadata!C333,"rat metagenome"))</f>
        <v>0</v>
      </c>
      <c r="Q333">
        <f>AND(IF(Metadata!D333="",FALSE,TRUE),exact(Metadata!D333,"1427740"))</f>
        <v>0</v>
      </c>
    </row>
    <row r="334" spans="1:17">
      <c r="A334" s="4">
        <f>IF(B334=" "," ",HYPERLINK(CONCATENATE("#metadata!",ADDRESS(INDEX($J$2:$J$1001,MATCH(ROWS($H$2:H334),$H$2:$H$1001,0),0),1)),INDEX($M$2:$M$1001,MATCH(ROWS($H$2:H334),$H$2:$H$1001,0),0)))</f>
        <v>0</v>
      </c>
      <c r="B334" s="3">
        <f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>0</v>
      </c>
      <c r="C334" s="3">
        <f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>0</v>
      </c>
      <c r="D334" s="3">
        <f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>0</v>
      </c>
      <c r="H334">
        <v>0</v>
      </c>
      <c r="I334">
        <v>0</v>
      </c>
      <c r="J334">
        <v>0</v>
      </c>
      <c r="K334">
        <f>IF(L334,TRUE,AND(O334:Q334))</f>
        <v>0</v>
      </c>
      <c r="L334">
        <f>COUNTBLANK(Metadata!B334:D334)=COLUMNS(Metadata!B334:D334)</f>
        <v>0</v>
      </c>
      <c r="M334">
        <v>0</v>
      </c>
      <c r="O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>
        <f>AND(IF(Metadata!C334="",FALSE,TRUE),exact(Metadata!C334,"rat metagenome"))</f>
        <v>0</v>
      </c>
      <c r="Q334">
        <f>AND(IF(Metadata!D334="",FALSE,TRUE),exact(Metadata!D334,"1427740"))</f>
        <v>0</v>
      </c>
    </row>
    <row r="335" spans="1:17">
      <c r="A335" s="4">
        <f>IF(B335=" "," ",HYPERLINK(CONCATENATE("#metadata!",ADDRESS(INDEX($J$2:$J$1001,MATCH(ROWS($H$2:H335),$H$2:$H$1001,0),0),1)),INDEX($M$2:$M$1001,MATCH(ROWS($H$2:H335),$H$2:$H$1001,0),0)))</f>
        <v>0</v>
      </c>
      <c r="B335" s="3">
        <f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>0</v>
      </c>
      <c r="C335" s="3">
        <f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>0</v>
      </c>
      <c r="D335" s="3">
        <f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>0</v>
      </c>
      <c r="H335">
        <v>0</v>
      </c>
      <c r="I335">
        <v>0</v>
      </c>
      <c r="J335">
        <v>0</v>
      </c>
      <c r="K335">
        <f>IF(L335,TRUE,AND(O335:Q335))</f>
        <v>0</v>
      </c>
      <c r="L335">
        <f>COUNTBLANK(Metadata!B335:D335)=COLUMNS(Metadata!B335:D335)</f>
        <v>0</v>
      </c>
      <c r="M335">
        <v>0</v>
      </c>
      <c r="O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>
        <f>AND(IF(Metadata!C335="",FALSE,TRUE),exact(Metadata!C335,"rat metagenome"))</f>
        <v>0</v>
      </c>
      <c r="Q335">
        <f>AND(IF(Metadata!D335="",FALSE,TRUE),exact(Metadata!D335,"1427740"))</f>
        <v>0</v>
      </c>
    </row>
    <row r="336" spans="1:17">
      <c r="A336" s="4">
        <f>IF(B336=" "," ",HYPERLINK(CONCATENATE("#metadata!",ADDRESS(INDEX($J$2:$J$1001,MATCH(ROWS($H$2:H336),$H$2:$H$1001,0),0),1)),INDEX($M$2:$M$1001,MATCH(ROWS($H$2:H336),$H$2:$H$1001,0),0)))</f>
        <v>0</v>
      </c>
      <c r="B336" s="3">
        <f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>0</v>
      </c>
      <c r="C336" s="3">
        <f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>0</v>
      </c>
      <c r="D336" s="3">
        <f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>0</v>
      </c>
      <c r="H336">
        <v>0</v>
      </c>
      <c r="I336">
        <v>0</v>
      </c>
      <c r="J336">
        <v>0</v>
      </c>
      <c r="K336">
        <f>IF(L336,TRUE,AND(O336:Q336))</f>
        <v>0</v>
      </c>
      <c r="L336">
        <f>COUNTBLANK(Metadata!B336:D336)=COLUMNS(Metadata!B336:D336)</f>
        <v>0</v>
      </c>
      <c r="M336">
        <v>0</v>
      </c>
      <c r="O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>
        <f>AND(IF(Metadata!C336="",FALSE,TRUE),exact(Metadata!C336,"rat metagenome"))</f>
        <v>0</v>
      </c>
      <c r="Q336">
        <f>AND(IF(Metadata!D336="",FALSE,TRUE),exact(Metadata!D336,"1427740"))</f>
        <v>0</v>
      </c>
    </row>
    <row r="337" spans="1:17">
      <c r="A337" s="4">
        <f>IF(B337=" "," ",HYPERLINK(CONCATENATE("#metadata!",ADDRESS(INDEX($J$2:$J$1001,MATCH(ROWS($H$2:H337),$H$2:$H$1001,0),0),1)),INDEX($M$2:$M$1001,MATCH(ROWS($H$2:H337),$H$2:$H$1001,0),0)))</f>
        <v>0</v>
      </c>
      <c r="B337" s="3">
        <f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>0</v>
      </c>
      <c r="C337" s="3">
        <f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>0</v>
      </c>
      <c r="D337" s="3">
        <f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>0</v>
      </c>
      <c r="H337">
        <v>0</v>
      </c>
      <c r="I337">
        <v>0</v>
      </c>
      <c r="J337">
        <v>0</v>
      </c>
      <c r="K337">
        <f>IF(L337,TRUE,AND(O337:Q337))</f>
        <v>0</v>
      </c>
      <c r="L337">
        <f>COUNTBLANK(Metadata!B337:D337)=COLUMNS(Metadata!B337:D337)</f>
        <v>0</v>
      </c>
      <c r="M337">
        <v>0</v>
      </c>
      <c r="O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>
        <f>AND(IF(Metadata!C337="",FALSE,TRUE),exact(Metadata!C337,"rat metagenome"))</f>
        <v>0</v>
      </c>
      <c r="Q337">
        <f>AND(IF(Metadata!D337="",FALSE,TRUE),exact(Metadata!D337,"1427740"))</f>
        <v>0</v>
      </c>
    </row>
    <row r="338" spans="1:17">
      <c r="A338" s="4">
        <f>IF(B338=" "," ",HYPERLINK(CONCATENATE("#metadata!",ADDRESS(INDEX($J$2:$J$1001,MATCH(ROWS($H$2:H338),$H$2:$H$1001,0),0),1)),INDEX($M$2:$M$1001,MATCH(ROWS($H$2:H338),$H$2:$H$1001,0),0)))</f>
        <v>0</v>
      </c>
      <c r="B338" s="3">
        <f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>0</v>
      </c>
      <c r="C338" s="3">
        <f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>0</v>
      </c>
      <c r="D338" s="3">
        <f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>0</v>
      </c>
      <c r="H338">
        <v>0</v>
      </c>
      <c r="I338">
        <v>0</v>
      </c>
      <c r="J338">
        <v>0</v>
      </c>
      <c r="K338">
        <f>IF(L338,TRUE,AND(O338:Q338))</f>
        <v>0</v>
      </c>
      <c r="L338">
        <f>COUNTBLANK(Metadata!B338:D338)=COLUMNS(Metadata!B338:D338)</f>
        <v>0</v>
      </c>
      <c r="M338">
        <v>0</v>
      </c>
      <c r="O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>
        <f>AND(IF(Metadata!C338="",FALSE,TRUE),exact(Metadata!C338,"rat metagenome"))</f>
        <v>0</v>
      </c>
      <c r="Q338">
        <f>AND(IF(Metadata!D338="",FALSE,TRUE),exact(Metadata!D338,"1427740"))</f>
        <v>0</v>
      </c>
    </row>
    <row r="339" spans="1:17">
      <c r="A339" s="4">
        <f>IF(B339=" "," ",HYPERLINK(CONCATENATE("#metadata!",ADDRESS(INDEX($J$2:$J$1001,MATCH(ROWS($H$2:H339),$H$2:$H$1001,0),0),1)),INDEX($M$2:$M$1001,MATCH(ROWS($H$2:H339),$H$2:$H$1001,0),0)))</f>
        <v>0</v>
      </c>
      <c r="B339" s="3">
        <f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>0</v>
      </c>
      <c r="C339" s="3">
        <f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>0</v>
      </c>
      <c r="D339" s="3">
        <f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>0</v>
      </c>
      <c r="H339">
        <v>0</v>
      </c>
      <c r="I339">
        <v>0</v>
      </c>
      <c r="J339">
        <v>0</v>
      </c>
      <c r="K339">
        <f>IF(L339,TRUE,AND(O339:Q339))</f>
        <v>0</v>
      </c>
      <c r="L339">
        <f>COUNTBLANK(Metadata!B339:D339)=COLUMNS(Metadata!B339:D339)</f>
        <v>0</v>
      </c>
      <c r="M339">
        <v>0</v>
      </c>
      <c r="O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>
        <f>AND(IF(Metadata!C339="",FALSE,TRUE),exact(Metadata!C339,"rat metagenome"))</f>
        <v>0</v>
      </c>
      <c r="Q339">
        <f>AND(IF(Metadata!D339="",FALSE,TRUE),exact(Metadata!D339,"1427740"))</f>
        <v>0</v>
      </c>
    </row>
    <row r="340" spans="1:17">
      <c r="A340" s="4">
        <f>IF(B340=" "," ",HYPERLINK(CONCATENATE("#metadata!",ADDRESS(INDEX($J$2:$J$1001,MATCH(ROWS($H$2:H340),$H$2:$H$1001,0),0),1)),INDEX($M$2:$M$1001,MATCH(ROWS($H$2:H340),$H$2:$H$1001,0),0)))</f>
        <v>0</v>
      </c>
      <c r="B340" s="3">
        <f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>0</v>
      </c>
      <c r="C340" s="3">
        <f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>0</v>
      </c>
      <c r="D340" s="3">
        <f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>0</v>
      </c>
      <c r="H340">
        <v>0</v>
      </c>
      <c r="I340">
        <v>0</v>
      </c>
      <c r="J340">
        <v>0</v>
      </c>
      <c r="K340">
        <f>IF(L340,TRUE,AND(O340:Q340))</f>
        <v>0</v>
      </c>
      <c r="L340">
        <f>COUNTBLANK(Metadata!B340:D340)=COLUMNS(Metadata!B340:D340)</f>
        <v>0</v>
      </c>
      <c r="M340">
        <v>0</v>
      </c>
      <c r="O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>
        <f>AND(IF(Metadata!C340="",FALSE,TRUE),exact(Metadata!C340,"rat metagenome"))</f>
        <v>0</v>
      </c>
      <c r="Q340">
        <f>AND(IF(Metadata!D340="",FALSE,TRUE),exact(Metadata!D340,"1427740"))</f>
        <v>0</v>
      </c>
    </row>
    <row r="341" spans="1:17">
      <c r="A341" s="4">
        <f>IF(B341=" "," ",HYPERLINK(CONCATENATE("#metadata!",ADDRESS(INDEX($J$2:$J$1001,MATCH(ROWS($H$2:H341),$H$2:$H$1001,0),0),1)),INDEX($M$2:$M$1001,MATCH(ROWS($H$2:H341),$H$2:$H$1001,0),0)))</f>
        <v>0</v>
      </c>
      <c r="B341" s="3">
        <f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>0</v>
      </c>
      <c r="C341" s="3">
        <f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>0</v>
      </c>
      <c r="D341" s="3">
        <f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>0</v>
      </c>
      <c r="H341">
        <v>0</v>
      </c>
      <c r="I341">
        <v>0</v>
      </c>
      <c r="J341">
        <v>0</v>
      </c>
      <c r="K341">
        <f>IF(L341,TRUE,AND(O341:Q341))</f>
        <v>0</v>
      </c>
      <c r="L341">
        <f>COUNTBLANK(Metadata!B341:D341)=COLUMNS(Metadata!B341:D341)</f>
        <v>0</v>
      </c>
      <c r="M341">
        <v>0</v>
      </c>
      <c r="O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>
        <f>AND(IF(Metadata!C341="",FALSE,TRUE),exact(Metadata!C341,"rat metagenome"))</f>
        <v>0</v>
      </c>
      <c r="Q341">
        <f>AND(IF(Metadata!D341="",FALSE,TRUE),exact(Metadata!D341,"1427740"))</f>
        <v>0</v>
      </c>
    </row>
    <row r="342" spans="1:17">
      <c r="A342" s="4">
        <f>IF(B342=" "," ",HYPERLINK(CONCATENATE("#metadata!",ADDRESS(INDEX($J$2:$J$1001,MATCH(ROWS($H$2:H342),$H$2:$H$1001,0),0),1)),INDEX($M$2:$M$1001,MATCH(ROWS($H$2:H342),$H$2:$H$1001,0),0)))</f>
        <v>0</v>
      </c>
      <c r="B342" s="3">
        <f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>0</v>
      </c>
      <c r="C342" s="3">
        <f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>0</v>
      </c>
      <c r="D342" s="3">
        <f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>0</v>
      </c>
      <c r="H342">
        <v>0</v>
      </c>
      <c r="I342">
        <v>0</v>
      </c>
      <c r="J342">
        <v>0</v>
      </c>
      <c r="K342">
        <f>IF(L342,TRUE,AND(O342:Q342))</f>
        <v>0</v>
      </c>
      <c r="L342">
        <f>COUNTBLANK(Metadata!B342:D342)=COLUMNS(Metadata!B342:D342)</f>
        <v>0</v>
      </c>
      <c r="M342">
        <v>0</v>
      </c>
      <c r="O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>
        <f>AND(IF(Metadata!C342="",FALSE,TRUE),exact(Metadata!C342,"rat metagenome"))</f>
        <v>0</v>
      </c>
      <c r="Q342">
        <f>AND(IF(Metadata!D342="",FALSE,TRUE),exact(Metadata!D342,"1427740"))</f>
        <v>0</v>
      </c>
    </row>
    <row r="343" spans="1:17">
      <c r="A343" s="4">
        <f>IF(B343=" "," ",HYPERLINK(CONCATENATE("#metadata!",ADDRESS(INDEX($J$2:$J$1001,MATCH(ROWS($H$2:H343),$H$2:$H$1001,0),0),1)),INDEX($M$2:$M$1001,MATCH(ROWS($H$2:H343),$H$2:$H$1001,0),0)))</f>
        <v>0</v>
      </c>
      <c r="B343" s="3">
        <f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>0</v>
      </c>
      <c r="C343" s="3">
        <f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>0</v>
      </c>
      <c r="D343" s="3">
        <f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>0</v>
      </c>
      <c r="H343">
        <v>0</v>
      </c>
      <c r="I343">
        <v>0</v>
      </c>
      <c r="J343">
        <v>0</v>
      </c>
      <c r="K343">
        <f>IF(L343,TRUE,AND(O343:Q343))</f>
        <v>0</v>
      </c>
      <c r="L343">
        <f>COUNTBLANK(Metadata!B343:D343)=COLUMNS(Metadata!B343:D343)</f>
        <v>0</v>
      </c>
      <c r="M343">
        <v>0</v>
      </c>
      <c r="O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>
        <f>AND(IF(Metadata!C343="",FALSE,TRUE),exact(Metadata!C343,"rat metagenome"))</f>
        <v>0</v>
      </c>
      <c r="Q343">
        <f>AND(IF(Metadata!D343="",FALSE,TRUE),exact(Metadata!D343,"1427740"))</f>
        <v>0</v>
      </c>
    </row>
    <row r="344" spans="1:17">
      <c r="A344" s="4">
        <f>IF(B344=" "," ",HYPERLINK(CONCATENATE("#metadata!",ADDRESS(INDEX($J$2:$J$1001,MATCH(ROWS($H$2:H344),$H$2:$H$1001,0),0),1)),INDEX($M$2:$M$1001,MATCH(ROWS($H$2:H344),$H$2:$H$1001,0),0)))</f>
        <v>0</v>
      </c>
      <c r="B344" s="3">
        <f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>0</v>
      </c>
      <c r="C344" s="3">
        <f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>0</v>
      </c>
      <c r="D344" s="3">
        <f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>0</v>
      </c>
      <c r="H344">
        <v>0</v>
      </c>
      <c r="I344">
        <v>0</v>
      </c>
      <c r="J344">
        <v>0</v>
      </c>
      <c r="K344">
        <f>IF(L344,TRUE,AND(O344:Q344))</f>
        <v>0</v>
      </c>
      <c r="L344">
        <f>COUNTBLANK(Metadata!B344:D344)=COLUMNS(Metadata!B344:D344)</f>
        <v>0</v>
      </c>
      <c r="M344">
        <v>0</v>
      </c>
      <c r="O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>
        <f>AND(IF(Metadata!C344="",FALSE,TRUE),exact(Metadata!C344,"rat metagenome"))</f>
        <v>0</v>
      </c>
      <c r="Q344">
        <f>AND(IF(Metadata!D344="",FALSE,TRUE),exact(Metadata!D344,"1427740"))</f>
        <v>0</v>
      </c>
    </row>
    <row r="345" spans="1:17">
      <c r="A345" s="4">
        <f>IF(B345=" "," ",HYPERLINK(CONCATENATE("#metadata!",ADDRESS(INDEX($J$2:$J$1001,MATCH(ROWS($H$2:H345),$H$2:$H$1001,0),0),1)),INDEX($M$2:$M$1001,MATCH(ROWS($H$2:H345),$H$2:$H$1001,0),0)))</f>
        <v>0</v>
      </c>
      <c r="B345" s="3">
        <f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>0</v>
      </c>
      <c r="C345" s="3">
        <f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>0</v>
      </c>
      <c r="D345" s="3">
        <f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>0</v>
      </c>
      <c r="H345">
        <v>0</v>
      </c>
      <c r="I345">
        <v>0</v>
      </c>
      <c r="J345">
        <v>0</v>
      </c>
      <c r="K345">
        <f>IF(L345,TRUE,AND(O345:Q345))</f>
        <v>0</v>
      </c>
      <c r="L345">
        <f>COUNTBLANK(Metadata!B345:D345)=COLUMNS(Metadata!B345:D345)</f>
        <v>0</v>
      </c>
      <c r="M345">
        <v>0</v>
      </c>
      <c r="O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>
        <f>AND(IF(Metadata!C345="",FALSE,TRUE),exact(Metadata!C345,"rat metagenome"))</f>
        <v>0</v>
      </c>
      <c r="Q345">
        <f>AND(IF(Metadata!D345="",FALSE,TRUE),exact(Metadata!D345,"1427740"))</f>
        <v>0</v>
      </c>
    </row>
    <row r="346" spans="1:17">
      <c r="A346" s="4">
        <f>IF(B346=" "," ",HYPERLINK(CONCATENATE("#metadata!",ADDRESS(INDEX($J$2:$J$1001,MATCH(ROWS($H$2:H346),$H$2:$H$1001,0),0),1)),INDEX($M$2:$M$1001,MATCH(ROWS($H$2:H346),$H$2:$H$1001,0),0)))</f>
        <v>0</v>
      </c>
      <c r="B346" s="3">
        <f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>0</v>
      </c>
      <c r="C346" s="3">
        <f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>0</v>
      </c>
      <c r="D346" s="3">
        <f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>0</v>
      </c>
      <c r="H346">
        <v>0</v>
      </c>
      <c r="I346">
        <v>0</v>
      </c>
      <c r="J346">
        <v>0</v>
      </c>
      <c r="K346">
        <f>IF(L346,TRUE,AND(O346:Q346))</f>
        <v>0</v>
      </c>
      <c r="L346">
        <f>COUNTBLANK(Metadata!B346:D346)=COLUMNS(Metadata!B346:D346)</f>
        <v>0</v>
      </c>
      <c r="M346">
        <v>0</v>
      </c>
      <c r="O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>
        <f>AND(IF(Metadata!C346="",FALSE,TRUE),exact(Metadata!C346,"rat metagenome"))</f>
        <v>0</v>
      </c>
      <c r="Q346">
        <f>AND(IF(Metadata!D346="",FALSE,TRUE),exact(Metadata!D346,"1427740"))</f>
        <v>0</v>
      </c>
    </row>
    <row r="347" spans="1:17">
      <c r="A347" s="4">
        <f>IF(B347=" "," ",HYPERLINK(CONCATENATE("#metadata!",ADDRESS(INDEX($J$2:$J$1001,MATCH(ROWS($H$2:H347),$H$2:$H$1001,0),0),1)),INDEX($M$2:$M$1001,MATCH(ROWS($H$2:H347),$H$2:$H$1001,0),0)))</f>
        <v>0</v>
      </c>
      <c r="B347" s="3">
        <f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>0</v>
      </c>
      <c r="C347" s="3">
        <f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>0</v>
      </c>
      <c r="D347" s="3">
        <f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>0</v>
      </c>
      <c r="H347">
        <v>0</v>
      </c>
      <c r="I347">
        <v>0</v>
      </c>
      <c r="J347">
        <v>0</v>
      </c>
      <c r="K347">
        <f>IF(L347,TRUE,AND(O347:Q347))</f>
        <v>0</v>
      </c>
      <c r="L347">
        <f>COUNTBLANK(Metadata!B347:D347)=COLUMNS(Metadata!B347:D347)</f>
        <v>0</v>
      </c>
      <c r="M347">
        <v>0</v>
      </c>
      <c r="O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>
        <f>AND(IF(Metadata!C347="",FALSE,TRUE),exact(Metadata!C347,"rat metagenome"))</f>
        <v>0</v>
      </c>
      <c r="Q347">
        <f>AND(IF(Metadata!D347="",FALSE,TRUE),exact(Metadata!D347,"1427740"))</f>
        <v>0</v>
      </c>
    </row>
    <row r="348" spans="1:17">
      <c r="A348" s="4">
        <f>IF(B348=" "," ",HYPERLINK(CONCATENATE("#metadata!",ADDRESS(INDEX($J$2:$J$1001,MATCH(ROWS($H$2:H348),$H$2:$H$1001,0),0),1)),INDEX($M$2:$M$1001,MATCH(ROWS($H$2:H348),$H$2:$H$1001,0),0)))</f>
        <v>0</v>
      </c>
      <c r="B348" s="3">
        <f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>0</v>
      </c>
      <c r="C348" s="3">
        <f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>0</v>
      </c>
      <c r="D348" s="3">
        <f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>0</v>
      </c>
      <c r="H348">
        <v>0</v>
      </c>
      <c r="I348">
        <v>0</v>
      </c>
      <c r="J348">
        <v>0</v>
      </c>
      <c r="K348">
        <f>IF(L348,TRUE,AND(O348:Q348))</f>
        <v>0</v>
      </c>
      <c r="L348">
        <f>COUNTBLANK(Metadata!B348:D348)=COLUMNS(Metadata!B348:D348)</f>
        <v>0</v>
      </c>
      <c r="M348">
        <v>0</v>
      </c>
      <c r="O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>
        <f>AND(IF(Metadata!C348="",FALSE,TRUE),exact(Metadata!C348,"rat metagenome"))</f>
        <v>0</v>
      </c>
      <c r="Q348">
        <f>AND(IF(Metadata!D348="",FALSE,TRUE),exact(Metadata!D348,"1427740"))</f>
        <v>0</v>
      </c>
    </row>
    <row r="349" spans="1:17">
      <c r="A349" s="4">
        <f>IF(B349=" "," ",HYPERLINK(CONCATENATE("#metadata!",ADDRESS(INDEX($J$2:$J$1001,MATCH(ROWS($H$2:H349),$H$2:$H$1001,0),0),1)),INDEX($M$2:$M$1001,MATCH(ROWS($H$2:H349),$H$2:$H$1001,0),0)))</f>
        <v>0</v>
      </c>
      <c r="B349" s="3">
        <f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>0</v>
      </c>
      <c r="C349" s="3">
        <f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>0</v>
      </c>
      <c r="D349" s="3">
        <f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>0</v>
      </c>
      <c r="H349">
        <v>0</v>
      </c>
      <c r="I349">
        <v>0</v>
      </c>
      <c r="J349">
        <v>0</v>
      </c>
      <c r="K349">
        <f>IF(L349,TRUE,AND(O349:Q349))</f>
        <v>0</v>
      </c>
      <c r="L349">
        <f>COUNTBLANK(Metadata!B349:D349)=COLUMNS(Metadata!B349:D349)</f>
        <v>0</v>
      </c>
      <c r="M349">
        <v>0</v>
      </c>
      <c r="O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>
        <f>AND(IF(Metadata!C349="",FALSE,TRUE),exact(Metadata!C349,"rat metagenome"))</f>
        <v>0</v>
      </c>
      <c r="Q349">
        <f>AND(IF(Metadata!D349="",FALSE,TRUE),exact(Metadata!D349,"1427740"))</f>
        <v>0</v>
      </c>
    </row>
    <row r="350" spans="1:17">
      <c r="A350" s="4">
        <f>IF(B350=" "," ",HYPERLINK(CONCATENATE("#metadata!",ADDRESS(INDEX($J$2:$J$1001,MATCH(ROWS($H$2:H350),$H$2:$H$1001,0),0),1)),INDEX($M$2:$M$1001,MATCH(ROWS($H$2:H350),$H$2:$H$1001,0),0)))</f>
        <v>0</v>
      </c>
      <c r="B350" s="3">
        <f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>0</v>
      </c>
      <c r="C350" s="3">
        <f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>0</v>
      </c>
      <c r="D350" s="3">
        <f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>0</v>
      </c>
      <c r="H350">
        <v>0</v>
      </c>
      <c r="I350">
        <v>0</v>
      </c>
      <c r="J350">
        <v>0</v>
      </c>
      <c r="K350">
        <f>IF(L350,TRUE,AND(O350:Q350))</f>
        <v>0</v>
      </c>
      <c r="L350">
        <f>COUNTBLANK(Metadata!B350:D350)=COLUMNS(Metadata!B350:D350)</f>
        <v>0</v>
      </c>
      <c r="M350">
        <v>0</v>
      </c>
      <c r="O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>
        <f>AND(IF(Metadata!C350="",FALSE,TRUE),exact(Metadata!C350,"rat metagenome"))</f>
        <v>0</v>
      </c>
      <c r="Q350">
        <f>AND(IF(Metadata!D350="",FALSE,TRUE),exact(Metadata!D350,"1427740"))</f>
        <v>0</v>
      </c>
    </row>
    <row r="351" spans="1:17">
      <c r="A351" s="4">
        <f>IF(B351=" "," ",HYPERLINK(CONCATENATE("#metadata!",ADDRESS(INDEX($J$2:$J$1001,MATCH(ROWS($H$2:H351),$H$2:$H$1001,0),0),1)),INDEX($M$2:$M$1001,MATCH(ROWS($H$2:H351),$H$2:$H$1001,0),0)))</f>
        <v>0</v>
      </c>
      <c r="B351" s="3">
        <f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>0</v>
      </c>
      <c r="C351" s="3">
        <f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>0</v>
      </c>
      <c r="D351" s="3">
        <f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>0</v>
      </c>
      <c r="H351">
        <v>0</v>
      </c>
      <c r="I351">
        <v>0</v>
      </c>
      <c r="J351">
        <v>0</v>
      </c>
      <c r="K351">
        <f>IF(L351,TRUE,AND(O351:Q351))</f>
        <v>0</v>
      </c>
      <c r="L351">
        <f>COUNTBLANK(Metadata!B351:D351)=COLUMNS(Metadata!B351:D351)</f>
        <v>0</v>
      </c>
      <c r="M351">
        <v>0</v>
      </c>
      <c r="O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>
        <f>AND(IF(Metadata!C351="",FALSE,TRUE),exact(Metadata!C351,"rat metagenome"))</f>
        <v>0</v>
      </c>
      <c r="Q351">
        <f>AND(IF(Metadata!D351="",FALSE,TRUE),exact(Metadata!D351,"1427740"))</f>
        <v>0</v>
      </c>
    </row>
    <row r="352" spans="1:17">
      <c r="A352" s="4">
        <f>IF(B352=" "," ",HYPERLINK(CONCATENATE("#metadata!",ADDRESS(INDEX($J$2:$J$1001,MATCH(ROWS($H$2:H352),$H$2:$H$1001,0),0),1)),INDEX($M$2:$M$1001,MATCH(ROWS($H$2:H352),$H$2:$H$1001,0),0)))</f>
        <v>0</v>
      </c>
      <c r="B352" s="3">
        <f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>0</v>
      </c>
      <c r="C352" s="3">
        <f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>0</v>
      </c>
      <c r="D352" s="3">
        <f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>0</v>
      </c>
      <c r="H352">
        <v>0</v>
      </c>
      <c r="I352">
        <v>0</v>
      </c>
      <c r="J352">
        <v>0</v>
      </c>
      <c r="K352">
        <f>IF(L352,TRUE,AND(O352:Q352))</f>
        <v>0</v>
      </c>
      <c r="L352">
        <f>COUNTBLANK(Metadata!B352:D352)=COLUMNS(Metadata!B352:D352)</f>
        <v>0</v>
      </c>
      <c r="M352">
        <v>0</v>
      </c>
      <c r="O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>
        <f>AND(IF(Metadata!C352="",FALSE,TRUE),exact(Metadata!C352,"rat metagenome"))</f>
        <v>0</v>
      </c>
      <c r="Q352">
        <f>AND(IF(Metadata!D352="",FALSE,TRUE),exact(Metadata!D352,"1427740"))</f>
        <v>0</v>
      </c>
    </row>
    <row r="353" spans="1:17">
      <c r="A353" s="4">
        <f>IF(B353=" "," ",HYPERLINK(CONCATENATE("#metadata!",ADDRESS(INDEX($J$2:$J$1001,MATCH(ROWS($H$2:H353),$H$2:$H$1001,0),0),1)),INDEX($M$2:$M$1001,MATCH(ROWS($H$2:H353),$H$2:$H$1001,0),0)))</f>
        <v>0</v>
      </c>
      <c r="B353" s="3">
        <f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>0</v>
      </c>
      <c r="C353" s="3">
        <f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>0</v>
      </c>
      <c r="D353" s="3">
        <f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>0</v>
      </c>
      <c r="H353">
        <v>0</v>
      </c>
      <c r="I353">
        <v>0</v>
      </c>
      <c r="J353">
        <v>0</v>
      </c>
      <c r="K353">
        <f>IF(L353,TRUE,AND(O353:Q353))</f>
        <v>0</v>
      </c>
      <c r="L353">
        <f>COUNTBLANK(Metadata!B353:D353)=COLUMNS(Metadata!B353:D353)</f>
        <v>0</v>
      </c>
      <c r="M353">
        <v>0</v>
      </c>
      <c r="O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>
        <f>AND(IF(Metadata!C353="",FALSE,TRUE),exact(Metadata!C353,"rat metagenome"))</f>
        <v>0</v>
      </c>
      <c r="Q353">
        <f>AND(IF(Metadata!D353="",FALSE,TRUE),exact(Metadata!D353,"1427740"))</f>
        <v>0</v>
      </c>
    </row>
    <row r="354" spans="1:17">
      <c r="A354" s="4">
        <f>IF(B354=" "," ",HYPERLINK(CONCATENATE("#metadata!",ADDRESS(INDEX($J$2:$J$1001,MATCH(ROWS($H$2:H354),$H$2:$H$1001,0),0),1)),INDEX($M$2:$M$1001,MATCH(ROWS($H$2:H354),$H$2:$H$1001,0),0)))</f>
        <v>0</v>
      </c>
      <c r="B354" s="3">
        <f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>0</v>
      </c>
      <c r="C354" s="3">
        <f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>0</v>
      </c>
      <c r="D354" s="3">
        <f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>0</v>
      </c>
      <c r="H354">
        <v>0</v>
      </c>
      <c r="I354">
        <v>0</v>
      </c>
      <c r="J354">
        <v>0</v>
      </c>
      <c r="K354">
        <f>IF(L354,TRUE,AND(O354:Q354))</f>
        <v>0</v>
      </c>
      <c r="L354">
        <f>COUNTBLANK(Metadata!B354:D354)=COLUMNS(Metadata!B354:D354)</f>
        <v>0</v>
      </c>
      <c r="M354">
        <v>0</v>
      </c>
      <c r="O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>
        <f>AND(IF(Metadata!C354="",FALSE,TRUE),exact(Metadata!C354,"rat metagenome"))</f>
        <v>0</v>
      </c>
      <c r="Q354">
        <f>AND(IF(Metadata!D354="",FALSE,TRUE),exact(Metadata!D354,"1427740"))</f>
        <v>0</v>
      </c>
    </row>
    <row r="355" spans="1:17">
      <c r="A355" s="4">
        <f>IF(B355=" "," ",HYPERLINK(CONCATENATE("#metadata!",ADDRESS(INDEX($J$2:$J$1001,MATCH(ROWS($H$2:H355),$H$2:$H$1001,0),0),1)),INDEX($M$2:$M$1001,MATCH(ROWS($H$2:H355),$H$2:$H$1001,0),0)))</f>
        <v>0</v>
      </c>
      <c r="B355" s="3">
        <f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>0</v>
      </c>
      <c r="C355" s="3">
        <f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>0</v>
      </c>
      <c r="D355" s="3">
        <f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>0</v>
      </c>
      <c r="H355">
        <v>0</v>
      </c>
      <c r="I355">
        <v>0</v>
      </c>
      <c r="J355">
        <v>0</v>
      </c>
      <c r="K355">
        <f>IF(L355,TRUE,AND(O355:Q355))</f>
        <v>0</v>
      </c>
      <c r="L355">
        <f>COUNTBLANK(Metadata!B355:D355)=COLUMNS(Metadata!B355:D355)</f>
        <v>0</v>
      </c>
      <c r="M355">
        <v>0</v>
      </c>
      <c r="O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>
        <f>AND(IF(Metadata!C355="",FALSE,TRUE),exact(Metadata!C355,"rat metagenome"))</f>
        <v>0</v>
      </c>
      <c r="Q355">
        <f>AND(IF(Metadata!D355="",FALSE,TRUE),exact(Metadata!D355,"1427740"))</f>
        <v>0</v>
      </c>
    </row>
    <row r="356" spans="1:17">
      <c r="A356" s="4">
        <f>IF(B356=" "," ",HYPERLINK(CONCATENATE("#metadata!",ADDRESS(INDEX($J$2:$J$1001,MATCH(ROWS($H$2:H356),$H$2:$H$1001,0),0),1)),INDEX($M$2:$M$1001,MATCH(ROWS($H$2:H356),$H$2:$H$1001,0),0)))</f>
        <v>0</v>
      </c>
      <c r="B356" s="3">
        <f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>0</v>
      </c>
      <c r="C356" s="3">
        <f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>0</v>
      </c>
      <c r="D356" s="3">
        <f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>0</v>
      </c>
      <c r="H356">
        <v>0</v>
      </c>
      <c r="I356">
        <v>0</v>
      </c>
      <c r="J356">
        <v>0</v>
      </c>
      <c r="K356">
        <f>IF(L356,TRUE,AND(O356:Q356))</f>
        <v>0</v>
      </c>
      <c r="L356">
        <f>COUNTBLANK(Metadata!B356:D356)=COLUMNS(Metadata!B356:D356)</f>
        <v>0</v>
      </c>
      <c r="M356">
        <v>0</v>
      </c>
      <c r="O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>
        <f>AND(IF(Metadata!C356="",FALSE,TRUE),exact(Metadata!C356,"rat metagenome"))</f>
        <v>0</v>
      </c>
      <c r="Q356">
        <f>AND(IF(Metadata!D356="",FALSE,TRUE),exact(Metadata!D356,"1427740"))</f>
        <v>0</v>
      </c>
    </row>
    <row r="357" spans="1:17">
      <c r="A357" s="4">
        <f>IF(B357=" "," ",HYPERLINK(CONCATENATE("#metadata!",ADDRESS(INDEX($J$2:$J$1001,MATCH(ROWS($H$2:H357),$H$2:$H$1001,0),0),1)),INDEX($M$2:$M$1001,MATCH(ROWS($H$2:H357),$H$2:$H$1001,0),0)))</f>
        <v>0</v>
      </c>
      <c r="B357" s="3">
        <f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>0</v>
      </c>
      <c r="C357" s="3">
        <f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>0</v>
      </c>
      <c r="D357" s="3">
        <f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>0</v>
      </c>
      <c r="H357">
        <v>0</v>
      </c>
      <c r="I357">
        <v>0</v>
      </c>
      <c r="J357">
        <v>0</v>
      </c>
      <c r="K357">
        <f>IF(L357,TRUE,AND(O357:Q357))</f>
        <v>0</v>
      </c>
      <c r="L357">
        <f>COUNTBLANK(Metadata!B357:D357)=COLUMNS(Metadata!B357:D357)</f>
        <v>0</v>
      </c>
      <c r="M357">
        <v>0</v>
      </c>
      <c r="O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>
        <f>AND(IF(Metadata!C357="",FALSE,TRUE),exact(Metadata!C357,"rat metagenome"))</f>
        <v>0</v>
      </c>
      <c r="Q357">
        <f>AND(IF(Metadata!D357="",FALSE,TRUE),exact(Metadata!D357,"1427740"))</f>
        <v>0</v>
      </c>
    </row>
    <row r="358" spans="1:17">
      <c r="A358" s="4">
        <f>IF(B358=" "," ",HYPERLINK(CONCATENATE("#metadata!",ADDRESS(INDEX($J$2:$J$1001,MATCH(ROWS($H$2:H358),$H$2:$H$1001,0),0),1)),INDEX($M$2:$M$1001,MATCH(ROWS($H$2:H358),$H$2:$H$1001,0),0)))</f>
        <v>0</v>
      </c>
      <c r="B358" s="3">
        <f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>0</v>
      </c>
      <c r="C358" s="3">
        <f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>0</v>
      </c>
      <c r="D358" s="3">
        <f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>0</v>
      </c>
      <c r="H358">
        <v>0</v>
      </c>
      <c r="I358">
        <v>0</v>
      </c>
      <c r="J358">
        <v>0</v>
      </c>
      <c r="K358">
        <f>IF(L358,TRUE,AND(O358:Q358))</f>
        <v>0</v>
      </c>
      <c r="L358">
        <f>COUNTBLANK(Metadata!B358:D358)=COLUMNS(Metadata!B358:D358)</f>
        <v>0</v>
      </c>
      <c r="M358">
        <v>0</v>
      </c>
      <c r="O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>
        <f>AND(IF(Metadata!C358="",FALSE,TRUE),exact(Metadata!C358,"rat metagenome"))</f>
        <v>0</v>
      </c>
      <c r="Q358">
        <f>AND(IF(Metadata!D358="",FALSE,TRUE),exact(Metadata!D358,"1427740"))</f>
        <v>0</v>
      </c>
    </row>
    <row r="359" spans="1:17">
      <c r="A359" s="4">
        <f>IF(B359=" "," ",HYPERLINK(CONCATENATE("#metadata!",ADDRESS(INDEX($J$2:$J$1001,MATCH(ROWS($H$2:H359),$H$2:$H$1001,0),0),1)),INDEX($M$2:$M$1001,MATCH(ROWS($H$2:H359),$H$2:$H$1001,0),0)))</f>
        <v>0</v>
      </c>
      <c r="B359" s="3">
        <f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>0</v>
      </c>
      <c r="C359" s="3">
        <f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>0</v>
      </c>
      <c r="D359" s="3">
        <f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>0</v>
      </c>
      <c r="H359">
        <v>0</v>
      </c>
      <c r="I359">
        <v>0</v>
      </c>
      <c r="J359">
        <v>0</v>
      </c>
      <c r="K359">
        <f>IF(L359,TRUE,AND(O359:Q359))</f>
        <v>0</v>
      </c>
      <c r="L359">
        <f>COUNTBLANK(Metadata!B359:D359)=COLUMNS(Metadata!B359:D359)</f>
        <v>0</v>
      </c>
      <c r="M359">
        <v>0</v>
      </c>
      <c r="O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>
        <f>AND(IF(Metadata!C359="",FALSE,TRUE),exact(Metadata!C359,"rat metagenome"))</f>
        <v>0</v>
      </c>
      <c r="Q359">
        <f>AND(IF(Metadata!D359="",FALSE,TRUE),exact(Metadata!D359,"1427740"))</f>
        <v>0</v>
      </c>
    </row>
    <row r="360" spans="1:17">
      <c r="A360" s="4">
        <f>IF(B360=" "," ",HYPERLINK(CONCATENATE("#metadata!",ADDRESS(INDEX($J$2:$J$1001,MATCH(ROWS($H$2:H360),$H$2:$H$1001,0),0),1)),INDEX($M$2:$M$1001,MATCH(ROWS($H$2:H360),$H$2:$H$1001,0),0)))</f>
        <v>0</v>
      </c>
      <c r="B360" s="3">
        <f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>0</v>
      </c>
      <c r="C360" s="3">
        <f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>0</v>
      </c>
      <c r="D360" s="3">
        <f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>0</v>
      </c>
      <c r="H360">
        <v>0</v>
      </c>
      <c r="I360">
        <v>0</v>
      </c>
      <c r="J360">
        <v>0</v>
      </c>
      <c r="K360">
        <f>IF(L360,TRUE,AND(O360:Q360))</f>
        <v>0</v>
      </c>
      <c r="L360">
        <f>COUNTBLANK(Metadata!B360:D360)=COLUMNS(Metadata!B360:D360)</f>
        <v>0</v>
      </c>
      <c r="M360">
        <v>0</v>
      </c>
      <c r="O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>
        <f>AND(IF(Metadata!C360="",FALSE,TRUE),exact(Metadata!C360,"rat metagenome"))</f>
        <v>0</v>
      </c>
      <c r="Q360">
        <f>AND(IF(Metadata!D360="",FALSE,TRUE),exact(Metadata!D360,"1427740"))</f>
        <v>0</v>
      </c>
    </row>
    <row r="361" spans="1:17">
      <c r="A361" s="4">
        <f>IF(B361=" "," ",HYPERLINK(CONCATENATE("#metadata!",ADDRESS(INDEX($J$2:$J$1001,MATCH(ROWS($H$2:H361),$H$2:$H$1001,0),0),1)),INDEX($M$2:$M$1001,MATCH(ROWS($H$2:H361),$H$2:$H$1001,0),0)))</f>
        <v>0</v>
      </c>
      <c r="B361" s="3">
        <f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>0</v>
      </c>
      <c r="C361" s="3">
        <f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>0</v>
      </c>
      <c r="D361" s="3">
        <f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>0</v>
      </c>
      <c r="H361">
        <v>0</v>
      </c>
      <c r="I361">
        <v>0</v>
      </c>
      <c r="J361">
        <v>0</v>
      </c>
      <c r="K361">
        <f>IF(L361,TRUE,AND(O361:Q361))</f>
        <v>0</v>
      </c>
      <c r="L361">
        <f>COUNTBLANK(Metadata!B361:D361)=COLUMNS(Metadata!B361:D361)</f>
        <v>0</v>
      </c>
      <c r="M361">
        <v>0</v>
      </c>
      <c r="O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>
        <f>AND(IF(Metadata!C361="",FALSE,TRUE),exact(Metadata!C361,"rat metagenome"))</f>
        <v>0</v>
      </c>
      <c r="Q361">
        <f>AND(IF(Metadata!D361="",FALSE,TRUE),exact(Metadata!D361,"1427740"))</f>
        <v>0</v>
      </c>
    </row>
    <row r="362" spans="1:17">
      <c r="A362" s="4">
        <f>IF(B362=" "," ",HYPERLINK(CONCATENATE("#metadata!",ADDRESS(INDEX($J$2:$J$1001,MATCH(ROWS($H$2:H362),$H$2:$H$1001,0),0),1)),INDEX($M$2:$M$1001,MATCH(ROWS($H$2:H362),$H$2:$H$1001,0),0)))</f>
        <v>0</v>
      </c>
      <c r="B362" s="3">
        <f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>0</v>
      </c>
      <c r="C362" s="3">
        <f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>0</v>
      </c>
      <c r="D362" s="3">
        <f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>0</v>
      </c>
      <c r="H362">
        <v>0</v>
      </c>
      <c r="I362">
        <v>0</v>
      </c>
      <c r="J362">
        <v>0</v>
      </c>
      <c r="K362">
        <f>IF(L362,TRUE,AND(O362:Q362))</f>
        <v>0</v>
      </c>
      <c r="L362">
        <f>COUNTBLANK(Metadata!B362:D362)=COLUMNS(Metadata!B362:D362)</f>
        <v>0</v>
      </c>
      <c r="M362">
        <v>0</v>
      </c>
      <c r="O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>
        <f>AND(IF(Metadata!C362="",FALSE,TRUE),exact(Metadata!C362,"rat metagenome"))</f>
        <v>0</v>
      </c>
      <c r="Q362">
        <f>AND(IF(Metadata!D362="",FALSE,TRUE),exact(Metadata!D362,"1427740"))</f>
        <v>0</v>
      </c>
    </row>
    <row r="363" spans="1:17">
      <c r="A363" s="4">
        <f>IF(B363=" "," ",HYPERLINK(CONCATENATE("#metadata!",ADDRESS(INDEX($J$2:$J$1001,MATCH(ROWS($H$2:H363),$H$2:$H$1001,0),0),1)),INDEX($M$2:$M$1001,MATCH(ROWS($H$2:H363),$H$2:$H$1001,0),0)))</f>
        <v>0</v>
      </c>
      <c r="B363" s="3">
        <f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>0</v>
      </c>
      <c r="C363" s="3">
        <f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>0</v>
      </c>
      <c r="D363" s="3">
        <f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>0</v>
      </c>
      <c r="H363">
        <v>0</v>
      </c>
      <c r="I363">
        <v>0</v>
      </c>
      <c r="J363">
        <v>0</v>
      </c>
      <c r="K363">
        <f>IF(L363,TRUE,AND(O363:Q363))</f>
        <v>0</v>
      </c>
      <c r="L363">
        <f>COUNTBLANK(Metadata!B363:D363)=COLUMNS(Metadata!B363:D363)</f>
        <v>0</v>
      </c>
      <c r="M363">
        <v>0</v>
      </c>
      <c r="O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>
        <f>AND(IF(Metadata!C363="",FALSE,TRUE),exact(Metadata!C363,"rat metagenome"))</f>
        <v>0</v>
      </c>
      <c r="Q363">
        <f>AND(IF(Metadata!D363="",FALSE,TRUE),exact(Metadata!D363,"1427740"))</f>
        <v>0</v>
      </c>
    </row>
    <row r="364" spans="1:17">
      <c r="A364" s="4">
        <f>IF(B364=" "," ",HYPERLINK(CONCATENATE("#metadata!",ADDRESS(INDEX($J$2:$J$1001,MATCH(ROWS($H$2:H364),$H$2:$H$1001,0),0),1)),INDEX($M$2:$M$1001,MATCH(ROWS($H$2:H364),$H$2:$H$1001,0),0)))</f>
        <v>0</v>
      </c>
      <c r="B364" s="3">
        <f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>0</v>
      </c>
      <c r="C364" s="3">
        <f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>0</v>
      </c>
      <c r="D364" s="3">
        <f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>0</v>
      </c>
      <c r="H364">
        <v>0</v>
      </c>
      <c r="I364">
        <v>0</v>
      </c>
      <c r="J364">
        <v>0</v>
      </c>
      <c r="K364">
        <f>IF(L364,TRUE,AND(O364:Q364))</f>
        <v>0</v>
      </c>
      <c r="L364">
        <f>COUNTBLANK(Metadata!B364:D364)=COLUMNS(Metadata!B364:D364)</f>
        <v>0</v>
      </c>
      <c r="M364">
        <v>0</v>
      </c>
      <c r="O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>
        <f>AND(IF(Metadata!C364="",FALSE,TRUE),exact(Metadata!C364,"rat metagenome"))</f>
        <v>0</v>
      </c>
      <c r="Q364">
        <f>AND(IF(Metadata!D364="",FALSE,TRUE),exact(Metadata!D364,"1427740"))</f>
        <v>0</v>
      </c>
    </row>
    <row r="365" spans="1:17">
      <c r="A365" s="4">
        <f>IF(B365=" "," ",HYPERLINK(CONCATENATE("#metadata!",ADDRESS(INDEX($J$2:$J$1001,MATCH(ROWS($H$2:H365),$H$2:$H$1001,0),0),1)),INDEX($M$2:$M$1001,MATCH(ROWS($H$2:H365),$H$2:$H$1001,0),0)))</f>
        <v>0</v>
      </c>
      <c r="B365" s="3">
        <f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>0</v>
      </c>
      <c r="C365" s="3">
        <f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>0</v>
      </c>
      <c r="D365" s="3">
        <f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>0</v>
      </c>
      <c r="H365">
        <v>0</v>
      </c>
      <c r="I365">
        <v>0</v>
      </c>
      <c r="J365">
        <v>0</v>
      </c>
      <c r="K365">
        <f>IF(L365,TRUE,AND(O365:Q365))</f>
        <v>0</v>
      </c>
      <c r="L365">
        <f>COUNTBLANK(Metadata!B365:D365)=COLUMNS(Metadata!B365:D365)</f>
        <v>0</v>
      </c>
      <c r="M365">
        <v>0</v>
      </c>
      <c r="O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>
        <f>AND(IF(Metadata!C365="",FALSE,TRUE),exact(Metadata!C365,"rat metagenome"))</f>
        <v>0</v>
      </c>
      <c r="Q365">
        <f>AND(IF(Metadata!D365="",FALSE,TRUE),exact(Metadata!D365,"1427740"))</f>
        <v>0</v>
      </c>
    </row>
    <row r="366" spans="1:17">
      <c r="A366" s="4">
        <f>IF(B366=" "," ",HYPERLINK(CONCATENATE("#metadata!",ADDRESS(INDEX($J$2:$J$1001,MATCH(ROWS($H$2:H366),$H$2:$H$1001,0),0),1)),INDEX($M$2:$M$1001,MATCH(ROWS($H$2:H366),$H$2:$H$1001,0),0)))</f>
        <v>0</v>
      </c>
      <c r="B366" s="3">
        <f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>0</v>
      </c>
      <c r="C366" s="3">
        <f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>0</v>
      </c>
      <c r="D366" s="3">
        <f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>0</v>
      </c>
      <c r="H366">
        <v>0</v>
      </c>
      <c r="I366">
        <v>0</v>
      </c>
      <c r="J366">
        <v>0</v>
      </c>
      <c r="K366">
        <f>IF(L366,TRUE,AND(O366:Q366))</f>
        <v>0</v>
      </c>
      <c r="L366">
        <f>COUNTBLANK(Metadata!B366:D366)=COLUMNS(Metadata!B366:D366)</f>
        <v>0</v>
      </c>
      <c r="M366">
        <v>0</v>
      </c>
      <c r="O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>
        <f>AND(IF(Metadata!C366="",FALSE,TRUE),exact(Metadata!C366,"rat metagenome"))</f>
        <v>0</v>
      </c>
      <c r="Q366">
        <f>AND(IF(Metadata!D366="",FALSE,TRUE),exact(Metadata!D366,"1427740"))</f>
        <v>0</v>
      </c>
    </row>
    <row r="367" spans="1:17">
      <c r="A367" s="4">
        <f>IF(B367=" "," ",HYPERLINK(CONCATENATE("#metadata!",ADDRESS(INDEX($J$2:$J$1001,MATCH(ROWS($H$2:H367),$H$2:$H$1001,0),0),1)),INDEX($M$2:$M$1001,MATCH(ROWS($H$2:H367),$H$2:$H$1001,0),0)))</f>
        <v>0</v>
      </c>
      <c r="B367" s="3">
        <f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>0</v>
      </c>
      <c r="C367" s="3">
        <f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>0</v>
      </c>
      <c r="D367" s="3">
        <f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>0</v>
      </c>
      <c r="H367">
        <v>0</v>
      </c>
      <c r="I367">
        <v>0</v>
      </c>
      <c r="J367">
        <v>0</v>
      </c>
      <c r="K367">
        <f>IF(L367,TRUE,AND(O367:Q367))</f>
        <v>0</v>
      </c>
      <c r="L367">
        <f>COUNTBLANK(Metadata!B367:D367)=COLUMNS(Metadata!B367:D367)</f>
        <v>0</v>
      </c>
      <c r="M367">
        <v>0</v>
      </c>
      <c r="O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>
        <f>AND(IF(Metadata!C367="",FALSE,TRUE),exact(Metadata!C367,"rat metagenome"))</f>
        <v>0</v>
      </c>
      <c r="Q367">
        <f>AND(IF(Metadata!D367="",FALSE,TRUE),exact(Metadata!D367,"1427740"))</f>
        <v>0</v>
      </c>
    </row>
    <row r="368" spans="1:17">
      <c r="A368" s="4">
        <f>IF(B368=" "," ",HYPERLINK(CONCATENATE("#metadata!",ADDRESS(INDEX($J$2:$J$1001,MATCH(ROWS($H$2:H368),$H$2:$H$1001,0),0),1)),INDEX($M$2:$M$1001,MATCH(ROWS($H$2:H368),$H$2:$H$1001,0),0)))</f>
        <v>0</v>
      </c>
      <c r="B368" s="3">
        <f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>0</v>
      </c>
      <c r="C368" s="3">
        <f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>0</v>
      </c>
      <c r="D368" s="3">
        <f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>0</v>
      </c>
      <c r="H368">
        <v>0</v>
      </c>
      <c r="I368">
        <v>0</v>
      </c>
      <c r="J368">
        <v>0</v>
      </c>
      <c r="K368">
        <f>IF(L368,TRUE,AND(O368:Q368))</f>
        <v>0</v>
      </c>
      <c r="L368">
        <f>COUNTBLANK(Metadata!B368:D368)=COLUMNS(Metadata!B368:D368)</f>
        <v>0</v>
      </c>
      <c r="M368">
        <v>0</v>
      </c>
      <c r="O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>
        <f>AND(IF(Metadata!C368="",FALSE,TRUE),exact(Metadata!C368,"rat metagenome"))</f>
        <v>0</v>
      </c>
      <c r="Q368">
        <f>AND(IF(Metadata!D368="",FALSE,TRUE),exact(Metadata!D368,"1427740"))</f>
        <v>0</v>
      </c>
    </row>
    <row r="369" spans="1:17">
      <c r="A369" s="4">
        <f>IF(B369=" "," ",HYPERLINK(CONCATENATE("#metadata!",ADDRESS(INDEX($J$2:$J$1001,MATCH(ROWS($H$2:H369),$H$2:$H$1001,0),0),1)),INDEX($M$2:$M$1001,MATCH(ROWS($H$2:H369),$H$2:$H$1001,0),0)))</f>
        <v>0</v>
      </c>
      <c r="B369" s="3">
        <f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>0</v>
      </c>
      <c r="C369" s="3">
        <f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>0</v>
      </c>
      <c r="D369" s="3">
        <f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>0</v>
      </c>
      <c r="H369">
        <v>0</v>
      </c>
      <c r="I369">
        <v>0</v>
      </c>
      <c r="J369">
        <v>0</v>
      </c>
      <c r="K369">
        <f>IF(L369,TRUE,AND(O369:Q369))</f>
        <v>0</v>
      </c>
      <c r="L369">
        <f>COUNTBLANK(Metadata!B369:D369)=COLUMNS(Metadata!B369:D369)</f>
        <v>0</v>
      </c>
      <c r="M369">
        <v>0</v>
      </c>
      <c r="O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>
        <f>AND(IF(Metadata!C369="",FALSE,TRUE),exact(Metadata!C369,"rat metagenome"))</f>
        <v>0</v>
      </c>
      <c r="Q369">
        <f>AND(IF(Metadata!D369="",FALSE,TRUE),exact(Metadata!D369,"1427740"))</f>
        <v>0</v>
      </c>
    </row>
    <row r="370" spans="1:17">
      <c r="A370" s="4">
        <f>IF(B370=" "," ",HYPERLINK(CONCATENATE("#metadata!",ADDRESS(INDEX($J$2:$J$1001,MATCH(ROWS($H$2:H370),$H$2:$H$1001,0),0),1)),INDEX($M$2:$M$1001,MATCH(ROWS($H$2:H370),$H$2:$H$1001,0),0)))</f>
        <v>0</v>
      </c>
      <c r="B370" s="3">
        <f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>0</v>
      </c>
      <c r="C370" s="3">
        <f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>0</v>
      </c>
      <c r="D370" s="3">
        <f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>0</v>
      </c>
      <c r="H370">
        <v>0</v>
      </c>
      <c r="I370">
        <v>0</v>
      </c>
      <c r="J370">
        <v>0</v>
      </c>
      <c r="K370">
        <f>IF(L370,TRUE,AND(O370:Q370))</f>
        <v>0</v>
      </c>
      <c r="L370">
        <f>COUNTBLANK(Metadata!B370:D370)=COLUMNS(Metadata!B370:D370)</f>
        <v>0</v>
      </c>
      <c r="M370">
        <v>0</v>
      </c>
      <c r="O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>
        <f>AND(IF(Metadata!C370="",FALSE,TRUE),exact(Metadata!C370,"rat metagenome"))</f>
        <v>0</v>
      </c>
      <c r="Q370">
        <f>AND(IF(Metadata!D370="",FALSE,TRUE),exact(Metadata!D370,"1427740"))</f>
        <v>0</v>
      </c>
    </row>
    <row r="371" spans="1:17">
      <c r="A371" s="4">
        <f>IF(B371=" "," ",HYPERLINK(CONCATENATE("#metadata!",ADDRESS(INDEX($J$2:$J$1001,MATCH(ROWS($H$2:H371),$H$2:$H$1001,0),0),1)),INDEX($M$2:$M$1001,MATCH(ROWS($H$2:H371),$H$2:$H$1001,0),0)))</f>
        <v>0</v>
      </c>
      <c r="B371" s="3">
        <f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>0</v>
      </c>
      <c r="C371" s="3">
        <f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>0</v>
      </c>
      <c r="D371" s="3">
        <f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>0</v>
      </c>
      <c r="H371">
        <v>0</v>
      </c>
      <c r="I371">
        <v>0</v>
      </c>
      <c r="J371">
        <v>0</v>
      </c>
      <c r="K371">
        <f>IF(L371,TRUE,AND(O371:Q371))</f>
        <v>0</v>
      </c>
      <c r="L371">
        <f>COUNTBLANK(Metadata!B371:D371)=COLUMNS(Metadata!B371:D371)</f>
        <v>0</v>
      </c>
      <c r="M371">
        <v>0</v>
      </c>
      <c r="O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>
        <f>AND(IF(Metadata!C371="",FALSE,TRUE),exact(Metadata!C371,"rat metagenome"))</f>
        <v>0</v>
      </c>
      <c r="Q371">
        <f>AND(IF(Metadata!D371="",FALSE,TRUE),exact(Metadata!D371,"1427740"))</f>
        <v>0</v>
      </c>
    </row>
    <row r="372" spans="1:17">
      <c r="A372" s="4">
        <f>IF(B372=" "," ",HYPERLINK(CONCATENATE("#metadata!",ADDRESS(INDEX($J$2:$J$1001,MATCH(ROWS($H$2:H372),$H$2:$H$1001,0),0),1)),INDEX($M$2:$M$1001,MATCH(ROWS($H$2:H372),$H$2:$H$1001,0),0)))</f>
        <v>0</v>
      </c>
      <c r="B372" s="3">
        <f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>0</v>
      </c>
      <c r="C372" s="3">
        <f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>0</v>
      </c>
      <c r="D372" s="3">
        <f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>0</v>
      </c>
      <c r="H372">
        <v>0</v>
      </c>
      <c r="I372">
        <v>0</v>
      </c>
      <c r="J372">
        <v>0</v>
      </c>
      <c r="K372">
        <f>IF(L372,TRUE,AND(O372:Q372))</f>
        <v>0</v>
      </c>
      <c r="L372">
        <f>COUNTBLANK(Metadata!B372:D372)=COLUMNS(Metadata!B372:D372)</f>
        <v>0</v>
      </c>
      <c r="M372">
        <v>0</v>
      </c>
      <c r="O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>
        <f>AND(IF(Metadata!C372="",FALSE,TRUE),exact(Metadata!C372,"rat metagenome"))</f>
        <v>0</v>
      </c>
      <c r="Q372">
        <f>AND(IF(Metadata!D372="",FALSE,TRUE),exact(Metadata!D372,"1427740"))</f>
        <v>0</v>
      </c>
    </row>
    <row r="373" spans="1:17">
      <c r="A373" s="4">
        <f>IF(B373=" "," ",HYPERLINK(CONCATENATE("#metadata!",ADDRESS(INDEX($J$2:$J$1001,MATCH(ROWS($H$2:H373),$H$2:$H$1001,0),0),1)),INDEX($M$2:$M$1001,MATCH(ROWS($H$2:H373),$H$2:$H$1001,0),0)))</f>
        <v>0</v>
      </c>
      <c r="B373" s="3">
        <f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>0</v>
      </c>
      <c r="C373" s="3">
        <f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>0</v>
      </c>
      <c r="D373" s="3">
        <f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>0</v>
      </c>
      <c r="H373">
        <v>0</v>
      </c>
      <c r="I373">
        <v>0</v>
      </c>
      <c r="J373">
        <v>0</v>
      </c>
      <c r="K373">
        <f>IF(L373,TRUE,AND(O373:Q373))</f>
        <v>0</v>
      </c>
      <c r="L373">
        <f>COUNTBLANK(Metadata!B373:D373)=COLUMNS(Metadata!B373:D373)</f>
        <v>0</v>
      </c>
      <c r="M373">
        <v>0</v>
      </c>
      <c r="O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>
        <f>AND(IF(Metadata!C373="",FALSE,TRUE),exact(Metadata!C373,"rat metagenome"))</f>
        <v>0</v>
      </c>
      <c r="Q373">
        <f>AND(IF(Metadata!D373="",FALSE,TRUE),exact(Metadata!D373,"1427740"))</f>
        <v>0</v>
      </c>
    </row>
    <row r="374" spans="1:17">
      <c r="A374" s="4">
        <f>IF(B374=" "," ",HYPERLINK(CONCATENATE("#metadata!",ADDRESS(INDEX($J$2:$J$1001,MATCH(ROWS($H$2:H374),$H$2:$H$1001,0),0),1)),INDEX($M$2:$M$1001,MATCH(ROWS($H$2:H374),$H$2:$H$1001,0),0)))</f>
        <v>0</v>
      </c>
      <c r="B374" s="3">
        <f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>0</v>
      </c>
      <c r="C374" s="3">
        <f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>0</v>
      </c>
      <c r="D374" s="3">
        <f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>0</v>
      </c>
      <c r="H374">
        <v>0</v>
      </c>
      <c r="I374">
        <v>0</v>
      </c>
      <c r="J374">
        <v>0</v>
      </c>
      <c r="K374">
        <f>IF(L374,TRUE,AND(O374:Q374))</f>
        <v>0</v>
      </c>
      <c r="L374">
        <f>COUNTBLANK(Metadata!B374:D374)=COLUMNS(Metadata!B374:D374)</f>
        <v>0</v>
      </c>
      <c r="M374">
        <v>0</v>
      </c>
      <c r="O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>
        <f>AND(IF(Metadata!C374="",FALSE,TRUE),exact(Metadata!C374,"rat metagenome"))</f>
        <v>0</v>
      </c>
      <c r="Q374">
        <f>AND(IF(Metadata!D374="",FALSE,TRUE),exact(Metadata!D374,"1427740"))</f>
        <v>0</v>
      </c>
    </row>
    <row r="375" spans="1:17">
      <c r="A375" s="4">
        <f>IF(B375=" "," ",HYPERLINK(CONCATENATE("#metadata!",ADDRESS(INDEX($J$2:$J$1001,MATCH(ROWS($H$2:H375),$H$2:$H$1001,0),0),1)),INDEX($M$2:$M$1001,MATCH(ROWS($H$2:H375),$H$2:$H$1001,0),0)))</f>
        <v>0</v>
      </c>
      <c r="B375" s="3">
        <f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>0</v>
      </c>
      <c r="C375" s="3">
        <f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>0</v>
      </c>
      <c r="D375" s="3">
        <f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>0</v>
      </c>
      <c r="H375">
        <v>0</v>
      </c>
      <c r="I375">
        <v>0</v>
      </c>
      <c r="J375">
        <v>0</v>
      </c>
      <c r="K375">
        <f>IF(L375,TRUE,AND(O375:Q375))</f>
        <v>0</v>
      </c>
      <c r="L375">
        <f>COUNTBLANK(Metadata!B375:D375)=COLUMNS(Metadata!B375:D375)</f>
        <v>0</v>
      </c>
      <c r="M375">
        <v>0</v>
      </c>
      <c r="O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>
        <f>AND(IF(Metadata!C375="",FALSE,TRUE),exact(Metadata!C375,"rat metagenome"))</f>
        <v>0</v>
      </c>
      <c r="Q375">
        <f>AND(IF(Metadata!D375="",FALSE,TRUE),exact(Metadata!D375,"1427740"))</f>
        <v>0</v>
      </c>
    </row>
    <row r="376" spans="1:17">
      <c r="A376" s="4">
        <f>IF(B376=" "," ",HYPERLINK(CONCATENATE("#metadata!",ADDRESS(INDEX($J$2:$J$1001,MATCH(ROWS($H$2:H376),$H$2:$H$1001,0),0),1)),INDEX($M$2:$M$1001,MATCH(ROWS($H$2:H376),$H$2:$H$1001,0),0)))</f>
        <v>0</v>
      </c>
      <c r="B376" s="3">
        <f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>0</v>
      </c>
      <c r="C376" s="3">
        <f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>0</v>
      </c>
      <c r="D376" s="3">
        <f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>0</v>
      </c>
      <c r="H376">
        <v>0</v>
      </c>
      <c r="I376">
        <v>0</v>
      </c>
      <c r="J376">
        <v>0</v>
      </c>
      <c r="K376">
        <f>IF(L376,TRUE,AND(O376:Q376))</f>
        <v>0</v>
      </c>
      <c r="L376">
        <f>COUNTBLANK(Metadata!B376:D376)=COLUMNS(Metadata!B376:D376)</f>
        <v>0</v>
      </c>
      <c r="M376">
        <v>0</v>
      </c>
      <c r="O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>
        <f>AND(IF(Metadata!C376="",FALSE,TRUE),exact(Metadata!C376,"rat metagenome"))</f>
        <v>0</v>
      </c>
      <c r="Q376">
        <f>AND(IF(Metadata!D376="",FALSE,TRUE),exact(Metadata!D376,"1427740"))</f>
        <v>0</v>
      </c>
    </row>
    <row r="377" spans="1:17">
      <c r="A377" s="4">
        <f>IF(B377=" "," ",HYPERLINK(CONCATENATE("#metadata!",ADDRESS(INDEX($J$2:$J$1001,MATCH(ROWS($H$2:H377),$H$2:$H$1001,0),0),1)),INDEX($M$2:$M$1001,MATCH(ROWS($H$2:H377),$H$2:$H$1001,0),0)))</f>
        <v>0</v>
      </c>
      <c r="B377" s="3">
        <f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>0</v>
      </c>
      <c r="C377" s="3">
        <f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>0</v>
      </c>
      <c r="D377" s="3">
        <f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>0</v>
      </c>
      <c r="H377">
        <v>0</v>
      </c>
      <c r="I377">
        <v>0</v>
      </c>
      <c r="J377">
        <v>0</v>
      </c>
      <c r="K377">
        <f>IF(L377,TRUE,AND(O377:Q377))</f>
        <v>0</v>
      </c>
      <c r="L377">
        <f>COUNTBLANK(Metadata!B377:D377)=COLUMNS(Metadata!B377:D377)</f>
        <v>0</v>
      </c>
      <c r="M377">
        <v>0</v>
      </c>
      <c r="O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>
        <f>AND(IF(Metadata!C377="",FALSE,TRUE),exact(Metadata!C377,"rat metagenome"))</f>
        <v>0</v>
      </c>
      <c r="Q377">
        <f>AND(IF(Metadata!D377="",FALSE,TRUE),exact(Metadata!D377,"1427740"))</f>
        <v>0</v>
      </c>
    </row>
    <row r="378" spans="1:17">
      <c r="A378" s="4">
        <f>IF(B378=" "," ",HYPERLINK(CONCATENATE("#metadata!",ADDRESS(INDEX($J$2:$J$1001,MATCH(ROWS($H$2:H378),$H$2:$H$1001,0),0),1)),INDEX($M$2:$M$1001,MATCH(ROWS($H$2:H378),$H$2:$H$1001,0),0)))</f>
        <v>0</v>
      </c>
      <c r="B378" s="3">
        <f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>0</v>
      </c>
      <c r="C378" s="3">
        <f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>0</v>
      </c>
      <c r="D378" s="3">
        <f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>0</v>
      </c>
      <c r="H378">
        <v>0</v>
      </c>
      <c r="I378">
        <v>0</v>
      </c>
      <c r="J378">
        <v>0</v>
      </c>
      <c r="K378">
        <f>IF(L378,TRUE,AND(O378:Q378))</f>
        <v>0</v>
      </c>
      <c r="L378">
        <f>COUNTBLANK(Metadata!B378:D378)=COLUMNS(Metadata!B378:D378)</f>
        <v>0</v>
      </c>
      <c r="M378">
        <v>0</v>
      </c>
      <c r="O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>
        <f>AND(IF(Metadata!C378="",FALSE,TRUE),exact(Metadata!C378,"rat metagenome"))</f>
        <v>0</v>
      </c>
      <c r="Q378">
        <f>AND(IF(Metadata!D378="",FALSE,TRUE),exact(Metadata!D378,"1427740"))</f>
        <v>0</v>
      </c>
    </row>
    <row r="379" spans="1:17">
      <c r="A379" s="4">
        <f>IF(B379=" "," ",HYPERLINK(CONCATENATE("#metadata!",ADDRESS(INDEX($J$2:$J$1001,MATCH(ROWS($H$2:H379),$H$2:$H$1001,0),0),1)),INDEX($M$2:$M$1001,MATCH(ROWS($H$2:H379),$H$2:$H$1001,0),0)))</f>
        <v>0</v>
      </c>
      <c r="B379" s="3">
        <f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>0</v>
      </c>
      <c r="C379" s="3">
        <f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>0</v>
      </c>
      <c r="D379" s="3">
        <f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>0</v>
      </c>
      <c r="H379">
        <v>0</v>
      </c>
      <c r="I379">
        <v>0</v>
      </c>
      <c r="J379">
        <v>0</v>
      </c>
      <c r="K379">
        <f>IF(L379,TRUE,AND(O379:Q379))</f>
        <v>0</v>
      </c>
      <c r="L379">
        <f>COUNTBLANK(Metadata!B379:D379)=COLUMNS(Metadata!B379:D379)</f>
        <v>0</v>
      </c>
      <c r="M379">
        <v>0</v>
      </c>
      <c r="O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>
        <f>AND(IF(Metadata!C379="",FALSE,TRUE),exact(Metadata!C379,"rat metagenome"))</f>
        <v>0</v>
      </c>
      <c r="Q379">
        <f>AND(IF(Metadata!D379="",FALSE,TRUE),exact(Metadata!D379,"1427740"))</f>
        <v>0</v>
      </c>
    </row>
    <row r="380" spans="1:17">
      <c r="A380" s="4">
        <f>IF(B380=" "," ",HYPERLINK(CONCATENATE("#metadata!",ADDRESS(INDEX($J$2:$J$1001,MATCH(ROWS($H$2:H380),$H$2:$H$1001,0),0),1)),INDEX($M$2:$M$1001,MATCH(ROWS($H$2:H380),$H$2:$H$1001,0),0)))</f>
        <v>0</v>
      </c>
      <c r="B380" s="3">
        <f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>0</v>
      </c>
      <c r="C380" s="3">
        <f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>0</v>
      </c>
      <c r="D380" s="3">
        <f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>0</v>
      </c>
      <c r="H380">
        <v>0</v>
      </c>
      <c r="I380">
        <v>0</v>
      </c>
      <c r="J380">
        <v>0</v>
      </c>
      <c r="K380">
        <f>IF(L380,TRUE,AND(O380:Q380))</f>
        <v>0</v>
      </c>
      <c r="L380">
        <f>COUNTBLANK(Metadata!B380:D380)=COLUMNS(Metadata!B380:D380)</f>
        <v>0</v>
      </c>
      <c r="M380">
        <v>0</v>
      </c>
      <c r="O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>
        <f>AND(IF(Metadata!C380="",FALSE,TRUE),exact(Metadata!C380,"rat metagenome"))</f>
        <v>0</v>
      </c>
      <c r="Q380">
        <f>AND(IF(Metadata!D380="",FALSE,TRUE),exact(Metadata!D380,"1427740"))</f>
        <v>0</v>
      </c>
    </row>
    <row r="381" spans="1:17">
      <c r="A381" s="4">
        <f>IF(B381=" "," ",HYPERLINK(CONCATENATE("#metadata!",ADDRESS(INDEX($J$2:$J$1001,MATCH(ROWS($H$2:H381),$H$2:$H$1001,0),0),1)),INDEX($M$2:$M$1001,MATCH(ROWS($H$2:H381),$H$2:$H$1001,0),0)))</f>
        <v>0</v>
      </c>
      <c r="B381" s="3">
        <f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>0</v>
      </c>
      <c r="C381" s="3">
        <f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>0</v>
      </c>
      <c r="D381" s="3">
        <f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>0</v>
      </c>
      <c r="H381">
        <v>0</v>
      </c>
      <c r="I381">
        <v>0</v>
      </c>
      <c r="J381">
        <v>0</v>
      </c>
      <c r="K381">
        <f>IF(L381,TRUE,AND(O381:Q381))</f>
        <v>0</v>
      </c>
      <c r="L381">
        <f>COUNTBLANK(Metadata!B381:D381)=COLUMNS(Metadata!B381:D381)</f>
        <v>0</v>
      </c>
      <c r="M381">
        <v>0</v>
      </c>
      <c r="O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>
        <f>AND(IF(Metadata!C381="",FALSE,TRUE),exact(Metadata!C381,"rat metagenome"))</f>
        <v>0</v>
      </c>
      <c r="Q381">
        <f>AND(IF(Metadata!D381="",FALSE,TRUE),exact(Metadata!D381,"1427740"))</f>
        <v>0</v>
      </c>
    </row>
    <row r="382" spans="1:17">
      <c r="A382" s="4">
        <f>IF(B382=" "," ",HYPERLINK(CONCATENATE("#metadata!",ADDRESS(INDEX($J$2:$J$1001,MATCH(ROWS($H$2:H382),$H$2:$H$1001,0),0),1)),INDEX($M$2:$M$1001,MATCH(ROWS($H$2:H382),$H$2:$H$1001,0),0)))</f>
        <v>0</v>
      </c>
      <c r="B382" s="3">
        <f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>0</v>
      </c>
      <c r="C382" s="3">
        <f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>0</v>
      </c>
      <c r="D382" s="3">
        <f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>0</v>
      </c>
      <c r="H382">
        <v>0</v>
      </c>
      <c r="I382">
        <v>0</v>
      </c>
      <c r="J382">
        <v>0</v>
      </c>
      <c r="K382">
        <f>IF(L382,TRUE,AND(O382:Q382))</f>
        <v>0</v>
      </c>
      <c r="L382">
        <f>COUNTBLANK(Metadata!B382:D382)=COLUMNS(Metadata!B382:D382)</f>
        <v>0</v>
      </c>
      <c r="M382">
        <v>0</v>
      </c>
      <c r="O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>
        <f>AND(IF(Metadata!C382="",FALSE,TRUE),exact(Metadata!C382,"rat metagenome"))</f>
        <v>0</v>
      </c>
      <c r="Q382">
        <f>AND(IF(Metadata!D382="",FALSE,TRUE),exact(Metadata!D382,"1427740"))</f>
        <v>0</v>
      </c>
    </row>
    <row r="383" spans="1:17">
      <c r="A383" s="4">
        <f>IF(B383=" "," ",HYPERLINK(CONCATENATE("#metadata!",ADDRESS(INDEX($J$2:$J$1001,MATCH(ROWS($H$2:H383),$H$2:$H$1001,0),0),1)),INDEX($M$2:$M$1001,MATCH(ROWS($H$2:H383),$H$2:$H$1001,0),0)))</f>
        <v>0</v>
      </c>
      <c r="B383" s="3">
        <f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>0</v>
      </c>
      <c r="C383" s="3">
        <f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>0</v>
      </c>
      <c r="D383" s="3">
        <f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>0</v>
      </c>
      <c r="H383">
        <v>0</v>
      </c>
      <c r="I383">
        <v>0</v>
      </c>
      <c r="J383">
        <v>0</v>
      </c>
      <c r="K383">
        <f>IF(L383,TRUE,AND(O383:Q383))</f>
        <v>0</v>
      </c>
      <c r="L383">
        <f>COUNTBLANK(Metadata!B383:D383)=COLUMNS(Metadata!B383:D383)</f>
        <v>0</v>
      </c>
      <c r="M383">
        <v>0</v>
      </c>
      <c r="O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>
        <f>AND(IF(Metadata!C383="",FALSE,TRUE),exact(Metadata!C383,"rat metagenome"))</f>
        <v>0</v>
      </c>
      <c r="Q383">
        <f>AND(IF(Metadata!D383="",FALSE,TRUE),exact(Metadata!D383,"1427740"))</f>
        <v>0</v>
      </c>
    </row>
    <row r="384" spans="1:17">
      <c r="A384" s="4">
        <f>IF(B384=" "," ",HYPERLINK(CONCATENATE("#metadata!",ADDRESS(INDEX($J$2:$J$1001,MATCH(ROWS($H$2:H384),$H$2:$H$1001,0),0),1)),INDEX($M$2:$M$1001,MATCH(ROWS($H$2:H384),$H$2:$H$1001,0),0)))</f>
        <v>0</v>
      </c>
      <c r="B384" s="3">
        <f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>0</v>
      </c>
      <c r="C384" s="3">
        <f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>0</v>
      </c>
      <c r="D384" s="3">
        <f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>0</v>
      </c>
      <c r="H384">
        <v>0</v>
      </c>
      <c r="I384">
        <v>0</v>
      </c>
      <c r="J384">
        <v>0</v>
      </c>
      <c r="K384">
        <f>IF(L384,TRUE,AND(O384:Q384))</f>
        <v>0</v>
      </c>
      <c r="L384">
        <f>COUNTBLANK(Metadata!B384:D384)=COLUMNS(Metadata!B384:D384)</f>
        <v>0</v>
      </c>
      <c r="M384">
        <v>0</v>
      </c>
      <c r="O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>
        <f>AND(IF(Metadata!C384="",FALSE,TRUE),exact(Metadata!C384,"rat metagenome"))</f>
        <v>0</v>
      </c>
      <c r="Q384">
        <f>AND(IF(Metadata!D384="",FALSE,TRUE),exact(Metadata!D384,"1427740"))</f>
        <v>0</v>
      </c>
    </row>
    <row r="385" spans="1:17">
      <c r="A385" s="4">
        <f>IF(B385=" "," ",HYPERLINK(CONCATENATE("#metadata!",ADDRESS(INDEX($J$2:$J$1001,MATCH(ROWS($H$2:H385),$H$2:$H$1001,0),0),1)),INDEX($M$2:$M$1001,MATCH(ROWS($H$2:H385),$H$2:$H$1001,0),0)))</f>
        <v>0</v>
      </c>
      <c r="B385" s="3">
        <f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>0</v>
      </c>
      <c r="C385" s="3">
        <f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>0</v>
      </c>
      <c r="D385" s="3">
        <f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>0</v>
      </c>
      <c r="H385">
        <v>0</v>
      </c>
      <c r="I385">
        <v>0</v>
      </c>
      <c r="J385">
        <v>0</v>
      </c>
      <c r="K385">
        <f>IF(L385,TRUE,AND(O385:Q385))</f>
        <v>0</v>
      </c>
      <c r="L385">
        <f>COUNTBLANK(Metadata!B385:D385)=COLUMNS(Metadata!B385:D385)</f>
        <v>0</v>
      </c>
      <c r="M385">
        <v>0</v>
      </c>
      <c r="O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>
        <f>AND(IF(Metadata!C385="",FALSE,TRUE),exact(Metadata!C385,"rat metagenome"))</f>
        <v>0</v>
      </c>
      <c r="Q385">
        <f>AND(IF(Metadata!D385="",FALSE,TRUE),exact(Metadata!D385,"1427740"))</f>
        <v>0</v>
      </c>
    </row>
    <row r="386" spans="1:17">
      <c r="A386" s="4">
        <f>IF(B386=" "," ",HYPERLINK(CONCATENATE("#metadata!",ADDRESS(INDEX($J$2:$J$1001,MATCH(ROWS($H$2:H386),$H$2:$H$1001,0),0),1)),INDEX($M$2:$M$1001,MATCH(ROWS($H$2:H386),$H$2:$H$1001,0),0)))</f>
        <v>0</v>
      </c>
      <c r="B386" s="3">
        <f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>0</v>
      </c>
      <c r="C386" s="3">
        <f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>0</v>
      </c>
      <c r="D386" s="3">
        <f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>0</v>
      </c>
      <c r="H386">
        <v>0</v>
      </c>
      <c r="I386">
        <v>0</v>
      </c>
      <c r="J386">
        <v>0</v>
      </c>
      <c r="K386">
        <f>IF(L386,TRUE,AND(O386:Q386))</f>
        <v>0</v>
      </c>
      <c r="L386">
        <f>COUNTBLANK(Metadata!B386:D386)=COLUMNS(Metadata!B386:D386)</f>
        <v>0</v>
      </c>
      <c r="M386">
        <v>0</v>
      </c>
      <c r="O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>
        <f>AND(IF(Metadata!C386="",FALSE,TRUE),exact(Metadata!C386,"rat metagenome"))</f>
        <v>0</v>
      </c>
      <c r="Q386">
        <f>AND(IF(Metadata!D386="",FALSE,TRUE),exact(Metadata!D386,"1427740"))</f>
        <v>0</v>
      </c>
    </row>
    <row r="387" spans="1:17">
      <c r="A387" s="4">
        <f>IF(B387=" "," ",HYPERLINK(CONCATENATE("#metadata!",ADDRESS(INDEX($J$2:$J$1001,MATCH(ROWS($H$2:H387),$H$2:$H$1001,0),0),1)),INDEX($M$2:$M$1001,MATCH(ROWS($H$2:H387),$H$2:$H$1001,0),0)))</f>
        <v>0</v>
      </c>
      <c r="B387" s="3">
        <f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>0</v>
      </c>
      <c r="C387" s="3">
        <f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>0</v>
      </c>
      <c r="D387" s="3">
        <f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>0</v>
      </c>
      <c r="H387">
        <v>0</v>
      </c>
      <c r="I387">
        <v>0</v>
      </c>
      <c r="J387">
        <v>0</v>
      </c>
      <c r="K387">
        <f>IF(L387,TRUE,AND(O387:Q387))</f>
        <v>0</v>
      </c>
      <c r="L387">
        <f>COUNTBLANK(Metadata!B387:D387)=COLUMNS(Metadata!B387:D387)</f>
        <v>0</v>
      </c>
      <c r="M387">
        <v>0</v>
      </c>
      <c r="O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>
        <f>AND(IF(Metadata!C387="",FALSE,TRUE),exact(Metadata!C387,"rat metagenome"))</f>
        <v>0</v>
      </c>
      <c r="Q387">
        <f>AND(IF(Metadata!D387="",FALSE,TRUE),exact(Metadata!D387,"1427740"))</f>
        <v>0</v>
      </c>
    </row>
    <row r="388" spans="1:17">
      <c r="A388" s="4">
        <f>IF(B388=" "," ",HYPERLINK(CONCATENATE("#metadata!",ADDRESS(INDEX($J$2:$J$1001,MATCH(ROWS($H$2:H388),$H$2:$H$1001,0),0),1)),INDEX($M$2:$M$1001,MATCH(ROWS($H$2:H388),$H$2:$H$1001,0),0)))</f>
        <v>0</v>
      </c>
      <c r="B388" s="3">
        <f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>0</v>
      </c>
      <c r="C388" s="3">
        <f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>0</v>
      </c>
      <c r="D388" s="3">
        <f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>0</v>
      </c>
      <c r="H388">
        <v>0</v>
      </c>
      <c r="I388">
        <v>0</v>
      </c>
      <c r="J388">
        <v>0</v>
      </c>
      <c r="K388">
        <f>IF(L388,TRUE,AND(O388:Q388))</f>
        <v>0</v>
      </c>
      <c r="L388">
        <f>COUNTBLANK(Metadata!B388:D388)=COLUMNS(Metadata!B388:D388)</f>
        <v>0</v>
      </c>
      <c r="M388">
        <v>0</v>
      </c>
      <c r="O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>
        <f>AND(IF(Metadata!C388="",FALSE,TRUE),exact(Metadata!C388,"rat metagenome"))</f>
        <v>0</v>
      </c>
      <c r="Q388">
        <f>AND(IF(Metadata!D388="",FALSE,TRUE),exact(Metadata!D388,"1427740"))</f>
        <v>0</v>
      </c>
    </row>
    <row r="389" spans="1:17">
      <c r="A389" s="4">
        <f>IF(B389=" "," ",HYPERLINK(CONCATENATE("#metadata!",ADDRESS(INDEX($J$2:$J$1001,MATCH(ROWS($H$2:H389),$H$2:$H$1001,0),0),1)),INDEX($M$2:$M$1001,MATCH(ROWS($H$2:H389),$H$2:$H$1001,0),0)))</f>
        <v>0</v>
      </c>
      <c r="B389" s="3">
        <f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>0</v>
      </c>
      <c r="C389" s="3">
        <f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>0</v>
      </c>
      <c r="D389" s="3">
        <f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>0</v>
      </c>
      <c r="H389">
        <v>0</v>
      </c>
      <c r="I389">
        <v>0</v>
      </c>
      <c r="J389">
        <v>0</v>
      </c>
      <c r="K389">
        <f>IF(L389,TRUE,AND(O389:Q389))</f>
        <v>0</v>
      </c>
      <c r="L389">
        <f>COUNTBLANK(Metadata!B389:D389)=COLUMNS(Metadata!B389:D389)</f>
        <v>0</v>
      </c>
      <c r="M389">
        <v>0</v>
      </c>
      <c r="O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>
        <f>AND(IF(Metadata!C389="",FALSE,TRUE),exact(Metadata!C389,"rat metagenome"))</f>
        <v>0</v>
      </c>
      <c r="Q389">
        <f>AND(IF(Metadata!D389="",FALSE,TRUE),exact(Metadata!D389,"1427740"))</f>
        <v>0</v>
      </c>
    </row>
    <row r="390" spans="1:17">
      <c r="A390" s="4">
        <f>IF(B390=" "," ",HYPERLINK(CONCATENATE("#metadata!",ADDRESS(INDEX($J$2:$J$1001,MATCH(ROWS($H$2:H390),$H$2:$H$1001,0),0),1)),INDEX($M$2:$M$1001,MATCH(ROWS($H$2:H390),$H$2:$H$1001,0),0)))</f>
        <v>0</v>
      </c>
      <c r="B390" s="3">
        <f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>0</v>
      </c>
      <c r="C390" s="3">
        <f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>0</v>
      </c>
      <c r="D390" s="3">
        <f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>0</v>
      </c>
      <c r="H390">
        <v>0</v>
      </c>
      <c r="I390">
        <v>0</v>
      </c>
      <c r="J390">
        <v>0</v>
      </c>
      <c r="K390">
        <f>IF(L390,TRUE,AND(O390:Q390))</f>
        <v>0</v>
      </c>
      <c r="L390">
        <f>COUNTBLANK(Metadata!B390:D390)=COLUMNS(Metadata!B390:D390)</f>
        <v>0</v>
      </c>
      <c r="M390">
        <v>0</v>
      </c>
      <c r="O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>
        <f>AND(IF(Metadata!C390="",FALSE,TRUE),exact(Metadata!C390,"rat metagenome"))</f>
        <v>0</v>
      </c>
      <c r="Q390">
        <f>AND(IF(Metadata!D390="",FALSE,TRUE),exact(Metadata!D390,"1427740"))</f>
        <v>0</v>
      </c>
    </row>
    <row r="391" spans="1:17">
      <c r="A391" s="4">
        <f>IF(B391=" "," ",HYPERLINK(CONCATENATE("#metadata!",ADDRESS(INDEX($J$2:$J$1001,MATCH(ROWS($H$2:H391),$H$2:$H$1001,0),0),1)),INDEX($M$2:$M$1001,MATCH(ROWS($H$2:H391),$H$2:$H$1001,0),0)))</f>
        <v>0</v>
      </c>
      <c r="B391" s="3">
        <f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>0</v>
      </c>
      <c r="C391" s="3">
        <f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>0</v>
      </c>
      <c r="D391" s="3">
        <f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>0</v>
      </c>
      <c r="H391">
        <v>0</v>
      </c>
      <c r="I391">
        <v>0</v>
      </c>
      <c r="J391">
        <v>0</v>
      </c>
      <c r="K391">
        <f>IF(L391,TRUE,AND(O391:Q391))</f>
        <v>0</v>
      </c>
      <c r="L391">
        <f>COUNTBLANK(Metadata!B391:D391)=COLUMNS(Metadata!B391:D391)</f>
        <v>0</v>
      </c>
      <c r="M391">
        <v>0</v>
      </c>
      <c r="O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>
        <f>AND(IF(Metadata!C391="",FALSE,TRUE),exact(Metadata!C391,"rat metagenome"))</f>
        <v>0</v>
      </c>
      <c r="Q391">
        <f>AND(IF(Metadata!D391="",FALSE,TRUE),exact(Metadata!D391,"1427740"))</f>
        <v>0</v>
      </c>
    </row>
    <row r="392" spans="1:17">
      <c r="A392" s="4">
        <f>IF(B392=" "," ",HYPERLINK(CONCATENATE("#metadata!",ADDRESS(INDEX($J$2:$J$1001,MATCH(ROWS($H$2:H392),$H$2:$H$1001,0),0),1)),INDEX($M$2:$M$1001,MATCH(ROWS($H$2:H392),$H$2:$H$1001,0),0)))</f>
        <v>0</v>
      </c>
      <c r="B392" s="3">
        <f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>0</v>
      </c>
      <c r="C392" s="3">
        <f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>0</v>
      </c>
      <c r="D392" s="3">
        <f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>0</v>
      </c>
      <c r="H392">
        <v>0</v>
      </c>
      <c r="I392">
        <v>0</v>
      </c>
      <c r="J392">
        <v>0</v>
      </c>
      <c r="K392">
        <f>IF(L392,TRUE,AND(O392:Q392))</f>
        <v>0</v>
      </c>
      <c r="L392">
        <f>COUNTBLANK(Metadata!B392:D392)=COLUMNS(Metadata!B392:D392)</f>
        <v>0</v>
      </c>
      <c r="M392">
        <v>0</v>
      </c>
      <c r="O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>
        <f>AND(IF(Metadata!C392="",FALSE,TRUE),exact(Metadata!C392,"rat metagenome"))</f>
        <v>0</v>
      </c>
      <c r="Q392">
        <f>AND(IF(Metadata!D392="",FALSE,TRUE),exact(Metadata!D392,"1427740"))</f>
        <v>0</v>
      </c>
    </row>
    <row r="393" spans="1:17">
      <c r="A393" s="4">
        <f>IF(B393=" "," ",HYPERLINK(CONCATENATE("#metadata!",ADDRESS(INDEX($J$2:$J$1001,MATCH(ROWS($H$2:H393),$H$2:$H$1001,0),0),1)),INDEX($M$2:$M$1001,MATCH(ROWS($H$2:H393),$H$2:$H$1001,0),0)))</f>
        <v>0</v>
      </c>
      <c r="B393" s="3">
        <f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>0</v>
      </c>
      <c r="C393" s="3">
        <f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>0</v>
      </c>
      <c r="D393" s="3">
        <f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>0</v>
      </c>
      <c r="H393">
        <v>0</v>
      </c>
      <c r="I393">
        <v>0</v>
      </c>
      <c r="J393">
        <v>0</v>
      </c>
      <c r="K393">
        <f>IF(L393,TRUE,AND(O393:Q393))</f>
        <v>0</v>
      </c>
      <c r="L393">
        <f>COUNTBLANK(Metadata!B393:D393)=COLUMNS(Metadata!B393:D393)</f>
        <v>0</v>
      </c>
      <c r="M393">
        <v>0</v>
      </c>
      <c r="O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>
        <f>AND(IF(Metadata!C393="",FALSE,TRUE),exact(Metadata!C393,"rat metagenome"))</f>
        <v>0</v>
      </c>
      <c r="Q393">
        <f>AND(IF(Metadata!D393="",FALSE,TRUE),exact(Metadata!D393,"1427740"))</f>
        <v>0</v>
      </c>
    </row>
    <row r="394" spans="1:17">
      <c r="A394" s="4">
        <f>IF(B394=" "," ",HYPERLINK(CONCATENATE("#metadata!",ADDRESS(INDEX($J$2:$J$1001,MATCH(ROWS($H$2:H394),$H$2:$H$1001,0),0),1)),INDEX($M$2:$M$1001,MATCH(ROWS($H$2:H394),$H$2:$H$1001,0),0)))</f>
        <v>0</v>
      </c>
      <c r="B394" s="3">
        <f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>0</v>
      </c>
      <c r="C394" s="3">
        <f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>0</v>
      </c>
      <c r="D394" s="3">
        <f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>0</v>
      </c>
      <c r="H394">
        <v>0</v>
      </c>
      <c r="I394">
        <v>0</v>
      </c>
      <c r="J394">
        <v>0</v>
      </c>
      <c r="K394">
        <f>IF(L394,TRUE,AND(O394:Q394))</f>
        <v>0</v>
      </c>
      <c r="L394">
        <f>COUNTBLANK(Metadata!B394:D394)=COLUMNS(Metadata!B394:D394)</f>
        <v>0</v>
      </c>
      <c r="M394">
        <v>0</v>
      </c>
      <c r="O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>
        <f>AND(IF(Metadata!C394="",FALSE,TRUE),exact(Metadata!C394,"rat metagenome"))</f>
        <v>0</v>
      </c>
      <c r="Q394">
        <f>AND(IF(Metadata!D394="",FALSE,TRUE),exact(Metadata!D394,"1427740"))</f>
        <v>0</v>
      </c>
    </row>
    <row r="395" spans="1:17">
      <c r="A395" s="4">
        <f>IF(B395=" "," ",HYPERLINK(CONCATENATE("#metadata!",ADDRESS(INDEX($J$2:$J$1001,MATCH(ROWS($H$2:H395),$H$2:$H$1001,0),0),1)),INDEX($M$2:$M$1001,MATCH(ROWS($H$2:H395),$H$2:$H$1001,0),0)))</f>
        <v>0</v>
      </c>
      <c r="B395" s="3">
        <f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>0</v>
      </c>
      <c r="C395" s="3">
        <f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>0</v>
      </c>
      <c r="D395" s="3">
        <f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>0</v>
      </c>
      <c r="H395">
        <v>0</v>
      </c>
      <c r="I395">
        <v>0</v>
      </c>
      <c r="J395">
        <v>0</v>
      </c>
      <c r="K395">
        <f>IF(L395,TRUE,AND(O395:Q395))</f>
        <v>0</v>
      </c>
      <c r="L395">
        <f>COUNTBLANK(Metadata!B395:D395)=COLUMNS(Metadata!B395:D395)</f>
        <v>0</v>
      </c>
      <c r="M395">
        <v>0</v>
      </c>
      <c r="O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>
        <f>AND(IF(Metadata!C395="",FALSE,TRUE),exact(Metadata!C395,"rat metagenome"))</f>
        <v>0</v>
      </c>
      <c r="Q395">
        <f>AND(IF(Metadata!D395="",FALSE,TRUE),exact(Metadata!D395,"1427740"))</f>
        <v>0</v>
      </c>
    </row>
    <row r="396" spans="1:17">
      <c r="A396" s="4">
        <f>IF(B396=" "," ",HYPERLINK(CONCATENATE("#metadata!",ADDRESS(INDEX($J$2:$J$1001,MATCH(ROWS($H$2:H396),$H$2:$H$1001,0),0),1)),INDEX($M$2:$M$1001,MATCH(ROWS($H$2:H396),$H$2:$H$1001,0),0)))</f>
        <v>0</v>
      </c>
      <c r="B396" s="3">
        <f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>0</v>
      </c>
      <c r="C396" s="3">
        <f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>0</v>
      </c>
      <c r="D396" s="3">
        <f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>0</v>
      </c>
      <c r="H396">
        <v>0</v>
      </c>
      <c r="I396">
        <v>0</v>
      </c>
      <c r="J396">
        <v>0</v>
      </c>
      <c r="K396">
        <f>IF(L396,TRUE,AND(O396:Q396))</f>
        <v>0</v>
      </c>
      <c r="L396">
        <f>COUNTBLANK(Metadata!B396:D396)=COLUMNS(Metadata!B396:D396)</f>
        <v>0</v>
      </c>
      <c r="M396">
        <v>0</v>
      </c>
      <c r="O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>
        <f>AND(IF(Metadata!C396="",FALSE,TRUE),exact(Metadata!C396,"rat metagenome"))</f>
        <v>0</v>
      </c>
      <c r="Q396">
        <f>AND(IF(Metadata!D396="",FALSE,TRUE),exact(Metadata!D396,"1427740"))</f>
        <v>0</v>
      </c>
    </row>
    <row r="397" spans="1:17">
      <c r="A397" s="4">
        <f>IF(B397=" "," ",HYPERLINK(CONCATENATE("#metadata!",ADDRESS(INDEX($J$2:$J$1001,MATCH(ROWS($H$2:H397),$H$2:$H$1001,0),0),1)),INDEX($M$2:$M$1001,MATCH(ROWS($H$2:H397),$H$2:$H$1001,0),0)))</f>
        <v>0</v>
      </c>
      <c r="B397" s="3">
        <f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>0</v>
      </c>
      <c r="C397" s="3">
        <f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>0</v>
      </c>
      <c r="D397" s="3">
        <f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>0</v>
      </c>
      <c r="H397">
        <v>0</v>
      </c>
      <c r="I397">
        <v>0</v>
      </c>
      <c r="J397">
        <v>0</v>
      </c>
      <c r="K397">
        <f>IF(L397,TRUE,AND(O397:Q397))</f>
        <v>0</v>
      </c>
      <c r="L397">
        <f>COUNTBLANK(Metadata!B397:D397)=COLUMNS(Metadata!B397:D397)</f>
        <v>0</v>
      </c>
      <c r="M397">
        <v>0</v>
      </c>
      <c r="O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>
        <f>AND(IF(Metadata!C397="",FALSE,TRUE),exact(Metadata!C397,"rat metagenome"))</f>
        <v>0</v>
      </c>
      <c r="Q397">
        <f>AND(IF(Metadata!D397="",FALSE,TRUE),exact(Metadata!D397,"1427740"))</f>
        <v>0</v>
      </c>
    </row>
    <row r="398" spans="1:17">
      <c r="A398" s="4">
        <f>IF(B398=" "," ",HYPERLINK(CONCATENATE("#metadata!",ADDRESS(INDEX($J$2:$J$1001,MATCH(ROWS($H$2:H398),$H$2:$H$1001,0),0),1)),INDEX($M$2:$M$1001,MATCH(ROWS($H$2:H398),$H$2:$H$1001,0),0)))</f>
        <v>0</v>
      </c>
      <c r="B398" s="3">
        <f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>0</v>
      </c>
      <c r="C398" s="3">
        <f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>0</v>
      </c>
      <c r="D398" s="3">
        <f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>0</v>
      </c>
      <c r="H398">
        <v>0</v>
      </c>
      <c r="I398">
        <v>0</v>
      </c>
      <c r="J398">
        <v>0</v>
      </c>
      <c r="K398">
        <f>IF(L398,TRUE,AND(O398:Q398))</f>
        <v>0</v>
      </c>
      <c r="L398">
        <f>COUNTBLANK(Metadata!B398:D398)=COLUMNS(Metadata!B398:D398)</f>
        <v>0</v>
      </c>
      <c r="M398">
        <v>0</v>
      </c>
      <c r="O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>
        <f>AND(IF(Metadata!C398="",FALSE,TRUE),exact(Metadata!C398,"rat metagenome"))</f>
        <v>0</v>
      </c>
      <c r="Q398">
        <f>AND(IF(Metadata!D398="",FALSE,TRUE),exact(Metadata!D398,"1427740"))</f>
        <v>0</v>
      </c>
    </row>
    <row r="399" spans="1:17">
      <c r="A399" s="4">
        <f>IF(B399=" "," ",HYPERLINK(CONCATENATE("#metadata!",ADDRESS(INDEX($J$2:$J$1001,MATCH(ROWS($H$2:H399),$H$2:$H$1001,0),0),1)),INDEX($M$2:$M$1001,MATCH(ROWS($H$2:H399),$H$2:$H$1001,0),0)))</f>
        <v>0</v>
      </c>
      <c r="B399" s="3">
        <f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>0</v>
      </c>
      <c r="C399" s="3">
        <f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>0</v>
      </c>
      <c r="D399" s="3">
        <f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>0</v>
      </c>
      <c r="H399">
        <v>0</v>
      </c>
      <c r="I399">
        <v>0</v>
      </c>
      <c r="J399">
        <v>0</v>
      </c>
      <c r="K399">
        <f>IF(L399,TRUE,AND(O399:Q399))</f>
        <v>0</v>
      </c>
      <c r="L399">
        <f>COUNTBLANK(Metadata!B399:D399)=COLUMNS(Metadata!B399:D399)</f>
        <v>0</v>
      </c>
      <c r="M399">
        <v>0</v>
      </c>
      <c r="O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>
        <f>AND(IF(Metadata!C399="",FALSE,TRUE),exact(Metadata!C399,"rat metagenome"))</f>
        <v>0</v>
      </c>
      <c r="Q399">
        <f>AND(IF(Metadata!D399="",FALSE,TRUE),exact(Metadata!D399,"1427740"))</f>
        <v>0</v>
      </c>
    </row>
    <row r="400" spans="1:17">
      <c r="A400" s="4">
        <f>IF(B400=" "," ",HYPERLINK(CONCATENATE("#metadata!",ADDRESS(INDEX($J$2:$J$1001,MATCH(ROWS($H$2:H400),$H$2:$H$1001,0),0),1)),INDEX($M$2:$M$1001,MATCH(ROWS($H$2:H400),$H$2:$H$1001,0),0)))</f>
        <v>0</v>
      </c>
      <c r="B400" s="3">
        <f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>0</v>
      </c>
      <c r="C400" s="3">
        <f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>0</v>
      </c>
      <c r="D400" s="3">
        <f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>0</v>
      </c>
      <c r="H400">
        <v>0</v>
      </c>
      <c r="I400">
        <v>0</v>
      </c>
      <c r="J400">
        <v>0</v>
      </c>
      <c r="K400">
        <f>IF(L400,TRUE,AND(O400:Q400))</f>
        <v>0</v>
      </c>
      <c r="L400">
        <f>COUNTBLANK(Metadata!B400:D400)=COLUMNS(Metadata!B400:D400)</f>
        <v>0</v>
      </c>
      <c r="M400">
        <v>0</v>
      </c>
      <c r="O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>
        <f>AND(IF(Metadata!C400="",FALSE,TRUE),exact(Metadata!C400,"rat metagenome"))</f>
        <v>0</v>
      </c>
      <c r="Q400">
        <f>AND(IF(Metadata!D400="",FALSE,TRUE),exact(Metadata!D400,"1427740"))</f>
        <v>0</v>
      </c>
    </row>
    <row r="401" spans="1:17">
      <c r="A401" s="4">
        <f>IF(B401=" "," ",HYPERLINK(CONCATENATE("#metadata!",ADDRESS(INDEX($J$2:$J$1001,MATCH(ROWS($H$2:H401),$H$2:$H$1001,0),0),1)),INDEX($M$2:$M$1001,MATCH(ROWS($H$2:H401),$H$2:$H$1001,0),0)))</f>
        <v>0</v>
      </c>
      <c r="B401" s="3">
        <f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>0</v>
      </c>
      <c r="C401" s="3">
        <f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>0</v>
      </c>
      <c r="D401" s="3">
        <f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>0</v>
      </c>
      <c r="H401">
        <v>0</v>
      </c>
      <c r="I401">
        <v>0</v>
      </c>
      <c r="J401">
        <v>0</v>
      </c>
      <c r="K401">
        <f>IF(L401,TRUE,AND(O401:Q401))</f>
        <v>0</v>
      </c>
      <c r="L401">
        <f>COUNTBLANK(Metadata!B401:D401)=COLUMNS(Metadata!B401:D401)</f>
        <v>0</v>
      </c>
      <c r="M401">
        <v>0</v>
      </c>
      <c r="O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>
        <f>AND(IF(Metadata!C401="",FALSE,TRUE),exact(Metadata!C401,"rat metagenome"))</f>
        <v>0</v>
      </c>
      <c r="Q401">
        <f>AND(IF(Metadata!D401="",FALSE,TRUE),exact(Metadata!D401,"1427740"))</f>
        <v>0</v>
      </c>
    </row>
    <row r="402" spans="1:17">
      <c r="A402" s="4">
        <f>IF(B402=" "," ",HYPERLINK(CONCATENATE("#metadata!",ADDRESS(INDEX($J$2:$J$1001,MATCH(ROWS($H$2:H402),$H$2:$H$1001,0),0),1)),INDEX($M$2:$M$1001,MATCH(ROWS($H$2:H402),$H$2:$H$1001,0),0)))</f>
        <v>0</v>
      </c>
      <c r="B402" s="3">
        <f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>0</v>
      </c>
      <c r="C402" s="3">
        <f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>0</v>
      </c>
      <c r="D402" s="3">
        <f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>0</v>
      </c>
      <c r="H402">
        <v>0</v>
      </c>
      <c r="I402">
        <v>0</v>
      </c>
      <c r="J402">
        <v>0</v>
      </c>
      <c r="K402">
        <f>IF(L402,TRUE,AND(O402:Q402))</f>
        <v>0</v>
      </c>
      <c r="L402">
        <f>COUNTBLANK(Metadata!B402:D402)=COLUMNS(Metadata!B402:D402)</f>
        <v>0</v>
      </c>
      <c r="M402">
        <v>0</v>
      </c>
      <c r="O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>
        <f>AND(IF(Metadata!C402="",FALSE,TRUE),exact(Metadata!C402,"rat metagenome"))</f>
        <v>0</v>
      </c>
      <c r="Q402">
        <f>AND(IF(Metadata!D402="",FALSE,TRUE),exact(Metadata!D402,"1427740"))</f>
        <v>0</v>
      </c>
    </row>
    <row r="403" spans="1:17">
      <c r="A403" s="4">
        <f>IF(B403=" "," ",HYPERLINK(CONCATENATE("#metadata!",ADDRESS(INDEX($J$2:$J$1001,MATCH(ROWS($H$2:H403),$H$2:$H$1001,0),0),1)),INDEX($M$2:$M$1001,MATCH(ROWS($H$2:H403),$H$2:$H$1001,0),0)))</f>
        <v>0</v>
      </c>
      <c r="B403" s="3">
        <f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>0</v>
      </c>
      <c r="C403" s="3">
        <f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>0</v>
      </c>
      <c r="D403" s="3">
        <f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>0</v>
      </c>
      <c r="H403">
        <v>0</v>
      </c>
      <c r="I403">
        <v>0</v>
      </c>
      <c r="J403">
        <v>0</v>
      </c>
      <c r="K403">
        <f>IF(L403,TRUE,AND(O403:Q403))</f>
        <v>0</v>
      </c>
      <c r="L403">
        <f>COUNTBLANK(Metadata!B403:D403)=COLUMNS(Metadata!B403:D403)</f>
        <v>0</v>
      </c>
      <c r="M403">
        <v>0</v>
      </c>
      <c r="O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>
        <f>AND(IF(Metadata!C403="",FALSE,TRUE),exact(Metadata!C403,"rat metagenome"))</f>
        <v>0</v>
      </c>
      <c r="Q403">
        <f>AND(IF(Metadata!D403="",FALSE,TRUE),exact(Metadata!D403,"1427740"))</f>
        <v>0</v>
      </c>
    </row>
    <row r="404" spans="1:17">
      <c r="A404" s="4">
        <f>IF(B404=" "," ",HYPERLINK(CONCATENATE("#metadata!",ADDRESS(INDEX($J$2:$J$1001,MATCH(ROWS($H$2:H404),$H$2:$H$1001,0),0),1)),INDEX($M$2:$M$1001,MATCH(ROWS($H$2:H404),$H$2:$H$1001,0),0)))</f>
        <v>0</v>
      </c>
      <c r="B404" s="3">
        <f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>0</v>
      </c>
      <c r="C404" s="3">
        <f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>0</v>
      </c>
      <c r="D404" s="3">
        <f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>0</v>
      </c>
      <c r="H404">
        <v>0</v>
      </c>
      <c r="I404">
        <v>0</v>
      </c>
      <c r="J404">
        <v>0</v>
      </c>
      <c r="K404">
        <f>IF(L404,TRUE,AND(O404:Q404))</f>
        <v>0</v>
      </c>
      <c r="L404">
        <f>COUNTBLANK(Metadata!B404:D404)=COLUMNS(Metadata!B404:D404)</f>
        <v>0</v>
      </c>
      <c r="M404">
        <v>0</v>
      </c>
      <c r="O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>
        <f>AND(IF(Metadata!C404="",FALSE,TRUE),exact(Metadata!C404,"rat metagenome"))</f>
        <v>0</v>
      </c>
      <c r="Q404">
        <f>AND(IF(Metadata!D404="",FALSE,TRUE),exact(Metadata!D404,"1427740"))</f>
        <v>0</v>
      </c>
    </row>
    <row r="405" spans="1:17">
      <c r="A405" s="4">
        <f>IF(B405=" "," ",HYPERLINK(CONCATENATE("#metadata!",ADDRESS(INDEX($J$2:$J$1001,MATCH(ROWS($H$2:H405),$H$2:$H$1001,0),0),1)),INDEX($M$2:$M$1001,MATCH(ROWS($H$2:H405),$H$2:$H$1001,0),0)))</f>
        <v>0</v>
      </c>
      <c r="B405" s="3">
        <f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>0</v>
      </c>
      <c r="C405" s="3">
        <f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>0</v>
      </c>
      <c r="D405" s="3">
        <f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>0</v>
      </c>
      <c r="H405">
        <v>0</v>
      </c>
      <c r="I405">
        <v>0</v>
      </c>
      <c r="J405">
        <v>0</v>
      </c>
      <c r="K405">
        <f>IF(L405,TRUE,AND(O405:Q405))</f>
        <v>0</v>
      </c>
      <c r="L405">
        <f>COUNTBLANK(Metadata!B405:D405)=COLUMNS(Metadata!B405:D405)</f>
        <v>0</v>
      </c>
      <c r="M405">
        <v>0</v>
      </c>
      <c r="O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>
        <f>AND(IF(Metadata!C405="",FALSE,TRUE),exact(Metadata!C405,"rat metagenome"))</f>
        <v>0</v>
      </c>
      <c r="Q405">
        <f>AND(IF(Metadata!D405="",FALSE,TRUE),exact(Metadata!D405,"1427740"))</f>
        <v>0</v>
      </c>
    </row>
    <row r="406" spans="1:17">
      <c r="A406" s="4">
        <f>IF(B406=" "," ",HYPERLINK(CONCATENATE("#metadata!",ADDRESS(INDEX($J$2:$J$1001,MATCH(ROWS($H$2:H406),$H$2:$H$1001,0),0),1)),INDEX($M$2:$M$1001,MATCH(ROWS($H$2:H406),$H$2:$H$1001,0),0)))</f>
        <v>0</v>
      </c>
      <c r="B406" s="3">
        <f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>0</v>
      </c>
      <c r="C406" s="3">
        <f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>0</v>
      </c>
      <c r="D406" s="3">
        <f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>0</v>
      </c>
      <c r="H406">
        <v>0</v>
      </c>
      <c r="I406">
        <v>0</v>
      </c>
      <c r="J406">
        <v>0</v>
      </c>
      <c r="K406">
        <f>IF(L406,TRUE,AND(O406:Q406))</f>
        <v>0</v>
      </c>
      <c r="L406">
        <f>COUNTBLANK(Metadata!B406:D406)=COLUMNS(Metadata!B406:D406)</f>
        <v>0</v>
      </c>
      <c r="M406">
        <v>0</v>
      </c>
      <c r="O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>
        <f>AND(IF(Metadata!C406="",FALSE,TRUE),exact(Metadata!C406,"rat metagenome"))</f>
        <v>0</v>
      </c>
      <c r="Q406">
        <f>AND(IF(Metadata!D406="",FALSE,TRUE),exact(Metadata!D406,"1427740"))</f>
        <v>0</v>
      </c>
    </row>
    <row r="407" spans="1:17">
      <c r="A407" s="4">
        <f>IF(B407=" "," ",HYPERLINK(CONCATENATE("#metadata!",ADDRESS(INDEX($J$2:$J$1001,MATCH(ROWS($H$2:H407),$H$2:$H$1001,0),0),1)),INDEX($M$2:$M$1001,MATCH(ROWS($H$2:H407),$H$2:$H$1001,0),0)))</f>
        <v>0</v>
      </c>
      <c r="B407" s="3">
        <f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>0</v>
      </c>
      <c r="C407" s="3">
        <f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>0</v>
      </c>
      <c r="D407" s="3">
        <f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>0</v>
      </c>
      <c r="H407">
        <v>0</v>
      </c>
      <c r="I407">
        <v>0</v>
      </c>
      <c r="J407">
        <v>0</v>
      </c>
      <c r="K407">
        <f>IF(L407,TRUE,AND(O407:Q407))</f>
        <v>0</v>
      </c>
      <c r="L407">
        <f>COUNTBLANK(Metadata!B407:D407)=COLUMNS(Metadata!B407:D407)</f>
        <v>0</v>
      </c>
      <c r="M407">
        <v>0</v>
      </c>
      <c r="O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>
        <f>AND(IF(Metadata!C407="",FALSE,TRUE),exact(Metadata!C407,"rat metagenome"))</f>
        <v>0</v>
      </c>
      <c r="Q407">
        <f>AND(IF(Metadata!D407="",FALSE,TRUE),exact(Metadata!D407,"1427740"))</f>
        <v>0</v>
      </c>
    </row>
    <row r="408" spans="1:17">
      <c r="A408" s="4">
        <f>IF(B408=" "," ",HYPERLINK(CONCATENATE("#metadata!",ADDRESS(INDEX($J$2:$J$1001,MATCH(ROWS($H$2:H408),$H$2:$H$1001,0),0),1)),INDEX($M$2:$M$1001,MATCH(ROWS($H$2:H408),$H$2:$H$1001,0),0)))</f>
        <v>0</v>
      </c>
      <c r="B408" s="3">
        <f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>0</v>
      </c>
      <c r="C408" s="3">
        <f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>0</v>
      </c>
      <c r="D408" s="3">
        <f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>0</v>
      </c>
      <c r="H408">
        <v>0</v>
      </c>
      <c r="I408">
        <v>0</v>
      </c>
      <c r="J408">
        <v>0</v>
      </c>
      <c r="K408">
        <f>IF(L408,TRUE,AND(O408:Q408))</f>
        <v>0</v>
      </c>
      <c r="L408">
        <f>COUNTBLANK(Metadata!B408:D408)=COLUMNS(Metadata!B408:D408)</f>
        <v>0</v>
      </c>
      <c r="M408">
        <v>0</v>
      </c>
      <c r="O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>
        <f>AND(IF(Metadata!C408="",FALSE,TRUE),exact(Metadata!C408,"rat metagenome"))</f>
        <v>0</v>
      </c>
      <c r="Q408">
        <f>AND(IF(Metadata!D408="",FALSE,TRUE),exact(Metadata!D408,"1427740"))</f>
        <v>0</v>
      </c>
    </row>
    <row r="409" spans="1:17">
      <c r="A409" s="4">
        <f>IF(B409=" "," ",HYPERLINK(CONCATENATE("#metadata!",ADDRESS(INDEX($J$2:$J$1001,MATCH(ROWS($H$2:H409),$H$2:$H$1001,0),0),1)),INDEX($M$2:$M$1001,MATCH(ROWS($H$2:H409),$H$2:$H$1001,0),0)))</f>
        <v>0</v>
      </c>
      <c r="B409" s="3">
        <f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>0</v>
      </c>
      <c r="C409" s="3">
        <f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>0</v>
      </c>
      <c r="D409" s="3">
        <f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>0</v>
      </c>
      <c r="H409">
        <v>0</v>
      </c>
      <c r="I409">
        <v>0</v>
      </c>
      <c r="J409">
        <v>0</v>
      </c>
      <c r="K409">
        <f>IF(L409,TRUE,AND(O409:Q409))</f>
        <v>0</v>
      </c>
      <c r="L409">
        <f>COUNTBLANK(Metadata!B409:D409)=COLUMNS(Metadata!B409:D409)</f>
        <v>0</v>
      </c>
      <c r="M409">
        <v>0</v>
      </c>
      <c r="O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>
        <f>AND(IF(Metadata!C409="",FALSE,TRUE),exact(Metadata!C409,"rat metagenome"))</f>
        <v>0</v>
      </c>
      <c r="Q409">
        <f>AND(IF(Metadata!D409="",FALSE,TRUE),exact(Metadata!D409,"1427740"))</f>
        <v>0</v>
      </c>
    </row>
    <row r="410" spans="1:17">
      <c r="A410" s="4">
        <f>IF(B410=" "," ",HYPERLINK(CONCATENATE("#metadata!",ADDRESS(INDEX($J$2:$J$1001,MATCH(ROWS($H$2:H410),$H$2:$H$1001,0),0),1)),INDEX($M$2:$M$1001,MATCH(ROWS($H$2:H410),$H$2:$H$1001,0),0)))</f>
        <v>0</v>
      </c>
      <c r="B410" s="3">
        <f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>0</v>
      </c>
      <c r="C410" s="3">
        <f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>0</v>
      </c>
      <c r="D410" s="3">
        <f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>0</v>
      </c>
      <c r="H410">
        <v>0</v>
      </c>
      <c r="I410">
        <v>0</v>
      </c>
      <c r="J410">
        <v>0</v>
      </c>
      <c r="K410">
        <f>IF(L410,TRUE,AND(O410:Q410))</f>
        <v>0</v>
      </c>
      <c r="L410">
        <f>COUNTBLANK(Metadata!B410:D410)=COLUMNS(Metadata!B410:D410)</f>
        <v>0</v>
      </c>
      <c r="M410">
        <v>0</v>
      </c>
      <c r="O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>
        <f>AND(IF(Metadata!C410="",FALSE,TRUE),exact(Metadata!C410,"rat metagenome"))</f>
        <v>0</v>
      </c>
      <c r="Q410">
        <f>AND(IF(Metadata!D410="",FALSE,TRUE),exact(Metadata!D410,"1427740"))</f>
        <v>0</v>
      </c>
    </row>
    <row r="411" spans="1:17">
      <c r="A411" s="4">
        <f>IF(B411=" "," ",HYPERLINK(CONCATENATE("#metadata!",ADDRESS(INDEX($J$2:$J$1001,MATCH(ROWS($H$2:H411),$H$2:$H$1001,0),0),1)),INDEX($M$2:$M$1001,MATCH(ROWS($H$2:H411),$H$2:$H$1001,0),0)))</f>
        <v>0</v>
      </c>
      <c r="B411" s="3">
        <f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>0</v>
      </c>
      <c r="C411" s="3">
        <f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>0</v>
      </c>
      <c r="D411" s="3">
        <f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>0</v>
      </c>
      <c r="H411">
        <v>0</v>
      </c>
      <c r="I411">
        <v>0</v>
      </c>
      <c r="J411">
        <v>0</v>
      </c>
      <c r="K411">
        <f>IF(L411,TRUE,AND(O411:Q411))</f>
        <v>0</v>
      </c>
      <c r="L411">
        <f>COUNTBLANK(Metadata!B411:D411)=COLUMNS(Metadata!B411:D411)</f>
        <v>0</v>
      </c>
      <c r="M411">
        <v>0</v>
      </c>
      <c r="O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>
        <f>AND(IF(Metadata!C411="",FALSE,TRUE),exact(Metadata!C411,"rat metagenome"))</f>
        <v>0</v>
      </c>
      <c r="Q411">
        <f>AND(IF(Metadata!D411="",FALSE,TRUE),exact(Metadata!D411,"1427740"))</f>
        <v>0</v>
      </c>
    </row>
    <row r="412" spans="1:17">
      <c r="A412" s="4">
        <f>IF(B412=" "," ",HYPERLINK(CONCATENATE("#metadata!",ADDRESS(INDEX($J$2:$J$1001,MATCH(ROWS($H$2:H412),$H$2:$H$1001,0),0),1)),INDEX($M$2:$M$1001,MATCH(ROWS($H$2:H412),$H$2:$H$1001,0),0)))</f>
        <v>0</v>
      </c>
      <c r="B412" s="3">
        <f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>0</v>
      </c>
      <c r="C412" s="3">
        <f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>0</v>
      </c>
      <c r="D412" s="3">
        <f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>0</v>
      </c>
      <c r="H412">
        <v>0</v>
      </c>
      <c r="I412">
        <v>0</v>
      </c>
      <c r="J412">
        <v>0</v>
      </c>
      <c r="K412">
        <f>IF(L412,TRUE,AND(O412:Q412))</f>
        <v>0</v>
      </c>
      <c r="L412">
        <f>COUNTBLANK(Metadata!B412:D412)=COLUMNS(Metadata!B412:D412)</f>
        <v>0</v>
      </c>
      <c r="M412">
        <v>0</v>
      </c>
      <c r="O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>
        <f>AND(IF(Metadata!C412="",FALSE,TRUE),exact(Metadata!C412,"rat metagenome"))</f>
        <v>0</v>
      </c>
      <c r="Q412">
        <f>AND(IF(Metadata!D412="",FALSE,TRUE),exact(Metadata!D412,"1427740"))</f>
        <v>0</v>
      </c>
    </row>
    <row r="413" spans="1:17">
      <c r="A413" s="4">
        <f>IF(B413=" "," ",HYPERLINK(CONCATENATE("#metadata!",ADDRESS(INDEX($J$2:$J$1001,MATCH(ROWS($H$2:H413),$H$2:$H$1001,0),0),1)),INDEX($M$2:$M$1001,MATCH(ROWS($H$2:H413),$H$2:$H$1001,0),0)))</f>
        <v>0</v>
      </c>
      <c r="B413" s="3">
        <f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>0</v>
      </c>
      <c r="C413" s="3">
        <f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>0</v>
      </c>
      <c r="D413" s="3">
        <f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>0</v>
      </c>
      <c r="H413">
        <v>0</v>
      </c>
      <c r="I413">
        <v>0</v>
      </c>
      <c r="J413">
        <v>0</v>
      </c>
      <c r="K413">
        <f>IF(L413,TRUE,AND(O413:Q413))</f>
        <v>0</v>
      </c>
      <c r="L413">
        <f>COUNTBLANK(Metadata!B413:D413)=COLUMNS(Metadata!B413:D413)</f>
        <v>0</v>
      </c>
      <c r="M413">
        <v>0</v>
      </c>
      <c r="O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>
        <f>AND(IF(Metadata!C413="",FALSE,TRUE),exact(Metadata!C413,"rat metagenome"))</f>
        <v>0</v>
      </c>
      <c r="Q413">
        <f>AND(IF(Metadata!D413="",FALSE,TRUE),exact(Metadata!D413,"1427740"))</f>
        <v>0</v>
      </c>
    </row>
    <row r="414" spans="1:17">
      <c r="A414" s="4">
        <f>IF(B414=" "," ",HYPERLINK(CONCATENATE("#metadata!",ADDRESS(INDEX($J$2:$J$1001,MATCH(ROWS($H$2:H414),$H$2:$H$1001,0),0),1)),INDEX($M$2:$M$1001,MATCH(ROWS($H$2:H414),$H$2:$H$1001,0),0)))</f>
        <v>0</v>
      </c>
      <c r="B414" s="3">
        <f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>0</v>
      </c>
      <c r="C414" s="3">
        <f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>0</v>
      </c>
      <c r="D414" s="3">
        <f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>0</v>
      </c>
      <c r="H414">
        <v>0</v>
      </c>
      <c r="I414">
        <v>0</v>
      </c>
      <c r="J414">
        <v>0</v>
      </c>
      <c r="K414">
        <f>IF(L414,TRUE,AND(O414:Q414))</f>
        <v>0</v>
      </c>
      <c r="L414">
        <f>COUNTBLANK(Metadata!B414:D414)=COLUMNS(Metadata!B414:D414)</f>
        <v>0</v>
      </c>
      <c r="M414">
        <v>0</v>
      </c>
      <c r="O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>
        <f>AND(IF(Metadata!C414="",FALSE,TRUE),exact(Metadata!C414,"rat metagenome"))</f>
        <v>0</v>
      </c>
      <c r="Q414">
        <f>AND(IF(Metadata!D414="",FALSE,TRUE),exact(Metadata!D414,"1427740"))</f>
        <v>0</v>
      </c>
    </row>
    <row r="415" spans="1:17">
      <c r="A415" s="4">
        <f>IF(B415=" "," ",HYPERLINK(CONCATENATE("#metadata!",ADDRESS(INDEX($J$2:$J$1001,MATCH(ROWS($H$2:H415),$H$2:$H$1001,0),0),1)),INDEX($M$2:$M$1001,MATCH(ROWS($H$2:H415),$H$2:$H$1001,0),0)))</f>
        <v>0</v>
      </c>
      <c r="B415" s="3">
        <f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>0</v>
      </c>
      <c r="C415" s="3">
        <f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>0</v>
      </c>
      <c r="D415" s="3">
        <f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>0</v>
      </c>
      <c r="H415">
        <v>0</v>
      </c>
      <c r="I415">
        <v>0</v>
      </c>
      <c r="J415">
        <v>0</v>
      </c>
      <c r="K415">
        <f>IF(L415,TRUE,AND(O415:Q415))</f>
        <v>0</v>
      </c>
      <c r="L415">
        <f>COUNTBLANK(Metadata!B415:D415)=COLUMNS(Metadata!B415:D415)</f>
        <v>0</v>
      </c>
      <c r="M415">
        <v>0</v>
      </c>
      <c r="O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>
        <f>AND(IF(Metadata!C415="",FALSE,TRUE),exact(Metadata!C415,"rat metagenome"))</f>
        <v>0</v>
      </c>
      <c r="Q415">
        <f>AND(IF(Metadata!D415="",FALSE,TRUE),exact(Metadata!D415,"1427740"))</f>
        <v>0</v>
      </c>
    </row>
    <row r="416" spans="1:17">
      <c r="A416" s="4">
        <f>IF(B416=" "," ",HYPERLINK(CONCATENATE("#metadata!",ADDRESS(INDEX($J$2:$J$1001,MATCH(ROWS($H$2:H416),$H$2:$H$1001,0),0),1)),INDEX($M$2:$M$1001,MATCH(ROWS($H$2:H416),$H$2:$H$1001,0),0)))</f>
        <v>0</v>
      </c>
      <c r="B416" s="3">
        <f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>0</v>
      </c>
      <c r="C416" s="3">
        <f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>0</v>
      </c>
      <c r="D416" s="3">
        <f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>0</v>
      </c>
      <c r="H416">
        <v>0</v>
      </c>
      <c r="I416">
        <v>0</v>
      </c>
      <c r="J416">
        <v>0</v>
      </c>
      <c r="K416">
        <f>IF(L416,TRUE,AND(O416:Q416))</f>
        <v>0</v>
      </c>
      <c r="L416">
        <f>COUNTBLANK(Metadata!B416:D416)=COLUMNS(Metadata!B416:D416)</f>
        <v>0</v>
      </c>
      <c r="M416">
        <v>0</v>
      </c>
      <c r="O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>
        <f>AND(IF(Metadata!C416="",FALSE,TRUE),exact(Metadata!C416,"rat metagenome"))</f>
        <v>0</v>
      </c>
      <c r="Q416">
        <f>AND(IF(Metadata!D416="",FALSE,TRUE),exact(Metadata!D416,"1427740"))</f>
        <v>0</v>
      </c>
    </row>
    <row r="417" spans="1:17">
      <c r="A417" s="4">
        <f>IF(B417=" "," ",HYPERLINK(CONCATENATE("#metadata!",ADDRESS(INDEX($J$2:$J$1001,MATCH(ROWS($H$2:H417),$H$2:$H$1001,0),0),1)),INDEX($M$2:$M$1001,MATCH(ROWS($H$2:H417),$H$2:$H$1001,0),0)))</f>
        <v>0</v>
      </c>
      <c r="B417" s="3">
        <f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>0</v>
      </c>
      <c r="C417" s="3">
        <f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>0</v>
      </c>
      <c r="D417" s="3">
        <f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>0</v>
      </c>
      <c r="H417">
        <v>0</v>
      </c>
      <c r="I417">
        <v>0</v>
      </c>
      <c r="J417">
        <v>0</v>
      </c>
      <c r="K417">
        <f>IF(L417,TRUE,AND(O417:Q417))</f>
        <v>0</v>
      </c>
      <c r="L417">
        <f>COUNTBLANK(Metadata!B417:D417)=COLUMNS(Metadata!B417:D417)</f>
        <v>0</v>
      </c>
      <c r="M417">
        <v>0</v>
      </c>
      <c r="O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>
        <f>AND(IF(Metadata!C417="",FALSE,TRUE),exact(Metadata!C417,"rat metagenome"))</f>
        <v>0</v>
      </c>
      <c r="Q417">
        <f>AND(IF(Metadata!D417="",FALSE,TRUE),exact(Metadata!D417,"1427740"))</f>
        <v>0</v>
      </c>
    </row>
    <row r="418" spans="1:17">
      <c r="A418" s="4">
        <f>IF(B418=" "," ",HYPERLINK(CONCATENATE("#metadata!",ADDRESS(INDEX($J$2:$J$1001,MATCH(ROWS($H$2:H418),$H$2:$H$1001,0),0),1)),INDEX($M$2:$M$1001,MATCH(ROWS($H$2:H418),$H$2:$H$1001,0),0)))</f>
        <v>0</v>
      </c>
      <c r="B418" s="3">
        <f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>0</v>
      </c>
      <c r="C418" s="3">
        <f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>0</v>
      </c>
      <c r="D418" s="3">
        <f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>0</v>
      </c>
      <c r="H418">
        <v>0</v>
      </c>
      <c r="I418">
        <v>0</v>
      </c>
      <c r="J418">
        <v>0</v>
      </c>
      <c r="K418">
        <f>IF(L418,TRUE,AND(O418:Q418))</f>
        <v>0</v>
      </c>
      <c r="L418">
        <f>COUNTBLANK(Metadata!B418:D418)=COLUMNS(Metadata!B418:D418)</f>
        <v>0</v>
      </c>
      <c r="M418">
        <v>0</v>
      </c>
      <c r="O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>
        <f>AND(IF(Metadata!C418="",FALSE,TRUE),exact(Metadata!C418,"rat metagenome"))</f>
        <v>0</v>
      </c>
      <c r="Q418">
        <f>AND(IF(Metadata!D418="",FALSE,TRUE),exact(Metadata!D418,"1427740"))</f>
        <v>0</v>
      </c>
    </row>
    <row r="419" spans="1:17">
      <c r="A419" s="4">
        <f>IF(B419=" "," ",HYPERLINK(CONCATENATE("#metadata!",ADDRESS(INDEX($J$2:$J$1001,MATCH(ROWS($H$2:H419),$H$2:$H$1001,0),0),1)),INDEX($M$2:$M$1001,MATCH(ROWS($H$2:H419),$H$2:$H$1001,0),0)))</f>
        <v>0</v>
      </c>
      <c r="B419" s="3">
        <f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>0</v>
      </c>
      <c r="C419" s="3">
        <f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>0</v>
      </c>
      <c r="D419" s="3">
        <f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>0</v>
      </c>
      <c r="H419">
        <v>0</v>
      </c>
      <c r="I419">
        <v>0</v>
      </c>
      <c r="J419">
        <v>0</v>
      </c>
      <c r="K419">
        <f>IF(L419,TRUE,AND(O419:Q419))</f>
        <v>0</v>
      </c>
      <c r="L419">
        <f>COUNTBLANK(Metadata!B419:D419)=COLUMNS(Metadata!B419:D419)</f>
        <v>0</v>
      </c>
      <c r="M419">
        <v>0</v>
      </c>
      <c r="O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>
        <f>AND(IF(Metadata!C419="",FALSE,TRUE),exact(Metadata!C419,"rat metagenome"))</f>
        <v>0</v>
      </c>
      <c r="Q419">
        <f>AND(IF(Metadata!D419="",FALSE,TRUE),exact(Metadata!D419,"1427740"))</f>
        <v>0</v>
      </c>
    </row>
    <row r="420" spans="1:17">
      <c r="A420" s="4">
        <f>IF(B420=" "," ",HYPERLINK(CONCATENATE("#metadata!",ADDRESS(INDEX($J$2:$J$1001,MATCH(ROWS($H$2:H420),$H$2:$H$1001,0),0),1)),INDEX($M$2:$M$1001,MATCH(ROWS($H$2:H420),$H$2:$H$1001,0),0)))</f>
        <v>0</v>
      </c>
      <c r="B420" s="3">
        <f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>0</v>
      </c>
      <c r="C420" s="3">
        <f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>0</v>
      </c>
      <c r="D420" s="3">
        <f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>0</v>
      </c>
      <c r="H420">
        <v>0</v>
      </c>
      <c r="I420">
        <v>0</v>
      </c>
      <c r="J420">
        <v>0</v>
      </c>
      <c r="K420">
        <f>IF(L420,TRUE,AND(O420:Q420))</f>
        <v>0</v>
      </c>
      <c r="L420">
        <f>COUNTBLANK(Metadata!B420:D420)=COLUMNS(Metadata!B420:D420)</f>
        <v>0</v>
      </c>
      <c r="M420">
        <v>0</v>
      </c>
      <c r="O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>
        <f>AND(IF(Metadata!C420="",FALSE,TRUE),exact(Metadata!C420,"rat metagenome"))</f>
        <v>0</v>
      </c>
      <c r="Q420">
        <f>AND(IF(Metadata!D420="",FALSE,TRUE),exact(Metadata!D420,"1427740"))</f>
        <v>0</v>
      </c>
    </row>
    <row r="421" spans="1:17">
      <c r="A421" s="4">
        <f>IF(B421=" "," ",HYPERLINK(CONCATENATE("#metadata!",ADDRESS(INDEX($J$2:$J$1001,MATCH(ROWS($H$2:H421),$H$2:$H$1001,0),0),1)),INDEX($M$2:$M$1001,MATCH(ROWS($H$2:H421),$H$2:$H$1001,0),0)))</f>
        <v>0</v>
      </c>
      <c r="B421" s="3">
        <f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>0</v>
      </c>
      <c r="C421" s="3">
        <f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>0</v>
      </c>
      <c r="D421" s="3">
        <f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>0</v>
      </c>
      <c r="H421">
        <v>0</v>
      </c>
      <c r="I421">
        <v>0</v>
      </c>
      <c r="J421">
        <v>0</v>
      </c>
      <c r="K421">
        <f>IF(L421,TRUE,AND(O421:Q421))</f>
        <v>0</v>
      </c>
      <c r="L421">
        <f>COUNTBLANK(Metadata!B421:D421)=COLUMNS(Metadata!B421:D421)</f>
        <v>0</v>
      </c>
      <c r="M421">
        <v>0</v>
      </c>
      <c r="O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>
        <f>AND(IF(Metadata!C421="",FALSE,TRUE),exact(Metadata!C421,"rat metagenome"))</f>
        <v>0</v>
      </c>
      <c r="Q421">
        <f>AND(IF(Metadata!D421="",FALSE,TRUE),exact(Metadata!D421,"1427740"))</f>
        <v>0</v>
      </c>
    </row>
    <row r="422" spans="1:17">
      <c r="A422" s="4">
        <f>IF(B422=" "," ",HYPERLINK(CONCATENATE("#metadata!",ADDRESS(INDEX($J$2:$J$1001,MATCH(ROWS($H$2:H422),$H$2:$H$1001,0),0),1)),INDEX($M$2:$M$1001,MATCH(ROWS($H$2:H422),$H$2:$H$1001,0),0)))</f>
        <v>0</v>
      </c>
      <c r="B422" s="3">
        <f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>0</v>
      </c>
      <c r="C422" s="3">
        <f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>0</v>
      </c>
      <c r="D422" s="3">
        <f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>0</v>
      </c>
      <c r="H422">
        <v>0</v>
      </c>
      <c r="I422">
        <v>0</v>
      </c>
      <c r="J422">
        <v>0</v>
      </c>
      <c r="K422">
        <f>IF(L422,TRUE,AND(O422:Q422))</f>
        <v>0</v>
      </c>
      <c r="L422">
        <f>COUNTBLANK(Metadata!B422:D422)=COLUMNS(Metadata!B422:D422)</f>
        <v>0</v>
      </c>
      <c r="M422">
        <v>0</v>
      </c>
      <c r="O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>
        <f>AND(IF(Metadata!C422="",FALSE,TRUE),exact(Metadata!C422,"rat metagenome"))</f>
        <v>0</v>
      </c>
      <c r="Q422">
        <f>AND(IF(Metadata!D422="",FALSE,TRUE),exact(Metadata!D422,"1427740"))</f>
        <v>0</v>
      </c>
    </row>
    <row r="423" spans="1:17">
      <c r="A423" s="4">
        <f>IF(B423=" "," ",HYPERLINK(CONCATENATE("#metadata!",ADDRESS(INDEX($J$2:$J$1001,MATCH(ROWS($H$2:H423),$H$2:$H$1001,0),0),1)),INDEX($M$2:$M$1001,MATCH(ROWS($H$2:H423),$H$2:$H$1001,0),0)))</f>
        <v>0</v>
      </c>
      <c r="B423" s="3">
        <f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>0</v>
      </c>
      <c r="C423" s="3">
        <f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>0</v>
      </c>
      <c r="D423" s="3">
        <f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>0</v>
      </c>
      <c r="H423">
        <v>0</v>
      </c>
      <c r="I423">
        <v>0</v>
      </c>
      <c r="J423">
        <v>0</v>
      </c>
      <c r="K423">
        <f>IF(L423,TRUE,AND(O423:Q423))</f>
        <v>0</v>
      </c>
      <c r="L423">
        <f>COUNTBLANK(Metadata!B423:D423)=COLUMNS(Metadata!B423:D423)</f>
        <v>0</v>
      </c>
      <c r="M423">
        <v>0</v>
      </c>
      <c r="O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>
        <f>AND(IF(Metadata!C423="",FALSE,TRUE),exact(Metadata!C423,"rat metagenome"))</f>
        <v>0</v>
      </c>
      <c r="Q423">
        <f>AND(IF(Metadata!D423="",FALSE,TRUE),exact(Metadata!D423,"1427740"))</f>
        <v>0</v>
      </c>
    </row>
    <row r="424" spans="1:17">
      <c r="A424" s="4">
        <f>IF(B424=" "," ",HYPERLINK(CONCATENATE("#metadata!",ADDRESS(INDEX($J$2:$J$1001,MATCH(ROWS($H$2:H424),$H$2:$H$1001,0),0),1)),INDEX($M$2:$M$1001,MATCH(ROWS($H$2:H424),$H$2:$H$1001,0),0)))</f>
        <v>0</v>
      </c>
      <c r="B424" s="3">
        <f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>0</v>
      </c>
      <c r="C424" s="3">
        <f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>0</v>
      </c>
      <c r="D424" s="3">
        <f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>0</v>
      </c>
      <c r="H424">
        <v>0</v>
      </c>
      <c r="I424">
        <v>0</v>
      </c>
      <c r="J424">
        <v>0</v>
      </c>
      <c r="K424">
        <f>IF(L424,TRUE,AND(O424:Q424))</f>
        <v>0</v>
      </c>
      <c r="L424">
        <f>COUNTBLANK(Metadata!B424:D424)=COLUMNS(Metadata!B424:D424)</f>
        <v>0</v>
      </c>
      <c r="M424">
        <v>0</v>
      </c>
      <c r="O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>
        <f>AND(IF(Metadata!C424="",FALSE,TRUE),exact(Metadata!C424,"rat metagenome"))</f>
        <v>0</v>
      </c>
      <c r="Q424">
        <f>AND(IF(Metadata!D424="",FALSE,TRUE),exact(Metadata!D424,"1427740"))</f>
        <v>0</v>
      </c>
    </row>
    <row r="425" spans="1:17">
      <c r="A425" s="4">
        <f>IF(B425=" "," ",HYPERLINK(CONCATENATE("#metadata!",ADDRESS(INDEX($J$2:$J$1001,MATCH(ROWS($H$2:H425),$H$2:$H$1001,0),0),1)),INDEX($M$2:$M$1001,MATCH(ROWS($H$2:H425),$H$2:$H$1001,0),0)))</f>
        <v>0</v>
      </c>
      <c r="B425" s="3">
        <f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>0</v>
      </c>
      <c r="C425" s="3">
        <f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>0</v>
      </c>
      <c r="D425" s="3">
        <f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>0</v>
      </c>
      <c r="H425">
        <v>0</v>
      </c>
      <c r="I425">
        <v>0</v>
      </c>
      <c r="J425">
        <v>0</v>
      </c>
      <c r="K425">
        <f>IF(L425,TRUE,AND(O425:Q425))</f>
        <v>0</v>
      </c>
      <c r="L425">
        <f>COUNTBLANK(Metadata!B425:D425)=COLUMNS(Metadata!B425:D425)</f>
        <v>0</v>
      </c>
      <c r="M425">
        <v>0</v>
      </c>
      <c r="O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>
        <f>AND(IF(Metadata!C425="",FALSE,TRUE),exact(Metadata!C425,"rat metagenome"))</f>
        <v>0</v>
      </c>
      <c r="Q425">
        <f>AND(IF(Metadata!D425="",FALSE,TRUE),exact(Metadata!D425,"1427740"))</f>
        <v>0</v>
      </c>
    </row>
    <row r="426" spans="1:17">
      <c r="A426" s="4">
        <f>IF(B426=" "," ",HYPERLINK(CONCATENATE("#metadata!",ADDRESS(INDEX($J$2:$J$1001,MATCH(ROWS($H$2:H426),$H$2:$H$1001,0),0),1)),INDEX($M$2:$M$1001,MATCH(ROWS($H$2:H426),$H$2:$H$1001,0),0)))</f>
        <v>0</v>
      </c>
      <c r="B426" s="3">
        <f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>0</v>
      </c>
      <c r="C426" s="3">
        <f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>0</v>
      </c>
      <c r="D426" s="3">
        <f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>0</v>
      </c>
      <c r="H426">
        <v>0</v>
      </c>
      <c r="I426">
        <v>0</v>
      </c>
      <c r="J426">
        <v>0</v>
      </c>
      <c r="K426">
        <f>IF(L426,TRUE,AND(O426:Q426))</f>
        <v>0</v>
      </c>
      <c r="L426">
        <f>COUNTBLANK(Metadata!B426:D426)=COLUMNS(Metadata!B426:D426)</f>
        <v>0</v>
      </c>
      <c r="M426">
        <v>0</v>
      </c>
      <c r="O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>
        <f>AND(IF(Metadata!C426="",FALSE,TRUE),exact(Metadata!C426,"rat metagenome"))</f>
        <v>0</v>
      </c>
      <c r="Q426">
        <f>AND(IF(Metadata!D426="",FALSE,TRUE),exact(Metadata!D426,"1427740"))</f>
        <v>0</v>
      </c>
    </row>
    <row r="427" spans="1:17">
      <c r="A427" s="4">
        <f>IF(B427=" "," ",HYPERLINK(CONCATENATE("#metadata!",ADDRESS(INDEX($J$2:$J$1001,MATCH(ROWS($H$2:H427),$H$2:$H$1001,0),0),1)),INDEX($M$2:$M$1001,MATCH(ROWS($H$2:H427),$H$2:$H$1001,0),0)))</f>
        <v>0</v>
      </c>
      <c r="B427" s="3">
        <f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>0</v>
      </c>
      <c r="C427" s="3">
        <f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>0</v>
      </c>
      <c r="D427" s="3">
        <f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>0</v>
      </c>
      <c r="H427">
        <v>0</v>
      </c>
      <c r="I427">
        <v>0</v>
      </c>
      <c r="J427">
        <v>0</v>
      </c>
      <c r="K427">
        <f>IF(L427,TRUE,AND(O427:Q427))</f>
        <v>0</v>
      </c>
      <c r="L427">
        <f>COUNTBLANK(Metadata!B427:D427)=COLUMNS(Metadata!B427:D427)</f>
        <v>0</v>
      </c>
      <c r="M427">
        <v>0</v>
      </c>
      <c r="O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>
        <f>AND(IF(Metadata!C427="",FALSE,TRUE),exact(Metadata!C427,"rat metagenome"))</f>
        <v>0</v>
      </c>
      <c r="Q427">
        <f>AND(IF(Metadata!D427="",FALSE,TRUE),exact(Metadata!D427,"1427740"))</f>
        <v>0</v>
      </c>
    </row>
    <row r="428" spans="1:17">
      <c r="A428" s="4">
        <f>IF(B428=" "," ",HYPERLINK(CONCATENATE("#metadata!",ADDRESS(INDEX($J$2:$J$1001,MATCH(ROWS($H$2:H428),$H$2:$H$1001,0),0),1)),INDEX($M$2:$M$1001,MATCH(ROWS($H$2:H428),$H$2:$H$1001,0),0)))</f>
        <v>0</v>
      </c>
      <c r="B428" s="3">
        <f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>0</v>
      </c>
      <c r="C428" s="3">
        <f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>0</v>
      </c>
      <c r="D428" s="3">
        <f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>0</v>
      </c>
      <c r="H428">
        <v>0</v>
      </c>
      <c r="I428">
        <v>0</v>
      </c>
      <c r="J428">
        <v>0</v>
      </c>
      <c r="K428">
        <f>IF(L428,TRUE,AND(O428:Q428))</f>
        <v>0</v>
      </c>
      <c r="L428">
        <f>COUNTBLANK(Metadata!B428:D428)=COLUMNS(Metadata!B428:D428)</f>
        <v>0</v>
      </c>
      <c r="M428">
        <v>0</v>
      </c>
      <c r="O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>
        <f>AND(IF(Metadata!C428="",FALSE,TRUE),exact(Metadata!C428,"rat metagenome"))</f>
        <v>0</v>
      </c>
      <c r="Q428">
        <f>AND(IF(Metadata!D428="",FALSE,TRUE),exact(Metadata!D428,"1427740"))</f>
        <v>0</v>
      </c>
    </row>
    <row r="429" spans="1:17">
      <c r="A429" s="4">
        <f>IF(B429=" "," ",HYPERLINK(CONCATENATE("#metadata!",ADDRESS(INDEX($J$2:$J$1001,MATCH(ROWS($H$2:H429),$H$2:$H$1001,0),0),1)),INDEX($M$2:$M$1001,MATCH(ROWS($H$2:H429),$H$2:$H$1001,0),0)))</f>
        <v>0</v>
      </c>
      <c r="B429" s="3">
        <f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>0</v>
      </c>
      <c r="C429" s="3">
        <f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>0</v>
      </c>
      <c r="D429" s="3">
        <f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>0</v>
      </c>
      <c r="H429">
        <v>0</v>
      </c>
      <c r="I429">
        <v>0</v>
      </c>
      <c r="J429">
        <v>0</v>
      </c>
      <c r="K429">
        <f>IF(L429,TRUE,AND(O429:Q429))</f>
        <v>0</v>
      </c>
      <c r="L429">
        <f>COUNTBLANK(Metadata!B429:D429)=COLUMNS(Metadata!B429:D429)</f>
        <v>0</v>
      </c>
      <c r="M429">
        <v>0</v>
      </c>
      <c r="O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>
        <f>AND(IF(Metadata!C429="",FALSE,TRUE),exact(Metadata!C429,"rat metagenome"))</f>
        <v>0</v>
      </c>
      <c r="Q429">
        <f>AND(IF(Metadata!D429="",FALSE,TRUE),exact(Metadata!D429,"1427740"))</f>
        <v>0</v>
      </c>
    </row>
    <row r="430" spans="1:17">
      <c r="A430" s="4">
        <f>IF(B430=" "," ",HYPERLINK(CONCATENATE("#metadata!",ADDRESS(INDEX($J$2:$J$1001,MATCH(ROWS($H$2:H430),$H$2:$H$1001,0),0),1)),INDEX($M$2:$M$1001,MATCH(ROWS($H$2:H430),$H$2:$H$1001,0),0)))</f>
        <v>0</v>
      </c>
      <c r="B430" s="3">
        <f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>0</v>
      </c>
      <c r="C430" s="3">
        <f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>0</v>
      </c>
      <c r="D430" s="3">
        <f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>0</v>
      </c>
      <c r="H430">
        <v>0</v>
      </c>
      <c r="I430">
        <v>0</v>
      </c>
      <c r="J430">
        <v>0</v>
      </c>
      <c r="K430">
        <f>IF(L430,TRUE,AND(O430:Q430))</f>
        <v>0</v>
      </c>
      <c r="L430">
        <f>COUNTBLANK(Metadata!B430:D430)=COLUMNS(Metadata!B430:D430)</f>
        <v>0</v>
      </c>
      <c r="M430">
        <v>0</v>
      </c>
      <c r="O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>
        <f>AND(IF(Metadata!C430="",FALSE,TRUE),exact(Metadata!C430,"rat metagenome"))</f>
        <v>0</v>
      </c>
      <c r="Q430">
        <f>AND(IF(Metadata!D430="",FALSE,TRUE),exact(Metadata!D430,"1427740"))</f>
        <v>0</v>
      </c>
    </row>
    <row r="431" spans="1:17">
      <c r="A431" s="4">
        <f>IF(B431=" "," ",HYPERLINK(CONCATENATE("#metadata!",ADDRESS(INDEX($J$2:$J$1001,MATCH(ROWS($H$2:H431),$H$2:$H$1001,0),0),1)),INDEX($M$2:$M$1001,MATCH(ROWS($H$2:H431),$H$2:$H$1001,0),0)))</f>
        <v>0</v>
      </c>
      <c r="B431" s="3">
        <f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>0</v>
      </c>
      <c r="C431" s="3">
        <f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>0</v>
      </c>
      <c r="D431" s="3">
        <f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>0</v>
      </c>
      <c r="H431">
        <v>0</v>
      </c>
      <c r="I431">
        <v>0</v>
      </c>
      <c r="J431">
        <v>0</v>
      </c>
      <c r="K431">
        <f>IF(L431,TRUE,AND(O431:Q431))</f>
        <v>0</v>
      </c>
      <c r="L431">
        <f>COUNTBLANK(Metadata!B431:D431)=COLUMNS(Metadata!B431:D431)</f>
        <v>0</v>
      </c>
      <c r="M431">
        <v>0</v>
      </c>
      <c r="O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>
        <f>AND(IF(Metadata!C431="",FALSE,TRUE),exact(Metadata!C431,"rat metagenome"))</f>
        <v>0</v>
      </c>
      <c r="Q431">
        <f>AND(IF(Metadata!D431="",FALSE,TRUE),exact(Metadata!D431,"1427740"))</f>
        <v>0</v>
      </c>
    </row>
    <row r="432" spans="1:17">
      <c r="A432" s="4">
        <f>IF(B432=" "," ",HYPERLINK(CONCATENATE("#metadata!",ADDRESS(INDEX($J$2:$J$1001,MATCH(ROWS($H$2:H432),$H$2:$H$1001,0),0),1)),INDEX($M$2:$M$1001,MATCH(ROWS($H$2:H432),$H$2:$H$1001,0),0)))</f>
        <v>0</v>
      </c>
      <c r="B432" s="3">
        <f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>0</v>
      </c>
      <c r="C432" s="3">
        <f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>0</v>
      </c>
      <c r="D432" s="3">
        <f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>0</v>
      </c>
      <c r="H432">
        <v>0</v>
      </c>
      <c r="I432">
        <v>0</v>
      </c>
      <c r="J432">
        <v>0</v>
      </c>
      <c r="K432">
        <f>IF(L432,TRUE,AND(O432:Q432))</f>
        <v>0</v>
      </c>
      <c r="L432">
        <f>COUNTBLANK(Metadata!B432:D432)=COLUMNS(Metadata!B432:D432)</f>
        <v>0</v>
      </c>
      <c r="M432">
        <v>0</v>
      </c>
      <c r="O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>
        <f>AND(IF(Metadata!C432="",FALSE,TRUE),exact(Metadata!C432,"rat metagenome"))</f>
        <v>0</v>
      </c>
      <c r="Q432">
        <f>AND(IF(Metadata!D432="",FALSE,TRUE),exact(Metadata!D432,"1427740"))</f>
        <v>0</v>
      </c>
    </row>
    <row r="433" spans="1:17">
      <c r="A433" s="4">
        <f>IF(B433=" "," ",HYPERLINK(CONCATENATE("#metadata!",ADDRESS(INDEX($J$2:$J$1001,MATCH(ROWS($H$2:H433),$H$2:$H$1001,0),0),1)),INDEX($M$2:$M$1001,MATCH(ROWS($H$2:H433),$H$2:$H$1001,0),0)))</f>
        <v>0</v>
      </c>
      <c r="B433" s="3">
        <f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>0</v>
      </c>
      <c r="C433" s="3">
        <f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>0</v>
      </c>
      <c r="D433" s="3">
        <f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>0</v>
      </c>
      <c r="H433">
        <v>0</v>
      </c>
      <c r="I433">
        <v>0</v>
      </c>
      <c r="J433">
        <v>0</v>
      </c>
      <c r="K433">
        <f>IF(L433,TRUE,AND(O433:Q433))</f>
        <v>0</v>
      </c>
      <c r="L433">
        <f>COUNTBLANK(Metadata!B433:D433)=COLUMNS(Metadata!B433:D433)</f>
        <v>0</v>
      </c>
      <c r="M433">
        <v>0</v>
      </c>
      <c r="O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>
        <f>AND(IF(Metadata!C433="",FALSE,TRUE),exact(Metadata!C433,"rat metagenome"))</f>
        <v>0</v>
      </c>
      <c r="Q433">
        <f>AND(IF(Metadata!D433="",FALSE,TRUE),exact(Metadata!D433,"1427740"))</f>
        <v>0</v>
      </c>
    </row>
    <row r="434" spans="1:17">
      <c r="A434" s="4">
        <f>IF(B434=" "," ",HYPERLINK(CONCATENATE("#metadata!",ADDRESS(INDEX($J$2:$J$1001,MATCH(ROWS($H$2:H434),$H$2:$H$1001,0),0),1)),INDEX($M$2:$M$1001,MATCH(ROWS($H$2:H434),$H$2:$H$1001,0),0)))</f>
        <v>0</v>
      </c>
      <c r="B434" s="3">
        <f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>0</v>
      </c>
      <c r="C434" s="3">
        <f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>0</v>
      </c>
      <c r="D434" s="3">
        <f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>0</v>
      </c>
      <c r="H434">
        <v>0</v>
      </c>
      <c r="I434">
        <v>0</v>
      </c>
      <c r="J434">
        <v>0</v>
      </c>
      <c r="K434">
        <f>IF(L434,TRUE,AND(O434:Q434))</f>
        <v>0</v>
      </c>
      <c r="L434">
        <f>COUNTBLANK(Metadata!B434:D434)=COLUMNS(Metadata!B434:D434)</f>
        <v>0</v>
      </c>
      <c r="M434">
        <v>0</v>
      </c>
      <c r="O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>
        <f>AND(IF(Metadata!C434="",FALSE,TRUE),exact(Metadata!C434,"rat metagenome"))</f>
        <v>0</v>
      </c>
      <c r="Q434">
        <f>AND(IF(Metadata!D434="",FALSE,TRUE),exact(Metadata!D434,"1427740"))</f>
        <v>0</v>
      </c>
    </row>
    <row r="435" spans="1:17">
      <c r="A435" s="4">
        <f>IF(B435=" "," ",HYPERLINK(CONCATENATE("#metadata!",ADDRESS(INDEX($J$2:$J$1001,MATCH(ROWS($H$2:H435),$H$2:$H$1001,0),0),1)),INDEX($M$2:$M$1001,MATCH(ROWS($H$2:H435),$H$2:$H$1001,0),0)))</f>
        <v>0</v>
      </c>
      <c r="B435" s="3">
        <f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>0</v>
      </c>
      <c r="C435" s="3">
        <f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>0</v>
      </c>
      <c r="D435" s="3">
        <f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>0</v>
      </c>
      <c r="H435">
        <v>0</v>
      </c>
      <c r="I435">
        <v>0</v>
      </c>
      <c r="J435">
        <v>0</v>
      </c>
      <c r="K435">
        <f>IF(L435,TRUE,AND(O435:Q435))</f>
        <v>0</v>
      </c>
      <c r="L435">
        <f>COUNTBLANK(Metadata!B435:D435)=COLUMNS(Metadata!B435:D435)</f>
        <v>0</v>
      </c>
      <c r="M435">
        <v>0</v>
      </c>
      <c r="O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>
        <f>AND(IF(Metadata!C435="",FALSE,TRUE),exact(Metadata!C435,"rat metagenome"))</f>
        <v>0</v>
      </c>
      <c r="Q435">
        <f>AND(IF(Metadata!D435="",FALSE,TRUE),exact(Metadata!D435,"1427740"))</f>
        <v>0</v>
      </c>
    </row>
    <row r="436" spans="1:17">
      <c r="A436" s="4">
        <f>IF(B436=" "," ",HYPERLINK(CONCATENATE("#metadata!",ADDRESS(INDEX($J$2:$J$1001,MATCH(ROWS($H$2:H436),$H$2:$H$1001,0),0),1)),INDEX($M$2:$M$1001,MATCH(ROWS($H$2:H436),$H$2:$H$1001,0),0)))</f>
        <v>0</v>
      </c>
      <c r="B436" s="3">
        <f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>0</v>
      </c>
      <c r="C436" s="3">
        <f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>0</v>
      </c>
      <c r="D436" s="3">
        <f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>0</v>
      </c>
      <c r="H436">
        <v>0</v>
      </c>
      <c r="I436">
        <v>0</v>
      </c>
      <c r="J436">
        <v>0</v>
      </c>
      <c r="K436">
        <f>IF(L436,TRUE,AND(O436:Q436))</f>
        <v>0</v>
      </c>
      <c r="L436">
        <f>COUNTBLANK(Metadata!B436:D436)=COLUMNS(Metadata!B436:D436)</f>
        <v>0</v>
      </c>
      <c r="M436">
        <v>0</v>
      </c>
      <c r="O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>
        <f>AND(IF(Metadata!C436="",FALSE,TRUE),exact(Metadata!C436,"rat metagenome"))</f>
        <v>0</v>
      </c>
      <c r="Q436">
        <f>AND(IF(Metadata!D436="",FALSE,TRUE),exact(Metadata!D436,"1427740"))</f>
        <v>0</v>
      </c>
    </row>
    <row r="437" spans="1:17">
      <c r="A437" s="4">
        <f>IF(B437=" "," ",HYPERLINK(CONCATENATE("#metadata!",ADDRESS(INDEX($J$2:$J$1001,MATCH(ROWS($H$2:H437),$H$2:$H$1001,0),0),1)),INDEX($M$2:$M$1001,MATCH(ROWS($H$2:H437),$H$2:$H$1001,0),0)))</f>
        <v>0</v>
      </c>
      <c r="B437" s="3">
        <f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>0</v>
      </c>
      <c r="C437" s="3">
        <f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>0</v>
      </c>
      <c r="D437" s="3">
        <f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>0</v>
      </c>
      <c r="H437">
        <v>0</v>
      </c>
      <c r="I437">
        <v>0</v>
      </c>
      <c r="J437">
        <v>0</v>
      </c>
      <c r="K437">
        <f>IF(L437,TRUE,AND(O437:Q437))</f>
        <v>0</v>
      </c>
      <c r="L437">
        <f>COUNTBLANK(Metadata!B437:D437)=COLUMNS(Metadata!B437:D437)</f>
        <v>0</v>
      </c>
      <c r="M437">
        <v>0</v>
      </c>
      <c r="O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>
        <f>AND(IF(Metadata!C437="",FALSE,TRUE),exact(Metadata!C437,"rat metagenome"))</f>
        <v>0</v>
      </c>
      <c r="Q437">
        <f>AND(IF(Metadata!D437="",FALSE,TRUE),exact(Metadata!D437,"1427740"))</f>
        <v>0</v>
      </c>
    </row>
    <row r="438" spans="1:17">
      <c r="A438" s="4">
        <f>IF(B438=" "," ",HYPERLINK(CONCATENATE("#metadata!",ADDRESS(INDEX($J$2:$J$1001,MATCH(ROWS($H$2:H438),$H$2:$H$1001,0),0),1)),INDEX($M$2:$M$1001,MATCH(ROWS($H$2:H438),$H$2:$H$1001,0),0)))</f>
        <v>0</v>
      </c>
      <c r="B438" s="3">
        <f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>0</v>
      </c>
      <c r="C438" s="3">
        <f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>0</v>
      </c>
      <c r="D438" s="3">
        <f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>0</v>
      </c>
      <c r="H438">
        <v>0</v>
      </c>
      <c r="I438">
        <v>0</v>
      </c>
      <c r="J438">
        <v>0</v>
      </c>
      <c r="K438">
        <f>IF(L438,TRUE,AND(O438:Q438))</f>
        <v>0</v>
      </c>
      <c r="L438">
        <f>COUNTBLANK(Metadata!B438:D438)=COLUMNS(Metadata!B438:D438)</f>
        <v>0</v>
      </c>
      <c r="M438">
        <v>0</v>
      </c>
      <c r="O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>
        <f>AND(IF(Metadata!C438="",FALSE,TRUE),exact(Metadata!C438,"rat metagenome"))</f>
        <v>0</v>
      </c>
      <c r="Q438">
        <f>AND(IF(Metadata!D438="",FALSE,TRUE),exact(Metadata!D438,"1427740"))</f>
        <v>0</v>
      </c>
    </row>
    <row r="439" spans="1:17">
      <c r="A439" s="4">
        <f>IF(B439=" "," ",HYPERLINK(CONCATENATE("#metadata!",ADDRESS(INDEX($J$2:$J$1001,MATCH(ROWS($H$2:H439),$H$2:$H$1001,0),0),1)),INDEX($M$2:$M$1001,MATCH(ROWS($H$2:H439),$H$2:$H$1001,0),0)))</f>
        <v>0</v>
      </c>
      <c r="B439" s="3">
        <f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>0</v>
      </c>
      <c r="C439" s="3">
        <f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>0</v>
      </c>
      <c r="D439" s="3">
        <f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>0</v>
      </c>
      <c r="H439">
        <v>0</v>
      </c>
      <c r="I439">
        <v>0</v>
      </c>
      <c r="J439">
        <v>0</v>
      </c>
      <c r="K439">
        <f>IF(L439,TRUE,AND(O439:Q439))</f>
        <v>0</v>
      </c>
      <c r="L439">
        <f>COUNTBLANK(Metadata!B439:D439)=COLUMNS(Metadata!B439:D439)</f>
        <v>0</v>
      </c>
      <c r="M439">
        <v>0</v>
      </c>
      <c r="O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>
        <f>AND(IF(Metadata!C439="",FALSE,TRUE),exact(Metadata!C439,"rat metagenome"))</f>
        <v>0</v>
      </c>
      <c r="Q439">
        <f>AND(IF(Metadata!D439="",FALSE,TRUE),exact(Metadata!D439,"1427740"))</f>
        <v>0</v>
      </c>
    </row>
    <row r="440" spans="1:17">
      <c r="A440" s="4">
        <f>IF(B440=" "," ",HYPERLINK(CONCATENATE("#metadata!",ADDRESS(INDEX($J$2:$J$1001,MATCH(ROWS($H$2:H440),$H$2:$H$1001,0),0),1)),INDEX($M$2:$M$1001,MATCH(ROWS($H$2:H440),$H$2:$H$1001,0),0)))</f>
        <v>0</v>
      </c>
      <c r="B440" s="3">
        <f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>0</v>
      </c>
      <c r="C440" s="3">
        <f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>0</v>
      </c>
      <c r="D440" s="3">
        <f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>0</v>
      </c>
      <c r="H440">
        <v>0</v>
      </c>
      <c r="I440">
        <v>0</v>
      </c>
      <c r="J440">
        <v>0</v>
      </c>
      <c r="K440">
        <f>IF(L440,TRUE,AND(O440:Q440))</f>
        <v>0</v>
      </c>
      <c r="L440">
        <f>COUNTBLANK(Metadata!B440:D440)=COLUMNS(Metadata!B440:D440)</f>
        <v>0</v>
      </c>
      <c r="M440">
        <v>0</v>
      </c>
      <c r="O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>
        <f>AND(IF(Metadata!C440="",FALSE,TRUE),exact(Metadata!C440,"rat metagenome"))</f>
        <v>0</v>
      </c>
      <c r="Q440">
        <f>AND(IF(Metadata!D440="",FALSE,TRUE),exact(Metadata!D440,"1427740"))</f>
        <v>0</v>
      </c>
    </row>
    <row r="441" spans="1:17">
      <c r="A441" s="4">
        <f>IF(B441=" "," ",HYPERLINK(CONCATENATE("#metadata!",ADDRESS(INDEX($J$2:$J$1001,MATCH(ROWS($H$2:H441),$H$2:$H$1001,0),0),1)),INDEX($M$2:$M$1001,MATCH(ROWS($H$2:H441),$H$2:$H$1001,0),0)))</f>
        <v>0</v>
      </c>
      <c r="B441" s="3">
        <f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>0</v>
      </c>
      <c r="C441" s="3">
        <f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>0</v>
      </c>
      <c r="D441" s="3">
        <f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>0</v>
      </c>
      <c r="H441">
        <v>0</v>
      </c>
      <c r="I441">
        <v>0</v>
      </c>
      <c r="J441">
        <v>0</v>
      </c>
      <c r="K441">
        <f>IF(L441,TRUE,AND(O441:Q441))</f>
        <v>0</v>
      </c>
      <c r="L441">
        <f>COUNTBLANK(Metadata!B441:D441)=COLUMNS(Metadata!B441:D441)</f>
        <v>0</v>
      </c>
      <c r="M441">
        <v>0</v>
      </c>
      <c r="O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>
        <f>AND(IF(Metadata!C441="",FALSE,TRUE),exact(Metadata!C441,"rat metagenome"))</f>
        <v>0</v>
      </c>
      <c r="Q441">
        <f>AND(IF(Metadata!D441="",FALSE,TRUE),exact(Metadata!D441,"1427740"))</f>
        <v>0</v>
      </c>
    </row>
    <row r="442" spans="1:17">
      <c r="A442" s="4">
        <f>IF(B442=" "," ",HYPERLINK(CONCATENATE("#metadata!",ADDRESS(INDEX($J$2:$J$1001,MATCH(ROWS($H$2:H442),$H$2:$H$1001,0),0),1)),INDEX($M$2:$M$1001,MATCH(ROWS($H$2:H442),$H$2:$H$1001,0),0)))</f>
        <v>0</v>
      </c>
      <c r="B442" s="3">
        <f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>0</v>
      </c>
      <c r="C442" s="3">
        <f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>0</v>
      </c>
      <c r="D442" s="3">
        <f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>0</v>
      </c>
      <c r="H442">
        <v>0</v>
      </c>
      <c r="I442">
        <v>0</v>
      </c>
      <c r="J442">
        <v>0</v>
      </c>
      <c r="K442">
        <f>IF(L442,TRUE,AND(O442:Q442))</f>
        <v>0</v>
      </c>
      <c r="L442">
        <f>COUNTBLANK(Metadata!B442:D442)=COLUMNS(Metadata!B442:D442)</f>
        <v>0</v>
      </c>
      <c r="M442">
        <v>0</v>
      </c>
      <c r="O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>
        <f>AND(IF(Metadata!C442="",FALSE,TRUE),exact(Metadata!C442,"rat metagenome"))</f>
        <v>0</v>
      </c>
      <c r="Q442">
        <f>AND(IF(Metadata!D442="",FALSE,TRUE),exact(Metadata!D442,"1427740"))</f>
        <v>0</v>
      </c>
    </row>
    <row r="443" spans="1:17">
      <c r="A443" s="4">
        <f>IF(B443=" "," ",HYPERLINK(CONCATENATE("#metadata!",ADDRESS(INDEX($J$2:$J$1001,MATCH(ROWS($H$2:H443),$H$2:$H$1001,0),0),1)),INDEX($M$2:$M$1001,MATCH(ROWS($H$2:H443),$H$2:$H$1001,0),0)))</f>
        <v>0</v>
      </c>
      <c r="B443" s="3">
        <f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>0</v>
      </c>
      <c r="C443" s="3">
        <f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>0</v>
      </c>
      <c r="D443" s="3">
        <f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>0</v>
      </c>
      <c r="H443">
        <v>0</v>
      </c>
      <c r="I443">
        <v>0</v>
      </c>
      <c r="J443">
        <v>0</v>
      </c>
      <c r="K443">
        <f>IF(L443,TRUE,AND(O443:Q443))</f>
        <v>0</v>
      </c>
      <c r="L443">
        <f>COUNTBLANK(Metadata!B443:D443)=COLUMNS(Metadata!B443:D443)</f>
        <v>0</v>
      </c>
      <c r="M443">
        <v>0</v>
      </c>
      <c r="O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>
        <f>AND(IF(Metadata!C443="",FALSE,TRUE),exact(Metadata!C443,"rat metagenome"))</f>
        <v>0</v>
      </c>
      <c r="Q443">
        <f>AND(IF(Metadata!D443="",FALSE,TRUE),exact(Metadata!D443,"1427740"))</f>
        <v>0</v>
      </c>
    </row>
    <row r="444" spans="1:17">
      <c r="A444" s="4">
        <f>IF(B444=" "," ",HYPERLINK(CONCATENATE("#metadata!",ADDRESS(INDEX($J$2:$J$1001,MATCH(ROWS($H$2:H444),$H$2:$H$1001,0),0),1)),INDEX($M$2:$M$1001,MATCH(ROWS($H$2:H444),$H$2:$H$1001,0),0)))</f>
        <v>0</v>
      </c>
      <c r="B444" s="3">
        <f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>0</v>
      </c>
      <c r="C444" s="3">
        <f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>0</v>
      </c>
      <c r="D444" s="3">
        <f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>0</v>
      </c>
      <c r="H444">
        <v>0</v>
      </c>
      <c r="I444">
        <v>0</v>
      </c>
      <c r="J444">
        <v>0</v>
      </c>
      <c r="K444">
        <f>IF(L444,TRUE,AND(O444:Q444))</f>
        <v>0</v>
      </c>
      <c r="L444">
        <f>COUNTBLANK(Metadata!B444:D444)=COLUMNS(Metadata!B444:D444)</f>
        <v>0</v>
      </c>
      <c r="M444">
        <v>0</v>
      </c>
      <c r="O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>
        <f>AND(IF(Metadata!C444="",FALSE,TRUE),exact(Metadata!C444,"rat metagenome"))</f>
        <v>0</v>
      </c>
      <c r="Q444">
        <f>AND(IF(Metadata!D444="",FALSE,TRUE),exact(Metadata!D444,"1427740"))</f>
        <v>0</v>
      </c>
    </row>
    <row r="445" spans="1:17">
      <c r="A445" s="4">
        <f>IF(B445=" "," ",HYPERLINK(CONCATENATE("#metadata!",ADDRESS(INDEX($J$2:$J$1001,MATCH(ROWS($H$2:H445),$H$2:$H$1001,0),0),1)),INDEX($M$2:$M$1001,MATCH(ROWS($H$2:H445),$H$2:$H$1001,0),0)))</f>
        <v>0</v>
      </c>
      <c r="B445" s="3">
        <f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>0</v>
      </c>
      <c r="C445" s="3">
        <f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>0</v>
      </c>
      <c r="D445" s="3">
        <f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>0</v>
      </c>
      <c r="H445">
        <v>0</v>
      </c>
      <c r="I445">
        <v>0</v>
      </c>
      <c r="J445">
        <v>0</v>
      </c>
      <c r="K445">
        <f>IF(L445,TRUE,AND(O445:Q445))</f>
        <v>0</v>
      </c>
      <c r="L445">
        <f>COUNTBLANK(Metadata!B445:D445)=COLUMNS(Metadata!B445:D445)</f>
        <v>0</v>
      </c>
      <c r="M445">
        <v>0</v>
      </c>
      <c r="O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>
        <f>AND(IF(Metadata!C445="",FALSE,TRUE),exact(Metadata!C445,"rat metagenome"))</f>
        <v>0</v>
      </c>
      <c r="Q445">
        <f>AND(IF(Metadata!D445="",FALSE,TRUE),exact(Metadata!D445,"1427740"))</f>
        <v>0</v>
      </c>
    </row>
    <row r="446" spans="1:17">
      <c r="A446" s="4">
        <f>IF(B446=" "," ",HYPERLINK(CONCATENATE("#metadata!",ADDRESS(INDEX($J$2:$J$1001,MATCH(ROWS($H$2:H446),$H$2:$H$1001,0),0),1)),INDEX($M$2:$M$1001,MATCH(ROWS($H$2:H446),$H$2:$H$1001,0),0)))</f>
        <v>0</v>
      </c>
      <c r="B446" s="3">
        <f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>0</v>
      </c>
      <c r="C446" s="3">
        <f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>0</v>
      </c>
      <c r="D446" s="3">
        <f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>0</v>
      </c>
      <c r="H446">
        <v>0</v>
      </c>
      <c r="I446">
        <v>0</v>
      </c>
      <c r="J446">
        <v>0</v>
      </c>
      <c r="K446">
        <f>IF(L446,TRUE,AND(O446:Q446))</f>
        <v>0</v>
      </c>
      <c r="L446">
        <f>COUNTBLANK(Metadata!B446:D446)=COLUMNS(Metadata!B446:D446)</f>
        <v>0</v>
      </c>
      <c r="M446">
        <v>0</v>
      </c>
      <c r="O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>
        <f>AND(IF(Metadata!C446="",FALSE,TRUE),exact(Metadata!C446,"rat metagenome"))</f>
        <v>0</v>
      </c>
      <c r="Q446">
        <f>AND(IF(Metadata!D446="",FALSE,TRUE),exact(Metadata!D446,"1427740"))</f>
        <v>0</v>
      </c>
    </row>
    <row r="447" spans="1:17">
      <c r="A447" s="4">
        <f>IF(B447=" "," ",HYPERLINK(CONCATENATE("#metadata!",ADDRESS(INDEX($J$2:$J$1001,MATCH(ROWS($H$2:H447),$H$2:$H$1001,0),0),1)),INDEX($M$2:$M$1001,MATCH(ROWS($H$2:H447),$H$2:$H$1001,0),0)))</f>
        <v>0</v>
      </c>
      <c r="B447" s="3">
        <f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>0</v>
      </c>
      <c r="C447" s="3">
        <f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>0</v>
      </c>
      <c r="D447" s="3">
        <f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>0</v>
      </c>
      <c r="H447">
        <v>0</v>
      </c>
      <c r="I447">
        <v>0</v>
      </c>
      <c r="J447">
        <v>0</v>
      </c>
      <c r="K447">
        <f>IF(L447,TRUE,AND(O447:Q447))</f>
        <v>0</v>
      </c>
      <c r="L447">
        <f>COUNTBLANK(Metadata!B447:D447)=COLUMNS(Metadata!B447:D447)</f>
        <v>0</v>
      </c>
      <c r="M447">
        <v>0</v>
      </c>
      <c r="O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>
        <f>AND(IF(Metadata!C447="",FALSE,TRUE),exact(Metadata!C447,"rat metagenome"))</f>
        <v>0</v>
      </c>
      <c r="Q447">
        <f>AND(IF(Metadata!D447="",FALSE,TRUE),exact(Metadata!D447,"1427740"))</f>
        <v>0</v>
      </c>
    </row>
    <row r="448" spans="1:17">
      <c r="A448" s="4">
        <f>IF(B448=" "," ",HYPERLINK(CONCATENATE("#metadata!",ADDRESS(INDEX($J$2:$J$1001,MATCH(ROWS($H$2:H448),$H$2:$H$1001,0),0),1)),INDEX($M$2:$M$1001,MATCH(ROWS($H$2:H448),$H$2:$H$1001,0),0)))</f>
        <v>0</v>
      </c>
      <c r="B448" s="3">
        <f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>0</v>
      </c>
      <c r="C448" s="3">
        <f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>0</v>
      </c>
      <c r="D448" s="3">
        <f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>0</v>
      </c>
      <c r="H448">
        <v>0</v>
      </c>
      <c r="I448">
        <v>0</v>
      </c>
      <c r="J448">
        <v>0</v>
      </c>
      <c r="K448">
        <f>IF(L448,TRUE,AND(O448:Q448))</f>
        <v>0</v>
      </c>
      <c r="L448">
        <f>COUNTBLANK(Metadata!B448:D448)=COLUMNS(Metadata!B448:D448)</f>
        <v>0</v>
      </c>
      <c r="M448">
        <v>0</v>
      </c>
      <c r="O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>
        <f>AND(IF(Metadata!C448="",FALSE,TRUE),exact(Metadata!C448,"rat metagenome"))</f>
        <v>0</v>
      </c>
      <c r="Q448">
        <f>AND(IF(Metadata!D448="",FALSE,TRUE),exact(Metadata!D448,"1427740"))</f>
        <v>0</v>
      </c>
    </row>
    <row r="449" spans="1:17">
      <c r="A449" s="4">
        <f>IF(B449=" "," ",HYPERLINK(CONCATENATE("#metadata!",ADDRESS(INDEX($J$2:$J$1001,MATCH(ROWS($H$2:H449),$H$2:$H$1001,0),0),1)),INDEX($M$2:$M$1001,MATCH(ROWS($H$2:H449),$H$2:$H$1001,0),0)))</f>
        <v>0</v>
      </c>
      <c r="B449" s="3">
        <f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>0</v>
      </c>
      <c r="C449" s="3">
        <f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>0</v>
      </c>
      <c r="D449" s="3">
        <f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>0</v>
      </c>
      <c r="H449">
        <v>0</v>
      </c>
      <c r="I449">
        <v>0</v>
      </c>
      <c r="J449">
        <v>0</v>
      </c>
      <c r="K449">
        <f>IF(L449,TRUE,AND(O449:Q449))</f>
        <v>0</v>
      </c>
      <c r="L449">
        <f>COUNTBLANK(Metadata!B449:D449)=COLUMNS(Metadata!B449:D449)</f>
        <v>0</v>
      </c>
      <c r="M449">
        <v>0</v>
      </c>
      <c r="O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>
        <f>AND(IF(Metadata!C449="",FALSE,TRUE),exact(Metadata!C449,"rat metagenome"))</f>
        <v>0</v>
      </c>
      <c r="Q449">
        <f>AND(IF(Metadata!D449="",FALSE,TRUE),exact(Metadata!D449,"1427740"))</f>
        <v>0</v>
      </c>
    </row>
    <row r="450" spans="1:17">
      <c r="A450" s="4">
        <f>IF(B450=" "," ",HYPERLINK(CONCATENATE("#metadata!",ADDRESS(INDEX($J$2:$J$1001,MATCH(ROWS($H$2:H450),$H$2:$H$1001,0),0),1)),INDEX($M$2:$M$1001,MATCH(ROWS($H$2:H450),$H$2:$H$1001,0),0)))</f>
        <v>0</v>
      </c>
      <c r="B450" s="3">
        <f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>0</v>
      </c>
      <c r="C450" s="3">
        <f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>0</v>
      </c>
      <c r="D450" s="3">
        <f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>0</v>
      </c>
      <c r="H450">
        <v>0</v>
      </c>
      <c r="I450">
        <v>0</v>
      </c>
      <c r="J450">
        <v>0</v>
      </c>
      <c r="K450">
        <f>IF(L450,TRUE,AND(O450:Q450))</f>
        <v>0</v>
      </c>
      <c r="L450">
        <f>COUNTBLANK(Metadata!B450:D450)=COLUMNS(Metadata!B450:D450)</f>
        <v>0</v>
      </c>
      <c r="M450">
        <v>0</v>
      </c>
      <c r="O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>
        <f>AND(IF(Metadata!C450="",FALSE,TRUE),exact(Metadata!C450,"rat metagenome"))</f>
        <v>0</v>
      </c>
      <c r="Q450">
        <f>AND(IF(Metadata!D450="",FALSE,TRUE),exact(Metadata!D450,"1427740"))</f>
        <v>0</v>
      </c>
    </row>
    <row r="451" spans="1:17">
      <c r="A451" s="4">
        <f>IF(B451=" "," ",HYPERLINK(CONCATENATE("#metadata!",ADDRESS(INDEX($J$2:$J$1001,MATCH(ROWS($H$2:H451),$H$2:$H$1001,0),0),1)),INDEX($M$2:$M$1001,MATCH(ROWS($H$2:H451),$H$2:$H$1001,0),0)))</f>
        <v>0</v>
      </c>
      <c r="B451" s="3">
        <f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>0</v>
      </c>
      <c r="C451" s="3">
        <f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>0</v>
      </c>
      <c r="D451" s="3">
        <f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>0</v>
      </c>
      <c r="H451">
        <v>0</v>
      </c>
      <c r="I451">
        <v>0</v>
      </c>
      <c r="J451">
        <v>0</v>
      </c>
      <c r="K451">
        <f>IF(L451,TRUE,AND(O451:Q451))</f>
        <v>0</v>
      </c>
      <c r="L451">
        <f>COUNTBLANK(Metadata!B451:D451)=COLUMNS(Metadata!B451:D451)</f>
        <v>0</v>
      </c>
      <c r="M451">
        <v>0</v>
      </c>
      <c r="O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>
        <f>AND(IF(Metadata!C451="",FALSE,TRUE),exact(Metadata!C451,"rat metagenome"))</f>
        <v>0</v>
      </c>
      <c r="Q451">
        <f>AND(IF(Metadata!D451="",FALSE,TRUE),exact(Metadata!D451,"1427740"))</f>
        <v>0</v>
      </c>
    </row>
    <row r="452" spans="1:17">
      <c r="A452" s="4">
        <f>IF(B452=" "," ",HYPERLINK(CONCATENATE("#metadata!",ADDRESS(INDEX($J$2:$J$1001,MATCH(ROWS($H$2:H452),$H$2:$H$1001,0),0),1)),INDEX($M$2:$M$1001,MATCH(ROWS($H$2:H452),$H$2:$H$1001,0),0)))</f>
        <v>0</v>
      </c>
      <c r="B452" s="3">
        <f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>0</v>
      </c>
      <c r="C452" s="3">
        <f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>0</v>
      </c>
      <c r="D452" s="3">
        <f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>0</v>
      </c>
      <c r="H452">
        <v>0</v>
      </c>
      <c r="I452">
        <v>0</v>
      </c>
      <c r="J452">
        <v>0</v>
      </c>
      <c r="K452">
        <f>IF(L452,TRUE,AND(O452:Q452))</f>
        <v>0</v>
      </c>
      <c r="L452">
        <f>COUNTBLANK(Metadata!B452:D452)=COLUMNS(Metadata!B452:D452)</f>
        <v>0</v>
      </c>
      <c r="M452">
        <v>0</v>
      </c>
      <c r="O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>
        <f>AND(IF(Metadata!C452="",FALSE,TRUE),exact(Metadata!C452,"rat metagenome"))</f>
        <v>0</v>
      </c>
      <c r="Q452">
        <f>AND(IF(Metadata!D452="",FALSE,TRUE),exact(Metadata!D452,"1427740"))</f>
        <v>0</v>
      </c>
    </row>
    <row r="453" spans="1:17">
      <c r="A453" s="4">
        <f>IF(B453=" "," ",HYPERLINK(CONCATENATE("#metadata!",ADDRESS(INDEX($J$2:$J$1001,MATCH(ROWS($H$2:H453),$H$2:$H$1001,0),0),1)),INDEX($M$2:$M$1001,MATCH(ROWS($H$2:H453),$H$2:$H$1001,0),0)))</f>
        <v>0</v>
      </c>
      <c r="B453" s="3">
        <f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>0</v>
      </c>
      <c r="C453" s="3">
        <f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>0</v>
      </c>
      <c r="D453" s="3">
        <f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>0</v>
      </c>
      <c r="H453">
        <v>0</v>
      </c>
      <c r="I453">
        <v>0</v>
      </c>
      <c r="J453">
        <v>0</v>
      </c>
      <c r="K453">
        <f>IF(L453,TRUE,AND(O453:Q453))</f>
        <v>0</v>
      </c>
      <c r="L453">
        <f>COUNTBLANK(Metadata!B453:D453)=COLUMNS(Metadata!B453:D453)</f>
        <v>0</v>
      </c>
      <c r="M453">
        <v>0</v>
      </c>
      <c r="O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>
        <f>AND(IF(Metadata!C453="",FALSE,TRUE),exact(Metadata!C453,"rat metagenome"))</f>
        <v>0</v>
      </c>
      <c r="Q453">
        <f>AND(IF(Metadata!D453="",FALSE,TRUE),exact(Metadata!D453,"1427740"))</f>
        <v>0</v>
      </c>
    </row>
    <row r="454" spans="1:17">
      <c r="A454" s="4">
        <f>IF(B454=" "," ",HYPERLINK(CONCATENATE("#metadata!",ADDRESS(INDEX($J$2:$J$1001,MATCH(ROWS($H$2:H454),$H$2:$H$1001,0),0),1)),INDEX($M$2:$M$1001,MATCH(ROWS($H$2:H454),$H$2:$H$1001,0),0)))</f>
        <v>0</v>
      </c>
      <c r="B454" s="3">
        <f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>0</v>
      </c>
      <c r="C454" s="3">
        <f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>0</v>
      </c>
      <c r="D454" s="3">
        <f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>0</v>
      </c>
      <c r="H454">
        <v>0</v>
      </c>
      <c r="I454">
        <v>0</v>
      </c>
      <c r="J454">
        <v>0</v>
      </c>
      <c r="K454">
        <f>IF(L454,TRUE,AND(O454:Q454))</f>
        <v>0</v>
      </c>
      <c r="L454">
        <f>COUNTBLANK(Metadata!B454:D454)=COLUMNS(Metadata!B454:D454)</f>
        <v>0</v>
      </c>
      <c r="M454">
        <v>0</v>
      </c>
      <c r="O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>
        <f>AND(IF(Metadata!C454="",FALSE,TRUE),exact(Metadata!C454,"rat metagenome"))</f>
        <v>0</v>
      </c>
      <c r="Q454">
        <f>AND(IF(Metadata!D454="",FALSE,TRUE),exact(Metadata!D454,"1427740"))</f>
        <v>0</v>
      </c>
    </row>
    <row r="455" spans="1:17">
      <c r="A455" s="4">
        <f>IF(B455=" "," ",HYPERLINK(CONCATENATE("#metadata!",ADDRESS(INDEX($J$2:$J$1001,MATCH(ROWS($H$2:H455),$H$2:$H$1001,0),0),1)),INDEX($M$2:$M$1001,MATCH(ROWS($H$2:H455),$H$2:$H$1001,0),0)))</f>
        <v>0</v>
      </c>
      <c r="B455" s="3">
        <f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>0</v>
      </c>
      <c r="C455" s="3">
        <f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>0</v>
      </c>
      <c r="D455" s="3">
        <f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>0</v>
      </c>
      <c r="H455">
        <v>0</v>
      </c>
      <c r="I455">
        <v>0</v>
      </c>
      <c r="J455">
        <v>0</v>
      </c>
      <c r="K455">
        <f>IF(L455,TRUE,AND(O455:Q455))</f>
        <v>0</v>
      </c>
      <c r="L455">
        <f>COUNTBLANK(Metadata!B455:D455)=COLUMNS(Metadata!B455:D455)</f>
        <v>0</v>
      </c>
      <c r="M455">
        <v>0</v>
      </c>
      <c r="O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>
        <f>AND(IF(Metadata!C455="",FALSE,TRUE),exact(Metadata!C455,"rat metagenome"))</f>
        <v>0</v>
      </c>
      <c r="Q455">
        <f>AND(IF(Metadata!D455="",FALSE,TRUE),exact(Metadata!D455,"1427740"))</f>
        <v>0</v>
      </c>
    </row>
    <row r="456" spans="1:17">
      <c r="A456" s="4">
        <f>IF(B456=" "," ",HYPERLINK(CONCATENATE("#metadata!",ADDRESS(INDEX($J$2:$J$1001,MATCH(ROWS($H$2:H456),$H$2:$H$1001,0),0),1)),INDEX($M$2:$M$1001,MATCH(ROWS($H$2:H456),$H$2:$H$1001,0),0)))</f>
        <v>0</v>
      </c>
      <c r="B456" s="3">
        <f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>0</v>
      </c>
      <c r="C456" s="3">
        <f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>0</v>
      </c>
      <c r="D456" s="3">
        <f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>0</v>
      </c>
      <c r="H456">
        <v>0</v>
      </c>
      <c r="I456">
        <v>0</v>
      </c>
      <c r="J456">
        <v>0</v>
      </c>
      <c r="K456">
        <f>IF(L456,TRUE,AND(O456:Q456))</f>
        <v>0</v>
      </c>
      <c r="L456">
        <f>COUNTBLANK(Metadata!B456:D456)=COLUMNS(Metadata!B456:D456)</f>
        <v>0</v>
      </c>
      <c r="M456">
        <v>0</v>
      </c>
      <c r="O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>
        <f>AND(IF(Metadata!C456="",FALSE,TRUE),exact(Metadata!C456,"rat metagenome"))</f>
        <v>0</v>
      </c>
      <c r="Q456">
        <f>AND(IF(Metadata!D456="",FALSE,TRUE),exact(Metadata!D456,"1427740"))</f>
        <v>0</v>
      </c>
    </row>
    <row r="457" spans="1:17">
      <c r="A457" s="4">
        <f>IF(B457=" "," ",HYPERLINK(CONCATENATE("#metadata!",ADDRESS(INDEX($J$2:$J$1001,MATCH(ROWS($H$2:H457),$H$2:$H$1001,0),0),1)),INDEX($M$2:$M$1001,MATCH(ROWS($H$2:H457),$H$2:$H$1001,0),0)))</f>
        <v>0</v>
      </c>
      <c r="B457" s="3">
        <f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>0</v>
      </c>
      <c r="C457" s="3">
        <f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>0</v>
      </c>
      <c r="D457" s="3">
        <f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>0</v>
      </c>
      <c r="H457">
        <v>0</v>
      </c>
      <c r="I457">
        <v>0</v>
      </c>
      <c r="J457">
        <v>0</v>
      </c>
      <c r="K457">
        <f>IF(L457,TRUE,AND(O457:Q457))</f>
        <v>0</v>
      </c>
      <c r="L457">
        <f>COUNTBLANK(Metadata!B457:D457)=COLUMNS(Metadata!B457:D457)</f>
        <v>0</v>
      </c>
      <c r="M457">
        <v>0</v>
      </c>
      <c r="O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>
        <f>AND(IF(Metadata!C457="",FALSE,TRUE),exact(Metadata!C457,"rat metagenome"))</f>
        <v>0</v>
      </c>
      <c r="Q457">
        <f>AND(IF(Metadata!D457="",FALSE,TRUE),exact(Metadata!D457,"1427740"))</f>
        <v>0</v>
      </c>
    </row>
    <row r="458" spans="1:17">
      <c r="A458" s="4">
        <f>IF(B458=" "," ",HYPERLINK(CONCATENATE("#metadata!",ADDRESS(INDEX($J$2:$J$1001,MATCH(ROWS($H$2:H458),$H$2:$H$1001,0),0),1)),INDEX($M$2:$M$1001,MATCH(ROWS($H$2:H458),$H$2:$H$1001,0),0)))</f>
        <v>0</v>
      </c>
      <c r="B458" s="3">
        <f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>0</v>
      </c>
      <c r="C458" s="3">
        <f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>0</v>
      </c>
      <c r="D458" s="3">
        <f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>0</v>
      </c>
      <c r="H458">
        <v>0</v>
      </c>
      <c r="I458">
        <v>0</v>
      </c>
      <c r="J458">
        <v>0</v>
      </c>
      <c r="K458">
        <f>IF(L458,TRUE,AND(O458:Q458))</f>
        <v>0</v>
      </c>
      <c r="L458">
        <f>COUNTBLANK(Metadata!B458:D458)=COLUMNS(Metadata!B458:D458)</f>
        <v>0</v>
      </c>
      <c r="M458">
        <v>0</v>
      </c>
      <c r="O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>
        <f>AND(IF(Metadata!C458="",FALSE,TRUE),exact(Metadata!C458,"rat metagenome"))</f>
        <v>0</v>
      </c>
      <c r="Q458">
        <f>AND(IF(Metadata!D458="",FALSE,TRUE),exact(Metadata!D458,"1427740"))</f>
        <v>0</v>
      </c>
    </row>
    <row r="459" spans="1:17">
      <c r="A459" s="4">
        <f>IF(B459=" "," ",HYPERLINK(CONCATENATE("#metadata!",ADDRESS(INDEX($J$2:$J$1001,MATCH(ROWS($H$2:H459),$H$2:$H$1001,0),0),1)),INDEX($M$2:$M$1001,MATCH(ROWS($H$2:H459),$H$2:$H$1001,0),0)))</f>
        <v>0</v>
      </c>
      <c r="B459" s="3">
        <f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>0</v>
      </c>
      <c r="C459" s="3">
        <f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>0</v>
      </c>
      <c r="D459" s="3">
        <f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>0</v>
      </c>
      <c r="H459">
        <v>0</v>
      </c>
      <c r="I459">
        <v>0</v>
      </c>
      <c r="J459">
        <v>0</v>
      </c>
      <c r="K459">
        <f>IF(L459,TRUE,AND(O459:Q459))</f>
        <v>0</v>
      </c>
      <c r="L459">
        <f>COUNTBLANK(Metadata!B459:D459)=COLUMNS(Metadata!B459:D459)</f>
        <v>0</v>
      </c>
      <c r="M459">
        <v>0</v>
      </c>
      <c r="O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>
        <f>AND(IF(Metadata!C459="",FALSE,TRUE),exact(Metadata!C459,"rat metagenome"))</f>
        <v>0</v>
      </c>
      <c r="Q459">
        <f>AND(IF(Metadata!D459="",FALSE,TRUE),exact(Metadata!D459,"1427740"))</f>
        <v>0</v>
      </c>
    </row>
    <row r="460" spans="1:17">
      <c r="A460" s="4">
        <f>IF(B460=" "," ",HYPERLINK(CONCATENATE("#metadata!",ADDRESS(INDEX($J$2:$J$1001,MATCH(ROWS($H$2:H460),$H$2:$H$1001,0),0),1)),INDEX($M$2:$M$1001,MATCH(ROWS($H$2:H460),$H$2:$H$1001,0),0)))</f>
        <v>0</v>
      </c>
      <c r="B460" s="3">
        <f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>0</v>
      </c>
      <c r="C460" s="3">
        <f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>0</v>
      </c>
      <c r="D460" s="3">
        <f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>0</v>
      </c>
      <c r="H460">
        <v>0</v>
      </c>
      <c r="I460">
        <v>0</v>
      </c>
      <c r="J460">
        <v>0</v>
      </c>
      <c r="K460">
        <f>IF(L460,TRUE,AND(O460:Q460))</f>
        <v>0</v>
      </c>
      <c r="L460">
        <f>COUNTBLANK(Metadata!B460:D460)=COLUMNS(Metadata!B460:D460)</f>
        <v>0</v>
      </c>
      <c r="M460">
        <v>0</v>
      </c>
      <c r="O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>
        <f>AND(IF(Metadata!C460="",FALSE,TRUE),exact(Metadata!C460,"rat metagenome"))</f>
        <v>0</v>
      </c>
      <c r="Q460">
        <f>AND(IF(Metadata!D460="",FALSE,TRUE),exact(Metadata!D460,"1427740"))</f>
        <v>0</v>
      </c>
    </row>
    <row r="461" spans="1:17">
      <c r="A461" s="4">
        <f>IF(B461=" "," ",HYPERLINK(CONCATENATE("#metadata!",ADDRESS(INDEX($J$2:$J$1001,MATCH(ROWS($H$2:H461),$H$2:$H$1001,0),0),1)),INDEX($M$2:$M$1001,MATCH(ROWS($H$2:H461),$H$2:$H$1001,0),0)))</f>
        <v>0</v>
      </c>
      <c r="B461" s="3">
        <f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>0</v>
      </c>
      <c r="C461" s="3">
        <f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>0</v>
      </c>
      <c r="D461" s="3">
        <f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>0</v>
      </c>
      <c r="H461">
        <v>0</v>
      </c>
      <c r="I461">
        <v>0</v>
      </c>
      <c r="J461">
        <v>0</v>
      </c>
      <c r="K461">
        <f>IF(L461,TRUE,AND(O461:Q461))</f>
        <v>0</v>
      </c>
      <c r="L461">
        <f>COUNTBLANK(Metadata!B461:D461)=COLUMNS(Metadata!B461:D461)</f>
        <v>0</v>
      </c>
      <c r="M461">
        <v>0</v>
      </c>
      <c r="O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>
        <f>AND(IF(Metadata!C461="",FALSE,TRUE),exact(Metadata!C461,"rat metagenome"))</f>
        <v>0</v>
      </c>
      <c r="Q461">
        <f>AND(IF(Metadata!D461="",FALSE,TRUE),exact(Metadata!D461,"1427740"))</f>
        <v>0</v>
      </c>
    </row>
    <row r="462" spans="1:17">
      <c r="A462" s="4">
        <f>IF(B462=" "," ",HYPERLINK(CONCATENATE("#metadata!",ADDRESS(INDEX($J$2:$J$1001,MATCH(ROWS($H$2:H462),$H$2:$H$1001,0),0),1)),INDEX($M$2:$M$1001,MATCH(ROWS($H$2:H462),$H$2:$H$1001,0),0)))</f>
        <v>0</v>
      </c>
      <c r="B462" s="3">
        <f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>0</v>
      </c>
      <c r="C462" s="3">
        <f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>0</v>
      </c>
      <c r="D462" s="3">
        <f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>0</v>
      </c>
      <c r="H462">
        <v>0</v>
      </c>
      <c r="I462">
        <v>0</v>
      </c>
      <c r="J462">
        <v>0</v>
      </c>
      <c r="K462">
        <f>IF(L462,TRUE,AND(O462:Q462))</f>
        <v>0</v>
      </c>
      <c r="L462">
        <f>COUNTBLANK(Metadata!B462:D462)=COLUMNS(Metadata!B462:D462)</f>
        <v>0</v>
      </c>
      <c r="M462">
        <v>0</v>
      </c>
      <c r="O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>
        <f>AND(IF(Metadata!C462="",FALSE,TRUE),exact(Metadata!C462,"rat metagenome"))</f>
        <v>0</v>
      </c>
      <c r="Q462">
        <f>AND(IF(Metadata!D462="",FALSE,TRUE),exact(Metadata!D462,"1427740"))</f>
        <v>0</v>
      </c>
    </row>
    <row r="463" spans="1:17">
      <c r="A463" s="4">
        <f>IF(B463=" "," ",HYPERLINK(CONCATENATE("#metadata!",ADDRESS(INDEX($J$2:$J$1001,MATCH(ROWS($H$2:H463),$H$2:$H$1001,0),0),1)),INDEX($M$2:$M$1001,MATCH(ROWS($H$2:H463),$H$2:$H$1001,0),0)))</f>
        <v>0</v>
      </c>
      <c r="B463" s="3">
        <f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>0</v>
      </c>
      <c r="C463" s="3">
        <f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>0</v>
      </c>
      <c r="D463" s="3">
        <f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>0</v>
      </c>
      <c r="H463">
        <v>0</v>
      </c>
      <c r="I463">
        <v>0</v>
      </c>
      <c r="J463">
        <v>0</v>
      </c>
      <c r="K463">
        <f>IF(L463,TRUE,AND(O463:Q463))</f>
        <v>0</v>
      </c>
      <c r="L463">
        <f>COUNTBLANK(Metadata!B463:D463)=COLUMNS(Metadata!B463:D463)</f>
        <v>0</v>
      </c>
      <c r="M463">
        <v>0</v>
      </c>
      <c r="O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>
        <f>AND(IF(Metadata!C463="",FALSE,TRUE),exact(Metadata!C463,"rat metagenome"))</f>
        <v>0</v>
      </c>
      <c r="Q463">
        <f>AND(IF(Metadata!D463="",FALSE,TRUE),exact(Metadata!D463,"1427740"))</f>
        <v>0</v>
      </c>
    </row>
    <row r="464" spans="1:17">
      <c r="A464" s="4">
        <f>IF(B464=" "," ",HYPERLINK(CONCATENATE("#metadata!",ADDRESS(INDEX($J$2:$J$1001,MATCH(ROWS($H$2:H464),$H$2:$H$1001,0),0),1)),INDEX($M$2:$M$1001,MATCH(ROWS($H$2:H464),$H$2:$H$1001,0),0)))</f>
        <v>0</v>
      </c>
      <c r="B464" s="3">
        <f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>0</v>
      </c>
      <c r="C464" s="3">
        <f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>0</v>
      </c>
      <c r="D464" s="3">
        <f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>0</v>
      </c>
      <c r="H464">
        <v>0</v>
      </c>
      <c r="I464">
        <v>0</v>
      </c>
      <c r="J464">
        <v>0</v>
      </c>
      <c r="K464">
        <f>IF(L464,TRUE,AND(O464:Q464))</f>
        <v>0</v>
      </c>
      <c r="L464">
        <f>COUNTBLANK(Metadata!B464:D464)=COLUMNS(Metadata!B464:D464)</f>
        <v>0</v>
      </c>
      <c r="M464">
        <v>0</v>
      </c>
      <c r="O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>
        <f>AND(IF(Metadata!C464="",FALSE,TRUE),exact(Metadata!C464,"rat metagenome"))</f>
        <v>0</v>
      </c>
      <c r="Q464">
        <f>AND(IF(Metadata!D464="",FALSE,TRUE),exact(Metadata!D464,"1427740"))</f>
        <v>0</v>
      </c>
    </row>
    <row r="465" spans="1:17">
      <c r="A465" s="4">
        <f>IF(B465=" "," ",HYPERLINK(CONCATENATE("#metadata!",ADDRESS(INDEX($J$2:$J$1001,MATCH(ROWS($H$2:H465),$H$2:$H$1001,0),0),1)),INDEX($M$2:$M$1001,MATCH(ROWS($H$2:H465),$H$2:$H$1001,0),0)))</f>
        <v>0</v>
      </c>
      <c r="B465" s="3">
        <f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>0</v>
      </c>
      <c r="C465" s="3">
        <f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>0</v>
      </c>
      <c r="D465" s="3">
        <f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>0</v>
      </c>
      <c r="H465">
        <v>0</v>
      </c>
      <c r="I465">
        <v>0</v>
      </c>
      <c r="J465">
        <v>0</v>
      </c>
      <c r="K465">
        <f>IF(L465,TRUE,AND(O465:Q465))</f>
        <v>0</v>
      </c>
      <c r="L465">
        <f>COUNTBLANK(Metadata!B465:D465)=COLUMNS(Metadata!B465:D465)</f>
        <v>0</v>
      </c>
      <c r="M465">
        <v>0</v>
      </c>
      <c r="O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>
        <f>AND(IF(Metadata!C465="",FALSE,TRUE),exact(Metadata!C465,"rat metagenome"))</f>
        <v>0</v>
      </c>
      <c r="Q465">
        <f>AND(IF(Metadata!D465="",FALSE,TRUE),exact(Metadata!D465,"1427740"))</f>
        <v>0</v>
      </c>
    </row>
    <row r="466" spans="1:17">
      <c r="A466" s="4">
        <f>IF(B466=" "," ",HYPERLINK(CONCATENATE("#metadata!",ADDRESS(INDEX($J$2:$J$1001,MATCH(ROWS($H$2:H466),$H$2:$H$1001,0),0),1)),INDEX($M$2:$M$1001,MATCH(ROWS($H$2:H466),$H$2:$H$1001,0),0)))</f>
        <v>0</v>
      </c>
      <c r="B466" s="3">
        <f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>0</v>
      </c>
      <c r="C466" s="3">
        <f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>0</v>
      </c>
      <c r="D466" s="3">
        <f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>0</v>
      </c>
      <c r="H466">
        <v>0</v>
      </c>
      <c r="I466">
        <v>0</v>
      </c>
      <c r="J466">
        <v>0</v>
      </c>
      <c r="K466">
        <f>IF(L466,TRUE,AND(O466:Q466))</f>
        <v>0</v>
      </c>
      <c r="L466">
        <f>COUNTBLANK(Metadata!B466:D466)=COLUMNS(Metadata!B466:D466)</f>
        <v>0</v>
      </c>
      <c r="M466">
        <v>0</v>
      </c>
      <c r="O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>
        <f>AND(IF(Metadata!C466="",FALSE,TRUE),exact(Metadata!C466,"rat metagenome"))</f>
        <v>0</v>
      </c>
      <c r="Q466">
        <f>AND(IF(Metadata!D466="",FALSE,TRUE),exact(Metadata!D466,"1427740"))</f>
        <v>0</v>
      </c>
    </row>
    <row r="467" spans="1:17">
      <c r="A467" s="4">
        <f>IF(B467=" "," ",HYPERLINK(CONCATENATE("#metadata!",ADDRESS(INDEX($J$2:$J$1001,MATCH(ROWS($H$2:H467),$H$2:$H$1001,0),0),1)),INDEX($M$2:$M$1001,MATCH(ROWS($H$2:H467),$H$2:$H$1001,0),0)))</f>
        <v>0</v>
      </c>
      <c r="B467" s="3">
        <f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>0</v>
      </c>
      <c r="C467" s="3">
        <f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>0</v>
      </c>
      <c r="D467" s="3">
        <f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>0</v>
      </c>
      <c r="H467">
        <v>0</v>
      </c>
      <c r="I467">
        <v>0</v>
      </c>
      <c r="J467">
        <v>0</v>
      </c>
      <c r="K467">
        <f>IF(L467,TRUE,AND(O467:Q467))</f>
        <v>0</v>
      </c>
      <c r="L467">
        <f>COUNTBLANK(Metadata!B467:D467)=COLUMNS(Metadata!B467:D467)</f>
        <v>0</v>
      </c>
      <c r="M467">
        <v>0</v>
      </c>
      <c r="O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>
        <f>AND(IF(Metadata!C467="",FALSE,TRUE),exact(Metadata!C467,"rat metagenome"))</f>
        <v>0</v>
      </c>
      <c r="Q467">
        <f>AND(IF(Metadata!D467="",FALSE,TRUE),exact(Metadata!D467,"1427740"))</f>
        <v>0</v>
      </c>
    </row>
    <row r="468" spans="1:17">
      <c r="A468" s="4">
        <f>IF(B468=" "," ",HYPERLINK(CONCATENATE("#metadata!",ADDRESS(INDEX($J$2:$J$1001,MATCH(ROWS($H$2:H468),$H$2:$H$1001,0),0),1)),INDEX($M$2:$M$1001,MATCH(ROWS($H$2:H468),$H$2:$H$1001,0),0)))</f>
        <v>0</v>
      </c>
      <c r="B468" s="3">
        <f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>0</v>
      </c>
      <c r="C468" s="3">
        <f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>0</v>
      </c>
      <c r="D468" s="3">
        <f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>0</v>
      </c>
      <c r="H468">
        <v>0</v>
      </c>
      <c r="I468">
        <v>0</v>
      </c>
      <c r="J468">
        <v>0</v>
      </c>
      <c r="K468">
        <f>IF(L468,TRUE,AND(O468:Q468))</f>
        <v>0</v>
      </c>
      <c r="L468">
        <f>COUNTBLANK(Metadata!B468:D468)=COLUMNS(Metadata!B468:D468)</f>
        <v>0</v>
      </c>
      <c r="M468">
        <v>0</v>
      </c>
      <c r="O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>
        <f>AND(IF(Metadata!C468="",FALSE,TRUE),exact(Metadata!C468,"rat metagenome"))</f>
        <v>0</v>
      </c>
      <c r="Q468">
        <f>AND(IF(Metadata!D468="",FALSE,TRUE),exact(Metadata!D468,"1427740"))</f>
        <v>0</v>
      </c>
    </row>
    <row r="469" spans="1:17">
      <c r="A469" s="4">
        <f>IF(B469=" "," ",HYPERLINK(CONCATENATE("#metadata!",ADDRESS(INDEX($J$2:$J$1001,MATCH(ROWS($H$2:H469),$H$2:$H$1001,0),0),1)),INDEX($M$2:$M$1001,MATCH(ROWS($H$2:H469),$H$2:$H$1001,0),0)))</f>
        <v>0</v>
      </c>
      <c r="B469" s="3">
        <f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>0</v>
      </c>
      <c r="C469" s="3">
        <f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>0</v>
      </c>
      <c r="D469" s="3">
        <f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>0</v>
      </c>
      <c r="H469">
        <v>0</v>
      </c>
      <c r="I469">
        <v>0</v>
      </c>
      <c r="J469">
        <v>0</v>
      </c>
      <c r="K469">
        <f>IF(L469,TRUE,AND(O469:Q469))</f>
        <v>0</v>
      </c>
      <c r="L469">
        <f>COUNTBLANK(Metadata!B469:D469)=COLUMNS(Metadata!B469:D469)</f>
        <v>0</v>
      </c>
      <c r="M469">
        <v>0</v>
      </c>
      <c r="O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>
        <f>AND(IF(Metadata!C469="",FALSE,TRUE),exact(Metadata!C469,"rat metagenome"))</f>
        <v>0</v>
      </c>
      <c r="Q469">
        <f>AND(IF(Metadata!D469="",FALSE,TRUE),exact(Metadata!D469,"1427740"))</f>
        <v>0</v>
      </c>
    </row>
    <row r="470" spans="1:17">
      <c r="A470" s="4">
        <f>IF(B470=" "," ",HYPERLINK(CONCATENATE("#metadata!",ADDRESS(INDEX($J$2:$J$1001,MATCH(ROWS($H$2:H470),$H$2:$H$1001,0),0),1)),INDEX($M$2:$M$1001,MATCH(ROWS($H$2:H470),$H$2:$H$1001,0),0)))</f>
        <v>0</v>
      </c>
      <c r="B470" s="3">
        <f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>0</v>
      </c>
      <c r="C470" s="3">
        <f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>0</v>
      </c>
      <c r="D470" s="3">
        <f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>0</v>
      </c>
      <c r="H470">
        <v>0</v>
      </c>
      <c r="I470">
        <v>0</v>
      </c>
      <c r="J470">
        <v>0</v>
      </c>
      <c r="K470">
        <f>IF(L470,TRUE,AND(O470:Q470))</f>
        <v>0</v>
      </c>
      <c r="L470">
        <f>COUNTBLANK(Metadata!B470:D470)=COLUMNS(Metadata!B470:D470)</f>
        <v>0</v>
      </c>
      <c r="M470">
        <v>0</v>
      </c>
      <c r="O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>
        <f>AND(IF(Metadata!C470="",FALSE,TRUE),exact(Metadata!C470,"rat metagenome"))</f>
        <v>0</v>
      </c>
      <c r="Q470">
        <f>AND(IF(Metadata!D470="",FALSE,TRUE),exact(Metadata!D470,"1427740"))</f>
        <v>0</v>
      </c>
    </row>
    <row r="471" spans="1:17">
      <c r="A471" s="4">
        <f>IF(B471=" "," ",HYPERLINK(CONCATENATE("#metadata!",ADDRESS(INDEX($J$2:$J$1001,MATCH(ROWS($H$2:H471),$H$2:$H$1001,0),0),1)),INDEX($M$2:$M$1001,MATCH(ROWS($H$2:H471),$H$2:$H$1001,0),0)))</f>
        <v>0</v>
      </c>
      <c r="B471" s="3">
        <f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>0</v>
      </c>
      <c r="C471" s="3">
        <f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>0</v>
      </c>
      <c r="D471" s="3">
        <f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>0</v>
      </c>
      <c r="H471">
        <v>0</v>
      </c>
      <c r="I471">
        <v>0</v>
      </c>
      <c r="J471">
        <v>0</v>
      </c>
      <c r="K471">
        <f>IF(L471,TRUE,AND(O471:Q471))</f>
        <v>0</v>
      </c>
      <c r="L471">
        <f>COUNTBLANK(Metadata!B471:D471)=COLUMNS(Metadata!B471:D471)</f>
        <v>0</v>
      </c>
      <c r="M471">
        <v>0</v>
      </c>
      <c r="O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>
        <f>AND(IF(Metadata!C471="",FALSE,TRUE),exact(Metadata!C471,"rat metagenome"))</f>
        <v>0</v>
      </c>
      <c r="Q471">
        <f>AND(IF(Metadata!D471="",FALSE,TRUE),exact(Metadata!D471,"1427740"))</f>
        <v>0</v>
      </c>
    </row>
    <row r="472" spans="1:17">
      <c r="A472" s="4">
        <f>IF(B472=" "," ",HYPERLINK(CONCATENATE("#metadata!",ADDRESS(INDEX($J$2:$J$1001,MATCH(ROWS($H$2:H472),$H$2:$H$1001,0),0),1)),INDEX($M$2:$M$1001,MATCH(ROWS($H$2:H472),$H$2:$H$1001,0),0)))</f>
        <v>0</v>
      </c>
      <c r="B472" s="3">
        <f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>0</v>
      </c>
      <c r="C472" s="3">
        <f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>0</v>
      </c>
      <c r="D472" s="3">
        <f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>0</v>
      </c>
      <c r="H472">
        <v>0</v>
      </c>
      <c r="I472">
        <v>0</v>
      </c>
      <c r="J472">
        <v>0</v>
      </c>
      <c r="K472">
        <f>IF(L472,TRUE,AND(O472:Q472))</f>
        <v>0</v>
      </c>
      <c r="L472">
        <f>COUNTBLANK(Metadata!B472:D472)=COLUMNS(Metadata!B472:D472)</f>
        <v>0</v>
      </c>
      <c r="M472">
        <v>0</v>
      </c>
      <c r="O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>
        <f>AND(IF(Metadata!C472="",FALSE,TRUE),exact(Metadata!C472,"rat metagenome"))</f>
        <v>0</v>
      </c>
      <c r="Q472">
        <f>AND(IF(Metadata!D472="",FALSE,TRUE),exact(Metadata!D472,"1427740"))</f>
        <v>0</v>
      </c>
    </row>
    <row r="473" spans="1:17">
      <c r="A473" s="4">
        <f>IF(B473=" "," ",HYPERLINK(CONCATENATE("#metadata!",ADDRESS(INDEX($J$2:$J$1001,MATCH(ROWS($H$2:H473),$H$2:$H$1001,0),0),1)),INDEX($M$2:$M$1001,MATCH(ROWS($H$2:H473),$H$2:$H$1001,0),0)))</f>
        <v>0</v>
      </c>
      <c r="B473" s="3">
        <f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>0</v>
      </c>
      <c r="C473" s="3">
        <f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>0</v>
      </c>
      <c r="D473" s="3">
        <f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>0</v>
      </c>
      <c r="H473">
        <v>0</v>
      </c>
      <c r="I473">
        <v>0</v>
      </c>
      <c r="J473">
        <v>0</v>
      </c>
      <c r="K473">
        <f>IF(L473,TRUE,AND(O473:Q473))</f>
        <v>0</v>
      </c>
      <c r="L473">
        <f>COUNTBLANK(Metadata!B473:D473)=COLUMNS(Metadata!B473:D473)</f>
        <v>0</v>
      </c>
      <c r="M473">
        <v>0</v>
      </c>
      <c r="O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>
        <f>AND(IF(Metadata!C473="",FALSE,TRUE),exact(Metadata!C473,"rat metagenome"))</f>
        <v>0</v>
      </c>
      <c r="Q473">
        <f>AND(IF(Metadata!D473="",FALSE,TRUE),exact(Metadata!D473,"1427740"))</f>
        <v>0</v>
      </c>
    </row>
    <row r="474" spans="1:17">
      <c r="A474" s="4">
        <f>IF(B474=" "," ",HYPERLINK(CONCATENATE("#metadata!",ADDRESS(INDEX($J$2:$J$1001,MATCH(ROWS($H$2:H474),$H$2:$H$1001,0),0),1)),INDEX($M$2:$M$1001,MATCH(ROWS($H$2:H474),$H$2:$H$1001,0),0)))</f>
        <v>0</v>
      </c>
      <c r="B474" s="3">
        <f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>0</v>
      </c>
      <c r="C474" s="3">
        <f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>0</v>
      </c>
      <c r="D474" s="3">
        <f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>0</v>
      </c>
      <c r="H474">
        <v>0</v>
      </c>
      <c r="I474">
        <v>0</v>
      </c>
      <c r="J474">
        <v>0</v>
      </c>
      <c r="K474">
        <f>IF(L474,TRUE,AND(O474:Q474))</f>
        <v>0</v>
      </c>
      <c r="L474">
        <f>COUNTBLANK(Metadata!B474:D474)=COLUMNS(Metadata!B474:D474)</f>
        <v>0</v>
      </c>
      <c r="M474">
        <v>0</v>
      </c>
      <c r="O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>
        <f>AND(IF(Metadata!C474="",FALSE,TRUE),exact(Metadata!C474,"rat metagenome"))</f>
        <v>0</v>
      </c>
      <c r="Q474">
        <f>AND(IF(Metadata!D474="",FALSE,TRUE),exact(Metadata!D474,"1427740"))</f>
        <v>0</v>
      </c>
    </row>
    <row r="475" spans="1:17">
      <c r="A475" s="4">
        <f>IF(B475=" "," ",HYPERLINK(CONCATENATE("#metadata!",ADDRESS(INDEX($J$2:$J$1001,MATCH(ROWS($H$2:H475),$H$2:$H$1001,0),0),1)),INDEX($M$2:$M$1001,MATCH(ROWS($H$2:H475),$H$2:$H$1001,0),0)))</f>
        <v>0</v>
      </c>
      <c r="B475" s="3">
        <f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>0</v>
      </c>
      <c r="C475" s="3">
        <f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>0</v>
      </c>
      <c r="D475" s="3">
        <f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>0</v>
      </c>
      <c r="H475">
        <v>0</v>
      </c>
      <c r="I475">
        <v>0</v>
      </c>
      <c r="J475">
        <v>0</v>
      </c>
      <c r="K475">
        <f>IF(L475,TRUE,AND(O475:Q475))</f>
        <v>0</v>
      </c>
      <c r="L475">
        <f>COUNTBLANK(Metadata!B475:D475)=COLUMNS(Metadata!B475:D475)</f>
        <v>0</v>
      </c>
      <c r="M475">
        <v>0</v>
      </c>
      <c r="O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>
        <f>AND(IF(Metadata!C475="",FALSE,TRUE),exact(Metadata!C475,"rat metagenome"))</f>
        <v>0</v>
      </c>
      <c r="Q475">
        <f>AND(IF(Metadata!D475="",FALSE,TRUE),exact(Metadata!D475,"1427740"))</f>
        <v>0</v>
      </c>
    </row>
    <row r="476" spans="1:17">
      <c r="A476" s="4">
        <f>IF(B476=" "," ",HYPERLINK(CONCATENATE("#metadata!",ADDRESS(INDEX($J$2:$J$1001,MATCH(ROWS($H$2:H476),$H$2:$H$1001,0),0),1)),INDEX($M$2:$M$1001,MATCH(ROWS($H$2:H476),$H$2:$H$1001,0),0)))</f>
        <v>0</v>
      </c>
      <c r="B476" s="3">
        <f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>0</v>
      </c>
      <c r="C476" s="3">
        <f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>0</v>
      </c>
      <c r="D476" s="3">
        <f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>0</v>
      </c>
      <c r="H476">
        <v>0</v>
      </c>
      <c r="I476">
        <v>0</v>
      </c>
      <c r="J476">
        <v>0</v>
      </c>
      <c r="K476">
        <f>IF(L476,TRUE,AND(O476:Q476))</f>
        <v>0</v>
      </c>
      <c r="L476">
        <f>COUNTBLANK(Metadata!B476:D476)=COLUMNS(Metadata!B476:D476)</f>
        <v>0</v>
      </c>
      <c r="M476">
        <v>0</v>
      </c>
      <c r="O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>
        <f>AND(IF(Metadata!C476="",FALSE,TRUE),exact(Metadata!C476,"rat metagenome"))</f>
        <v>0</v>
      </c>
      <c r="Q476">
        <f>AND(IF(Metadata!D476="",FALSE,TRUE),exact(Metadata!D476,"1427740"))</f>
        <v>0</v>
      </c>
    </row>
    <row r="477" spans="1:17">
      <c r="A477" s="4">
        <f>IF(B477=" "," ",HYPERLINK(CONCATENATE("#metadata!",ADDRESS(INDEX($J$2:$J$1001,MATCH(ROWS($H$2:H477),$H$2:$H$1001,0),0),1)),INDEX($M$2:$M$1001,MATCH(ROWS($H$2:H477),$H$2:$H$1001,0),0)))</f>
        <v>0</v>
      </c>
      <c r="B477" s="3">
        <f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>0</v>
      </c>
      <c r="C477" s="3">
        <f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>0</v>
      </c>
      <c r="D477" s="3">
        <f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>0</v>
      </c>
      <c r="H477">
        <v>0</v>
      </c>
      <c r="I477">
        <v>0</v>
      </c>
      <c r="J477">
        <v>0</v>
      </c>
      <c r="K477">
        <f>IF(L477,TRUE,AND(O477:Q477))</f>
        <v>0</v>
      </c>
      <c r="L477">
        <f>COUNTBLANK(Metadata!B477:D477)=COLUMNS(Metadata!B477:D477)</f>
        <v>0</v>
      </c>
      <c r="M477">
        <v>0</v>
      </c>
      <c r="O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>
        <f>AND(IF(Metadata!C477="",FALSE,TRUE),exact(Metadata!C477,"rat metagenome"))</f>
        <v>0</v>
      </c>
      <c r="Q477">
        <f>AND(IF(Metadata!D477="",FALSE,TRUE),exact(Metadata!D477,"1427740"))</f>
        <v>0</v>
      </c>
    </row>
    <row r="478" spans="1:17">
      <c r="A478" s="4">
        <f>IF(B478=" "," ",HYPERLINK(CONCATENATE("#metadata!",ADDRESS(INDEX($J$2:$J$1001,MATCH(ROWS($H$2:H478),$H$2:$H$1001,0),0),1)),INDEX($M$2:$M$1001,MATCH(ROWS($H$2:H478),$H$2:$H$1001,0),0)))</f>
        <v>0</v>
      </c>
      <c r="B478" s="3">
        <f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>0</v>
      </c>
      <c r="C478" s="3">
        <f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>0</v>
      </c>
      <c r="D478" s="3">
        <f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>0</v>
      </c>
      <c r="H478">
        <v>0</v>
      </c>
      <c r="I478">
        <v>0</v>
      </c>
      <c r="J478">
        <v>0</v>
      </c>
      <c r="K478">
        <f>IF(L478,TRUE,AND(O478:Q478))</f>
        <v>0</v>
      </c>
      <c r="L478">
        <f>COUNTBLANK(Metadata!B478:D478)=COLUMNS(Metadata!B478:D478)</f>
        <v>0</v>
      </c>
      <c r="M478">
        <v>0</v>
      </c>
      <c r="O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>
        <f>AND(IF(Metadata!C478="",FALSE,TRUE),exact(Metadata!C478,"rat metagenome"))</f>
        <v>0</v>
      </c>
      <c r="Q478">
        <f>AND(IF(Metadata!D478="",FALSE,TRUE),exact(Metadata!D478,"1427740"))</f>
        <v>0</v>
      </c>
    </row>
    <row r="479" spans="1:17">
      <c r="A479" s="4">
        <f>IF(B479=" "," ",HYPERLINK(CONCATENATE("#metadata!",ADDRESS(INDEX($J$2:$J$1001,MATCH(ROWS($H$2:H479),$H$2:$H$1001,0),0),1)),INDEX($M$2:$M$1001,MATCH(ROWS($H$2:H479),$H$2:$H$1001,0),0)))</f>
        <v>0</v>
      </c>
      <c r="B479" s="3">
        <f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>0</v>
      </c>
      <c r="C479" s="3">
        <f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>0</v>
      </c>
      <c r="D479" s="3">
        <f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>0</v>
      </c>
      <c r="H479">
        <v>0</v>
      </c>
      <c r="I479">
        <v>0</v>
      </c>
      <c r="J479">
        <v>0</v>
      </c>
      <c r="K479">
        <f>IF(L479,TRUE,AND(O479:Q479))</f>
        <v>0</v>
      </c>
      <c r="L479">
        <f>COUNTBLANK(Metadata!B479:D479)=COLUMNS(Metadata!B479:D479)</f>
        <v>0</v>
      </c>
      <c r="M479">
        <v>0</v>
      </c>
      <c r="O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>
        <f>AND(IF(Metadata!C479="",FALSE,TRUE),exact(Metadata!C479,"rat metagenome"))</f>
        <v>0</v>
      </c>
      <c r="Q479">
        <f>AND(IF(Metadata!D479="",FALSE,TRUE),exact(Metadata!D479,"1427740"))</f>
        <v>0</v>
      </c>
    </row>
    <row r="480" spans="1:17">
      <c r="A480" s="4">
        <f>IF(B480=" "," ",HYPERLINK(CONCATENATE("#metadata!",ADDRESS(INDEX($J$2:$J$1001,MATCH(ROWS($H$2:H480),$H$2:$H$1001,0),0),1)),INDEX($M$2:$M$1001,MATCH(ROWS($H$2:H480),$H$2:$H$1001,0),0)))</f>
        <v>0</v>
      </c>
      <c r="B480" s="3">
        <f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>0</v>
      </c>
      <c r="C480" s="3">
        <f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>0</v>
      </c>
      <c r="D480" s="3">
        <f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>0</v>
      </c>
      <c r="H480">
        <v>0</v>
      </c>
      <c r="I480">
        <v>0</v>
      </c>
      <c r="J480">
        <v>0</v>
      </c>
      <c r="K480">
        <f>IF(L480,TRUE,AND(O480:Q480))</f>
        <v>0</v>
      </c>
      <c r="L480">
        <f>COUNTBLANK(Metadata!B480:D480)=COLUMNS(Metadata!B480:D480)</f>
        <v>0</v>
      </c>
      <c r="M480">
        <v>0</v>
      </c>
      <c r="O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>
        <f>AND(IF(Metadata!C480="",FALSE,TRUE),exact(Metadata!C480,"rat metagenome"))</f>
        <v>0</v>
      </c>
      <c r="Q480">
        <f>AND(IF(Metadata!D480="",FALSE,TRUE),exact(Metadata!D480,"1427740"))</f>
        <v>0</v>
      </c>
    </row>
    <row r="481" spans="1:17">
      <c r="A481" s="4">
        <f>IF(B481=" "," ",HYPERLINK(CONCATENATE("#metadata!",ADDRESS(INDEX($J$2:$J$1001,MATCH(ROWS($H$2:H481),$H$2:$H$1001,0),0),1)),INDEX($M$2:$M$1001,MATCH(ROWS($H$2:H481),$H$2:$H$1001,0),0)))</f>
        <v>0</v>
      </c>
      <c r="B481" s="3">
        <f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>0</v>
      </c>
      <c r="C481" s="3">
        <f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>0</v>
      </c>
      <c r="D481" s="3">
        <f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>0</v>
      </c>
      <c r="H481">
        <v>0</v>
      </c>
      <c r="I481">
        <v>0</v>
      </c>
      <c r="J481">
        <v>0</v>
      </c>
      <c r="K481">
        <f>IF(L481,TRUE,AND(O481:Q481))</f>
        <v>0</v>
      </c>
      <c r="L481">
        <f>COUNTBLANK(Metadata!B481:D481)=COLUMNS(Metadata!B481:D481)</f>
        <v>0</v>
      </c>
      <c r="M481">
        <v>0</v>
      </c>
      <c r="O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>
        <f>AND(IF(Metadata!C481="",FALSE,TRUE),exact(Metadata!C481,"rat metagenome"))</f>
        <v>0</v>
      </c>
      <c r="Q481">
        <f>AND(IF(Metadata!D481="",FALSE,TRUE),exact(Metadata!D481,"1427740"))</f>
        <v>0</v>
      </c>
    </row>
    <row r="482" spans="1:17">
      <c r="A482" s="4">
        <f>IF(B482=" "," ",HYPERLINK(CONCATENATE("#metadata!",ADDRESS(INDEX($J$2:$J$1001,MATCH(ROWS($H$2:H482),$H$2:$H$1001,0),0),1)),INDEX($M$2:$M$1001,MATCH(ROWS($H$2:H482),$H$2:$H$1001,0),0)))</f>
        <v>0</v>
      </c>
      <c r="B482" s="3">
        <f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>0</v>
      </c>
      <c r="C482" s="3">
        <f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>0</v>
      </c>
      <c r="D482" s="3">
        <f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>0</v>
      </c>
      <c r="H482">
        <v>0</v>
      </c>
      <c r="I482">
        <v>0</v>
      </c>
      <c r="J482">
        <v>0</v>
      </c>
      <c r="K482">
        <f>IF(L482,TRUE,AND(O482:Q482))</f>
        <v>0</v>
      </c>
      <c r="L482">
        <f>COUNTBLANK(Metadata!B482:D482)=COLUMNS(Metadata!B482:D482)</f>
        <v>0</v>
      </c>
      <c r="M482">
        <v>0</v>
      </c>
      <c r="O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>
        <f>AND(IF(Metadata!C482="",FALSE,TRUE),exact(Metadata!C482,"rat metagenome"))</f>
        <v>0</v>
      </c>
      <c r="Q482">
        <f>AND(IF(Metadata!D482="",FALSE,TRUE),exact(Metadata!D482,"1427740"))</f>
        <v>0</v>
      </c>
    </row>
    <row r="483" spans="1:17">
      <c r="A483" s="4">
        <f>IF(B483=" "," ",HYPERLINK(CONCATENATE("#metadata!",ADDRESS(INDEX($J$2:$J$1001,MATCH(ROWS($H$2:H483),$H$2:$H$1001,0),0),1)),INDEX($M$2:$M$1001,MATCH(ROWS($H$2:H483),$H$2:$H$1001,0),0)))</f>
        <v>0</v>
      </c>
      <c r="B483" s="3">
        <f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>0</v>
      </c>
      <c r="C483" s="3">
        <f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>0</v>
      </c>
      <c r="D483" s="3">
        <f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>0</v>
      </c>
      <c r="H483">
        <v>0</v>
      </c>
      <c r="I483">
        <v>0</v>
      </c>
      <c r="J483">
        <v>0</v>
      </c>
      <c r="K483">
        <f>IF(L483,TRUE,AND(O483:Q483))</f>
        <v>0</v>
      </c>
      <c r="L483">
        <f>COUNTBLANK(Metadata!B483:D483)=COLUMNS(Metadata!B483:D483)</f>
        <v>0</v>
      </c>
      <c r="M483">
        <v>0</v>
      </c>
      <c r="O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>
        <f>AND(IF(Metadata!C483="",FALSE,TRUE),exact(Metadata!C483,"rat metagenome"))</f>
        <v>0</v>
      </c>
      <c r="Q483">
        <f>AND(IF(Metadata!D483="",FALSE,TRUE),exact(Metadata!D483,"1427740"))</f>
        <v>0</v>
      </c>
    </row>
    <row r="484" spans="1:17">
      <c r="A484" s="4">
        <f>IF(B484=" "," ",HYPERLINK(CONCATENATE("#metadata!",ADDRESS(INDEX($J$2:$J$1001,MATCH(ROWS($H$2:H484),$H$2:$H$1001,0),0),1)),INDEX($M$2:$M$1001,MATCH(ROWS($H$2:H484),$H$2:$H$1001,0),0)))</f>
        <v>0</v>
      </c>
      <c r="B484" s="3">
        <f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>0</v>
      </c>
      <c r="C484" s="3">
        <f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>0</v>
      </c>
      <c r="D484" s="3">
        <f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>0</v>
      </c>
      <c r="H484">
        <v>0</v>
      </c>
      <c r="I484">
        <v>0</v>
      </c>
      <c r="J484">
        <v>0</v>
      </c>
      <c r="K484">
        <f>IF(L484,TRUE,AND(O484:Q484))</f>
        <v>0</v>
      </c>
      <c r="L484">
        <f>COUNTBLANK(Metadata!B484:D484)=COLUMNS(Metadata!B484:D484)</f>
        <v>0</v>
      </c>
      <c r="M484">
        <v>0</v>
      </c>
      <c r="O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>
        <f>AND(IF(Metadata!C484="",FALSE,TRUE),exact(Metadata!C484,"rat metagenome"))</f>
        <v>0</v>
      </c>
      <c r="Q484">
        <f>AND(IF(Metadata!D484="",FALSE,TRUE),exact(Metadata!D484,"1427740"))</f>
        <v>0</v>
      </c>
    </row>
    <row r="485" spans="1:17">
      <c r="A485" s="4">
        <f>IF(B485=" "," ",HYPERLINK(CONCATENATE("#metadata!",ADDRESS(INDEX($J$2:$J$1001,MATCH(ROWS($H$2:H485),$H$2:$H$1001,0),0),1)),INDEX($M$2:$M$1001,MATCH(ROWS($H$2:H485),$H$2:$H$1001,0),0)))</f>
        <v>0</v>
      </c>
      <c r="B485" s="3">
        <f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>0</v>
      </c>
      <c r="C485" s="3">
        <f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>0</v>
      </c>
      <c r="D485" s="3">
        <f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>0</v>
      </c>
      <c r="H485">
        <v>0</v>
      </c>
      <c r="I485">
        <v>0</v>
      </c>
      <c r="J485">
        <v>0</v>
      </c>
      <c r="K485">
        <f>IF(L485,TRUE,AND(O485:Q485))</f>
        <v>0</v>
      </c>
      <c r="L485">
        <f>COUNTBLANK(Metadata!B485:D485)=COLUMNS(Metadata!B485:D485)</f>
        <v>0</v>
      </c>
      <c r="M485">
        <v>0</v>
      </c>
      <c r="O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>
        <f>AND(IF(Metadata!C485="",FALSE,TRUE),exact(Metadata!C485,"rat metagenome"))</f>
        <v>0</v>
      </c>
      <c r="Q485">
        <f>AND(IF(Metadata!D485="",FALSE,TRUE),exact(Metadata!D485,"1427740"))</f>
        <v>0</v>
      </c>
    </row>
    <row r="486" spans="1:17">
      <c r="A486" s="4">
        <f>IF(B486=" "," ",HYPERLINK(CONCATENATE("#metadata!",ADDRESS(INDEX($J$2:$J$1001,MATCH(ROWS($H$2:H486),$H$2:$H$1001,0),0),1)),INDEX($M$2:$M$1001,MATCH(ROWS($H$2:H486),$H$2:$H$1001,0),0)))</f>
        <v>0</v>
      </c>
      <c r="B486" s="3">
        <f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>0</v>
      </c>
      <c r="C486" s="3">
        <f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>0</v>
      </c>
      <c r="D486" s="3">
        <f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>0</v>
      </c>
      <c r="H486">
        <v>0</v>
      </c>
      <c r="I486">
        <v>0</v>
      </c>
      <c r="J486">
        <v>0</v>
      </c>
      <c r="K486">
        <f>IF(L486,TRUE,AND(O486:Q486))</f>
        <v>0</v>
      </c>
      <c r="L486">
        <f>COUNTBLANK(Metadata!B486:D486)=COLUMNS(Metadata!B486:D486)</f>
        <v>0</v>
      </c>
      <c r="M486">
        <v>0</v>
      </c>
      <c r="O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>
        <f>AND(IF(Metadata!C486="",FALSE,TRUE),exact(Metadata!C486,"rat metagenome"))</f>
        <v>0</v>
      </c>
      <c r="Q486">
        <f>AND(IF(Metadata!D486="",FALSE,TRUE),exact(Metadata!D486,"1427740"))</f>
        <v>0</v>
      </c>
    </row>
    <row r="487" spans="1:17">
      <c r="A487" s="4">
        <f>IF(B487=" "," ",HYPERLINK(CONCATENATE("#metadata!",ADDRESS(INDEX($J$2:$J$1001,MATCH(ROWS($H$2:H487),$H$2:$H$1001,0),0),1)),INDEX($M$2:$M$1001,MATCH(ROWS($H$2:H487),$H$2:$H$1001,0),0)))</f>
        <v>0</v>
      </c>
      <c r="B487" s="3">
        <f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>0</v>
      </c>
      <c r="C487" s="3">
        <f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>0</v>
      </c>
      <c r="D487" s="3">
        <f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>0</v>
      </c>
      <c r="H487">
        <v>0</v>
      </c>
      <c r="I487">
        <v>0</v>
      </c>
      <c r="J487">
        <v>0</v>
      </c>
      <c r="K487">
        <f>IF(L487,TRUE,AND(O487:Q487))</f>
        <v>0</v>
      </c>
      <c r="L487">
        <f>COUNTBLANK(Metadata!B487:D487)=COLUMNS(Metadata!B487:D487)</f>
        <v>0</v>
      </c>
      <c r="M487">
        <v>0</v>
      </c>
      <c r="O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>
        <f>AND(IF(Metadata!C487="",FALSE,TRUE),exact(Metadata!C487,"rat metagenome"))</f>
        <v>0</v>
      </c>
      <c r="Q487">
        <f>AND(IF(Metadata!D487="",FALSE,TRUE),exact(Metadata!D487,"1427740"))</f>
        <v>0</v>
      </c>
    </row>
    <row r="488" spans="1:17">
      <c r="A488" s="4">
        <f>IF(B488=" "," ",HYPERLINK(CONCATENATE("#metadata!",ADDRESS(INDEX($J$2:$J$1001,MATCH(ROWS($H$2:H488),$H$2:$H$1001,0),0),1)),INDEX($M$2:$M$1001,MATCH(ROWS($H$2:H488),$H$2:$H$1001,0),0)))</f>
        <v>0</v>
      </c>
      <c r="B488" s="3">
        <f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>0</v>
      </c>
      <c r="C488" s="3">
        <f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>0</v>
      </c>
      <c r="D488" s="3">
        <f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>0</v>
      </c>
      <c r="H488">
        <v>0</v>
      </c>
      <c r="I488">
        <v>0</v>
      </c>
      <c r="J488">
        <v>0</v>
      </c>
      <c r="K488">
        <f>IF(L488,TRUE,AND(O488:Q488))</f>
        <v>0</v>
      </c>
      <c r="L488">
        <f>COUNTBLANK(Metadata!B488:D488)=COLUMNS(Metadata!B488:D488)</f>
        <v>0</v>
      </c>
      <c r="M488">
        <v>0</v>
      </c>
      <c r="O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>
        <f>AND(IF(Metadata!C488="",FALSE,TRUE),exact(Metadata!C488,"rat metagenome"))</f>
        <v>0</v>
      </c>
      <c r="Q488">
        <f>AND(IF(Metadata!D488="",FALSE,TRUE),exact(Metadata!D488,"1427740"))</f>
        <v>0</v>
      </c>
    </row>
    <row r="489" spans="1:17">
      <c r="A489" s="4">
        <f>IF(B489=" "," ",HYPERLINK(CONCATENATE("#metadata!",ADDRESS(INDEX($J$2:$J$1001,MATCH(ROWS($H$2:H489),$H$2:$H$1001,0),0),1)),INDEX($M$2:$M$1001,MATCH(ROWS($H$2:H489),$H$2:$H$1001,0),0)))</f>
        <v>0</v>
      </c>
      <c r="B489" s="3">
        <f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>0</v>
      </c>
      <c r="C489" s="3">
        <f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>0</v>
      </c>
      <c r="D489" s="3">
        <f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>0</v>
      </c>
      <c r="H489">
        <v>0</v>
      </c>
      <c r="I489">
        <v>0</v>
      </c>
      <c r="J489">
        <v>0</v>
      </c>
      <c r="K489">
        <f>IF(L489,TRUE,AND(O489:Q489))</f>
        <v>0</v>
      </c>
      <c r="L489">
        <f>COUNTBLANK(Metadata!B489:D489)=COLUMNS(Metadata!B489:D489)</f>
        <v>0</v>
      </c>
      <c r="M489">
        <v>0</v>
      </c>
      <c r="O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>
        <f>AND(IF(Metadata!C489="",FALSE,TRUE),exact(Metadata!C489,"rat metagenome"))</f>
        <v>0</v>
      </c>
      <c r="Q489">
        <f>AND(IF(Metadata!D489="",FALSE,TRUE),exact(Metadata!D489,"1427740"))</f>
        <v>0</v>
      </c>
    </row>
    <row r="490" spans="1:17">
      <c r="A490" s="4">
        <f>IF(B490=" "," ",HYPERLINK(CONCATENATE("#metadata!",ADDRESS(INDEX($J$2:$J$1001,MATCH(ROWS($H$2:H490),$H$2:$H$1001,0),0),1)),INDEX($M$2:$M$1001,MATCH(ROWS($H$2:H490),$H$2:$H$1001,0),0)))</f>
        <v>0</v>
      </c>
      <c r="B490" s="3">
        <f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>0</v>
      </c>
      <c r="C490" s="3">
        <f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>0</v>
      </c>
      <c r="D490" s="3">
        <f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>0</v>
      </c>
      <c r="H490">
        <v>0</v>
      </c>
      <c r="I490">
        <v>0</v>
      </c>
      <c r="J490">
        <v>0</v>
      </c>
      <c r="K490">
        <f>IF(L490,TRUE,AND(O490:Q490))</f>
        <v>0</v>
      </c>
      <c r="L490">
        <f>COUNTBLANK(Metadata!B490:D490)=COLUMNS(Metadata!B490:D490)</f>
        <v>0</v>
      </c>
      <c r="M490">
        <v>0</v>
      </c>
      <c r="O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>
        <f>AND(IF(Metadata!C490="",FALSE,TRUE),exact(Metadata!C490,"rat metagenome"))</f>
        <v>0</v>
      </c>
      <c r="Q490">
        <f>AND(IF(Metadata!D490="",FALSE,TRUE),exact(Metadata!D490,"1427740"))</f>
        <v>0</v>
      </c>
    </row>
    <row r="491" spans="1:17">
      <c r="A491" s="4">
        <f>IF(B491=" "," ",HYPERLINK(CONCATENATE("#metadata!",ADDRESS(INDEX($J$2:$J$1001,MATCH(ROWS($H$2:H491),$H$2:$H$1001,0),0),1)),INDEX($M$2:$M$1001,MATCH(ROWS($H$2:H491),$H$2:$H$1001,0),0)))</f>
        <v>0</v>
      </c>
      <c r="B491" s="3">
        <f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>0</v>
      </c>
      <c r="C491" s="3">
        <f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>0</v>
      </c>
      <c r="D491" s="3">
        <f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>0</v>
      </c>
      <c r="H491">
        <v>0</v>
      </c>
      <c r="I491">
        <v>0</v>
      </c>
      <c r="J491">
        <v>0</v>
      </c>
      <c r="K491">
        <f>IF(L491,TRUE,AND(O491:Q491))</f>
        <v>0</v>
      </c>
      <c r="L491">
        <f>COUNTBLANK(Metadata!B491:D491)=COLUMNS(Metadata!B491:D491)</f>
        <v>0</v>
      </c>
      <c r="M491">
        <v>0</v>
      </c>
      <c r="O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>
        <f>AND(IF(Metadata!C491="",FALSE,TRUE),exact(Metadata!C491,"rat metagenome"))</f>
        <v>0</v>
      </c>
      <c r="Q491">
        <f>AND(IF(Metadata!D491="",FALSE,TRUE),exact(Metadata!D491,"1427740"))</f>
        <v>0</v>
      </c>
    </row>
    <row r="492" spans="1:17">
      <c r="A492" s="4">
        <f>IF(B492=" "," ",HYPERLINK(CONCATENATE("#metadata!",ADDRESS(INDEX($J$2:$J$1001,MATCH(ROWS($H$2:H492),$H$2:$H$1001,0),0),1)),INDEX($M$2:$M$1001,MATCH(ROWS($H$2:H492),$H$2:$H$1001,0),0)))</f>
        <v>0</v>
      </c>
      <c r="B492" s="3">
        <f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>0</v>
      </c>
      <c r="C492" s="3">
        <f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>0</v>
      </c>
      <c r="D492" s="3">
        <f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>0</v>
      </c>
      <c r="H492">
        <v>0</v>
      </c>
      <c r="I492">
        <v>0</v>
      </c>
      <c r="J492">
        <v>0</v>
      </c>
      <c r="K492">
        <f>IF(L492,TRUE,AND(O492:Q492))</f>
        <v>0</v>
      </c>
      <c r="L492">
        <f>COUNTBLANK(Metadata!B492:D492)=COLUMNS(Metadata!B492:D492)</f>
        <v>0</v>
      </c>
      <c r="M492">
        <v>0</v>
      </c>
      <c r="O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>
        <f>AND(IF(Metadata!C492="",FALSE,TRUE),exact(Metadata!C492,"rat metagenome"))</f>
        <v>0</v>
      </c>
      <c r="Q492">
        <f>AND(IF(Metadata!D492="",FALSE,TRUE),exact(Metadata!D492,"1427740"))</f>
        <v>0</v>
      </c>
    </row>
    <row r="493" spans="1:17">
      <c r="A493" s="4">
        <f>IF(B493=" "," ",HYPERLINK(CONCATENATE("#metadata!",ADDRESS(INDEX($J$2:$J$1001,MATCH(ROWS($H$2:H493),$H$2:$H$1001,0),0),1)),INDEX($M$2:$M$1001,MATCH(ROWS($H$2:H493),$H$2:$H$1001,0),0)))</f>
        <v>0</v>
      </c>
      <c r="B493" s="3">
        <f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>0</v>
      </c>
      <c r="C493" s="3">
        <f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>0</v>
      </c>
      <c r="D493" s="3">
        <f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>0</v>
      </c>
      <c r="H493">
        <v>0</v>
      </c>
      <c r="I493">
        <v>0</v>
      </c>
      <c r="J493">
        <v>0</v>
      </c>
      <c r="K493">
        <f>IF(L493,TRUE,AND(O493:Q493))</f>
        <v>0</v>
      </c>
      <c r="L493">
        <f>COUNTBLANK(Metadata!B493:D493)=COLUMNS(Metadata!B493:D493)</f>
        <v>0</v>
      </c>
      <c r="M493">
        <v>0</v>
      </c>
      <c r="O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>
        <f>AND(IF(Metadata!C493="",FALSE,TRUE),exact(Metadata!C493,"rat metagenome"))</f>
        <v>0</v>
      </c>
      <c r="Q493">
        <f>AND(IF(Metadata!D493="",FALSE,TRUE),exact(Metadata!D493,"1427740"))</f>
        <v>0</v>
      </c>
    </row>
    <row r="494" spans="1:17">
      <c r="A494" s="4">
        <f>IF(B494=" "," ",HYPERLINK(CONCATENATE("#metadata!",ADDRESS(INDEX($J$2:$J$1001,MATCH(ROWS($H$2:H494),$H$2:$H$1001,0),0),1)),INDEX($M$2:$M$1001,MATCH(ROWS($H$2:H494),$H$2:$H$1001,0),0)))</f>
        <v>0</v>
      </c>
      <c r="B494" s="3">
        <f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>0</v>
      </c>
      <c r="C494" s="3">
        <f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>0</v>
      </c>
      <c r="D494" s="3">
        <f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>0</v>
      </c>
      <c r="H494">
        <v>0</v>
      </c>
      <c r="I494">
        <v>0</v>
      </c>
      <c r="J494">
        <v>0</v>
      </c>
      <c r="K494">
        <f>IF(L494,TRUE,AND(O494:Q494))</f>
        <v>0</v>
      </c>
      <c r="L494">
        <f>COUNTBLANK(Metadata!B494:D494)=COLUMNS(Metadata!B494:D494)</f>
        <v>0</v>
      </c>
      <c r="M494">
        <v>0</v>
      </c>
      <c r="O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>
        <f>AND(IF(Metadata!C494="",FALSE,TRUE),exact(Metadata!C494,"rat metagenome"))</f>
        <v>0</v>
      </c>
      <c r="Q494">
        <f>AND(IF(Metadata!D494="",FALSE,TRUE),exact(Metadata!D494,"1427740"))</f>
        <v>0</v>
      </c>
    </row>
    <row r="495" spans="1:17">
      <c r="A495" s="4">
        <f>IF(B495=" "," ",HYPERLINK(CONCATENATE("#metadata!",ADDRESS(INDEX($J$2:$J$1001,MATCH(ROWS($H$2:H495),$H$2:$H$1001,0),0),1)),INDEX($M$2:$M$1001,MATCH(ROWS($H$2:H495),$H$2:$H$1001,0),0)))</f>
        <v>0</v>
      </c>
      <c r="B495" s="3">
        <f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>0</v>
      </c>
      <c r="C495" s="3">
        <f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>0</v>
      </c>
      <c r="D495" s="3">
        <f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>0</v>
      </c>
      <c r="H495">
        <v>0</v>
      </c>
      <c r="I495">
        <v>0</v>
      </c>
      <c r="J495">
        <v>0</v>
      </c>
      <c r="K495">
        <f>IF(L495,TRUE,AND(O495:Q495))</f>
        <v>0</v>
      </c>
      <c r="L495">
        <f>COUNTBLANK(Metadata!B495:D495)=COLUMNS(Metadata!B495:D495)</f>
        <v>0</v>
      </c>
      <c r="M495">
        <v>0</v>
      </c>
      <c r="O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>
        <f>AND(IF(Metadata!C495="",FALSE,TRUE),exact(Metadata!C495,"rat metagenome"))</f>
        <v>0</v>
      </c>
      <c r="Q495">
        <f>AND(IF(Metadata!D495="",FALSE,TRUE),exact(Metadata!D495,"1427740"))</f>
        <v>0</v>
      </c>
    </row>
    <row r="496" spans="1:17">
      <c r="A496" s="4">
        <f>IF(B496=" "," ",HYPERLINK(CONCATENATE("#metadata!",ADDRESS(INDEX($J$2:$J$1001,MATCH(ROWS($H$2:H496),$H$2:$H$1001,0),0),1)),INDEX($M$2:$M$1001,MATCH(ROWS($H$2:H496),$H$2:$H$1001,0),0)))</f>
        <v>0</v>
      </c>
      <c r="B496" s="3">
        <f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>0</v>
      </c>
      <c r="C496" s="3">
        <f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>0</v>
      </c>
      <c r="D496" s="3">
        <f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>0</v>
      </c>
      <c r="H496">
        <v>0</v>
      </c>
      <c r="I496">
        <v>0</v>
      </c>
      <c r="J496">
        <v>0</v>
      </c>
      <c r="K496">
        <f>IF(L496,TRUE,AND(O496:Q496))</f>
        <v>0</v>
      </c>
      <c r="L496">
        <f>COUNTBLANK(Metadata!B496:D496)=COLUMNS(Metadata!B496:D496)</f>
        <v>0</v>
      </c>
      <c r="M496">
        <v>0</v>
      </c>
      <c r="O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>
        <f>AND(IF(Metadata!C496="",FALSE,TRUE),exact(Metadata!C496,"rat metagenome"))</f>
        <v>0</v>
      </c>
      <c r="Q496">
        <f>AND(IF(Metadata!D496="",FALSE,TRUE),exact(Metadata!D496,"1427740"))</f>
        <v>0</v>
      </c>
    </row>
    <row r="497" spans="1:17">
      <c r="A497" s="4">
        <f>IF(B497=" "," ",HYPERLINK(CONCATENATE("#metadata!",ADDRESS(INDEX($J$2:$J$1001,MATCH(ROWS($H$2:H497),$H$2:$H$1001,0),0),1)),INDEX($M$2:$M$1001,MATCH(ROWS($H$2:H497),$H$2:$H$1001,0),0)))</f>
        <v>0</v>
      </c>
      <c r="B497" s="3">
        <f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>0</v>
      </c>
      <c r="C497" s="3">
        <f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>0</v>
      </c>
      <c r="D497" s="3">
        <f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>0</v>
      </c>
      <c r="H497">
        <v>0</v>
      </c>
      <c r="I497">
        <v>0</v>
      </c>
      <c r="J497">
        <v>0</v>
      </c>
      <c r="K497">
        <f>IF(L497,TRUE,AND(O497:Q497))</f>
        <v>0</v>
      </c>
      <c r="L497">
        <f>COUNTBLANK(Metadata!B497:D497)=COLUMNS(Metadata!B497:D497)</f>
        <v>0</v>
      </c>
      <c r="M497">
        <v>0</v>
      </c>
      <c r="O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>
        <f>AND(IF(Metadata!C497="",FALSE,TRUE),exact(Metadata!C497,"rat metagenome"))</f>
        <v>0</v>
      </c>
      <c r="Q497">
        <f>AND(IF(Metadata!D497="",FALSE,TRUE),exact(Metadata!D497,"1427740"))</f>
        <v>0</v>
      </c>
    </row>
    <row r="498" spans="1:17">
      <c r="A498" s="4">
        <f>IF(B498=" "," ",HYPERLINK(CONCATENATE("#metadata!",ADDRESS(INDEX($J$2:$J$1001,MATCH(ROWS($H$2:H498),$H$2:$H$1001,0),0),1)),INDEX($M$2:$M$1001,MATCH(ROWS($H$2:H498),$H$2:$H$1001,0),0)))</f>
        <v>0</v>
      </c>
      <c r="B498" s="3">
        <f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>0</v>
      </c>
      <c r="C498" s="3">
        <f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>0</v>
      </c>
      <c r="D498" s="3">
        <f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>0</v>
      </c>
      <c r="H498">
        <v>0</v>
      </c>
      <c r="I498">
        <v>0</v>
      </c>
      <c r="J498">
        <v>0</v>
      </c>
      <c r="K498">
        <f>IF(L498,TRUE,AND(O498:Q498))</f>
        <v>0</v>
      </c>
      <c r="L498">
        <f>COUNTBLANK(Metadata!B498:D498)=COLUMNS(Metadata!B498:D498)</f>
        <v>0</v>
      </c>
      <c r="M498">
        <v>0</v>
      </c>
      <c r="O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>
        <f>AND(IF(Metadata!C498="",FALSE,TRUE),exact(Metadata!C498,"rat metagenome"))</f>
        <v>0</v>
      </c>
      <c r="Q498">
        <f>AND(IF(Metadata!D498="",FALSE,TRUE),exact(Metadata!D498,"1427740"))</f>
        <v>0</v>
      </c>
    </row>
    <row r="499" spans="1:17">
      <c r="A499" s="4">
        <f>IF(B499=" "," ",HYPERLINK(CONCATENATE("#metadata!",ADDRESS(INDEX($J$2:$J$1001,MATCH(ROWS($H$2:H499),$H$2:$H$1001,0),0),1)),INDEX($M$2:$M$1001,MATCH(ROWS($H$2:H499),$H$2:$H$1001,0),0)))</f>
        <v>0</v>
      </c>
      <c r="B499" s="3">
        <f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>0</v>
      </c>
      <c r="C499" s="3">
        <f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>0</v>
      </c>
      <c r="D499" s="3">
        <f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>0</v>
      </c>
      <c r="H499">
        <v>0</v>
      </c>
      <c r="I499">
        <v>0</v>
      </c>
      <c r="J499">
        <v>0</v>
      </c>
      <c r="K499">
        <f>IF(L499,TRUE,AND(O499:Q499))</f>
        <v>0</v>
      </c>
      <c r="L499">
        <f>COUNTBLANK(Metadata!B499:D499)=COLUMNS(Metadata!B499:D499)</f>
        <v>0</v>
      </c>
      <c r="M499">
        <v>0</v>
      </c>
      <c r="O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>
        <f>AND(IF(Metadata!C499="",FALSE,TRUE),exact(Metadata!C499,"rat metagenome"))</f>
        <v>0</v>
      </c>
      <c r="Q499">
        <f>AND(IF(Metadata!D499="",FALSE,TRUE),exact(Metadata!D499,"1427740"))</f>
        <v>0</v>
      </c>
    </row>
    <row r="500" spans="1:17">
      <c r="A500" s="4">
        <f>IF(B500=" "," ",HYPERLINK(CONCATENATE("#metadata!",ADDRESS(INDEX($J$2:$J$1001,MATCH(ROWS($H$2:H500),$H$2:$H$1001,0),0),1)),INDEX($M$2:$M$1001,MATCH(ROWS($H$2:H500),$H$2:$H$1001,0),0)))</f>
        <v>0</v>
      </c>
      <c r="B500" s="3">
        <f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>0</v>
      </c>
      <c r="C500" s="3">
        <f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>0</v>
      </c>
      <c r="D500" s="3">
        <f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>0</v>
      </c>
      <c r="H500">
        <v>0</v>
      </c>
      <c r="I500">
        <v>0</v>
      </c>
      <c r="J500">
        <v>0</v>
      </c>
      <c r="K500">
        <f>IF(L500,TRUE,AND(O500:Q500))</f>
        <v>0</v>
      </c>
      <c r="L500">
        <f>COUNTBLANK(Metadata!B500:D500)=COLUMNS(Metadata!B500:D500)</f>
        <v>0</v>
      </c>
      <c r="M500">
        <v>0</v>
      </c>
      <c r="O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>
        <f>AND(IF(Metadata!C500="",FALSE,TRUE),exact(Metadata!C500,"rat metagenome"))</f>
        <v>0</v>
      </c>
      <c r="Q500">
        <f>AND(IF(Metadata!D500="",FALSE,TRUE),exact(Metadata!D500,"1427740"))</f>
        <v>0</v>
      </c>
    </row>
    <row r="501" spans="1:17">
      <c r="A501" s="4">
        <f>IF(B501=" "," ",HYPERLINK(CONCATENATE("#metadata!",ADDRESS(INDEX($J$2:$J$1001,MATCH(ROWS($H$2:H501),$H$2:$H$1001,0),0),1)),INDEX($M$2:$M$1001,MATCH(ROWS($H$2:H501),$H$2:$H$1001,0),0)))</f>
        <v>0</v>
      </c>
      <c r="B501" s="3">
        <f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>0</v>
      </c>
      <c r="C501" s="3">
        <f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>0</v>
      </c>
      <c r="D501" s="3">
        <f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>0</v>
      </c>
      <c r="H501">
        <v>0</v>
      </c>
      <c r="I501">
        <v>0</v>
      </c>
      <c r="J501">
        <v>0</v>
      </c>
      <c r="K501">
        <f>IF(L501,TRUE,AND(O501:Q501))</f>
        <v>0</v>
      </c>
      <c r="L501">
        <f>COUNTBLANK(Metadata!B501:D501)=COLUMNS(Metadata!B501:D501)</f>
        <v>0</v>
      </c>
      <c r="M501">
        <v>0</v>
      </c>
      <c r="O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>
        <f>AND(IF(Metadata!C501="",FALSE,TRUE),exact(Metadata!C501,"rat metagenome"))</f>
        <v>0</v>
      </c>
      <c r="Q501">
        <f>AND(IF(Metadata!D501="",FALSE,TRUE),exact(Metadata!D501,"1427740"))</f>
        <v>0</v>
      </c>
    </row>
    <row r="502" spans="1:17">
      <c r="A502" s="4">
        <f>IF(B502=" "," ",HYPERLINK(CONCATENATE("#metadata!",ADDRESS(INDEX($J$2:$J$1001,MATCH(ROWS($H$2:H502),$H$2:$H$1001,0),0),1)),INDEX($M$2:$M$1001,MATCH(ROWS($H$2:H502),$H$2:$H$1001,0),0)))</f>
        <v>0</v>
      </c>
      <c r="B502" s="3">
        <f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>0</v>
      </c>
      <c r="C502" s="3">
        <f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>0</v>
      </c>
      <c r="D502" s="3">
        <f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>0</v>
      </c>
      <c r="H502">
        <v>0</v>
      </c>
      <c r="I502">
        <v>0</v>
      </c>
      <c r="J502">
        <v>0</v>
      </c>
      <c r="K502">
        <f>IF(L502,TRUE,AND(O502:Q502))</f>
        <v>0</v>
      </c>
      <c r="L502">
        <f>COUNTBLANK(Metadata!B502:D502)=COLUMNS(Metadata!B502:D502)</f>
        <v>0</v>
      </c>
      <c r="M502">
        <v>0</v>
      </c>
      <c r="O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>
        <f>AND(IF(Metadata!C502="",FALSE,TRUE),exact(Metadata!C502,"rat metagenome"))</f>
        <v>0</v>
      </c>
      <c r="Q502">
        <f>AND(IF(Metadata!D502="",FALSE,TRUE),exact(Metadata!D502,"1427740"))</f>
        <v>0</v>
      </c>
    </row>
    <row r="503" spans="1:17">
      <c r="A503" s="4">
        <f>IF(B503=" "," ",HYPERLINK(CONCATENATE("#metadata!",ADDRESS(INDEX($J$2:$J$1001,MATCH(ROWS($H$2:H503),$H$2:$H$1001,0),0),1)),INDEX($M$2:$M$1001,MATCH(ROWS($H$2:H503),$H$2:$H$1001,0),0)))</f>
        <v>0</v>
      </c>
      <c r="B503" s="3">
        <f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>0</v>
      </c>
      <c r="C503" s="3">
        <f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>0</v>
      </c>
      <c r="D503" s="3">
        <f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>0</v>
      </c>
      <c r="H503">
        <v>0</v>
      </c>
      <c r="I503">
        <v>0</v>
      </c>
      <c r="J503">
        <v>0</v>
      </c>
      <c r="K503">
        <f>IF(L503,TRUE,AND(O503:Q503))</f>
        <v>0</v>
      </c>
      <c r="L503">
        <f>COUNTBLANK(Metadata!B503:D503)=COLUMNS(Metadata!B503:D503)</f>
        <v>0</v>
      </c>
      <c r="M503">
        <v>0</v>
      </c>
      <c r="O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>
        <f>AND(IF(Metadata!C503="",FALSE,TRUE),exact(Metadata!C503,"rat metagenome"))</f>
        <v>0</v>
      </c>
      <c r="Q503">
        <f>AND(IF(Metadata!D503="",FALSE,TRUE),exact(Metadata!D503,"1427740"))</f>
        <v>0</v>
      </c>
    </row>
    <row r="504" spans="1:17">
      <c r="A504" s="4">
        <f>IF(B504=" "," ",HYPERLINK(CONCATENATE("#metadata!",ADDRESS(INDEX($J$2:$J$1001,MATCH(ROWS($H$2:H504),$H$2:$H$1001,0),0),1)),INDEX($M$2:$M$1001,MATCH(ROWS($H$2:H504),$H$2:$H$1001,0),0)))</f>
        <v>0</v>
      </c>
      <c r="B504" s="3">
        <f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>0</v>
      </c>
      <c r="C504" s="3">
        <f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>0</v>
      </c>
      <c r="D504" s="3">
        <f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>0</v>
      </c>
      <c r="H504">
        <v>0</v>
      </c>
      <c r="I504">
        <v>0</v>
      </c>
      <c r="J504">
        <v>0</v>
      </c>
      <c r="K504">
        <f>IF(L504,TRUE,AND(O504:Q504))</f>
        <v>0</v>
      </c>
      <c r="L504">
        <f>COUNTBLANK(Metadata!B504:D504)=COLUMNS(Metadata!B504:D504)</f>
        <v>0</v>
      </c>
      <c r="M504">
        <v>0</v>
      </c>
      <c r="O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>
        <f>AND(IF(Metadata!C504="",FALSE,TRUE),exact(Metadata!C504,"rat metagenome"))</f>
        <v>0</v>
      </c>
      <c r="Q504">
        <f>AND(IF(Metadata!D504="",FALSE,TRUE),exact(Metadata!D504,"1427740"))</f>
        <v>0</v>
      </c>
    </row>
    <row r="505" spans="1:17">
      <c r="A505" s="4">
        <f>IF(B505=" "," ",HYPERLINK(CONCATENATE("#metadata!",ADDRESS(INDEX($J$2:$J$1001,MATCH(ROWS($H$2:H505),$H$2:$H$1001,0),0),1)),INDEX($M$2:$M$1001,MATCH(ROWS($H$2:H505),$H$2:$H$1001,0),0)))</f>
        <v>0</v>
      </c>
      <c r="B505" s="3">
        <f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>0</v>
      </c>
      <c r="C505" s="3">
        <f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>0</v>
      </c>
      <c r="D505" s="3">
        <f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>0</v>
      </c>
      <c r="H505">
        <v>0</v>
      </c>
      <c r="I505">
        <v>0</v>
      </c>
      <c r="J505">
        <v>0</v>
      </c>
      <c r="K505">
        <f>IF(L505,TRUE,AND(O505:Q505))</f>
        <v>0</v>
      </c>
      <c r="L505">
        <f>COUNTBLANK(Metadata!B505:D505)=COLUMNS(Metadata!B505:D505)</f>
        <v>0</v>
      </c>
      <c r="M505">
        <v>0</v>
      </c>
      <c r="O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>
        <f>AND(IF(Metadata!C505="",FALSE,TRUE),exact(Metadata!C505,"rat metagenome"))</f>
        <v>0</v>
      </c>
      <c r="Q505">
        <f>AND(IF(Metadata!D505="",FALSE,TRUE),exact(Metadata!D505,"1427740"))</f>
        <v>0</v>
      </c>
    </row>
    <row r="506" spans="1:17">
      <c r="A506" s="4">
        <f>IF(B506=" "," ",HYPERLINK(CONCATENATE("#metadata!",ADDRESS(INDEX($J$2:$J$1001,MATCH(ROWS($H$2:H506),$H$2:$H$1001,0),0),1)),INDEX($M$2:$M$1001,MATCH(ROWS($H$2:H506),$H$2:$H$1001,0),0)))</f>
        <v>0</v>
      </c>
      <c r="B506" s="3">
        <f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>0</v>
      </c>
      <c r="C506" s="3">
        <f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>0</v>
      </c>
      <c r="D506" s="3">
        <f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>0</v>
      </c>
      <c r="H506">
        <v>0</v>
      </c>
      <c r="I506">
        <v>0</v>
      </c>
      <c r="J506">
        <v>0</v>
      </c>
      <c r="K506">
        <f>IF(L506,TRUE,AND(O506:Q506))</f>
        <v>0</v>
      </c>
      <c r="L506">
        <f>COUNTBLANK(Metadata!B506:D506)=COLUMNS(Metadata!B506:D506)</f>
        <v>0</v>
      </c>
      <c r="M506">
        <v>0</v>
      </c>
      <c r="O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>
        <f>AND(IF(Metadata!C506="",FALSE,TRUE),exact(Metadata!C506,"rat metagenome"))</f>
        <v>0</v>
      </c>
      <c r="Q506">
        <f>AND(IF(Metadata!D506="",FALSE,TRUE),exact(Metadata!D506,"1427740"))</f>
        <v>0</v>
      </c>
    </row>
    <row r="507" spans="1:17">
      <c r="A507" s="4">
        <f>IF(B507=" "," ",HYPERLINK(CONCATENATE("#metadata!",ADDRESS(INDEX($J$2:$J$1001,MATCH(ROWS($H$2:H507),$H$2:$H$1001,0),0),1)),INDEX($M$2:$M$1001,MATCH(ROWS($H$2:H507),$H$2:$H$1001,0),0)))</f>
        <v>0</v>
      </c>
      <c r="B507" s="3">
        <f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>0</v>
      </c>
      <c r="C507" s="3">
        <f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>0</v>
      </c>
      <c r="D507" s="3">
        <f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>0</v>
      </c>
      <c r="H507">
        <v>0</v>
      </c>
      <c r="I507">
        <v>0</v>
      </c>
      <c r="J507">
        <v>0</v>
      </c>
      <c r="K507">
        <f>IF(L507,TRUE,AND(O507:Q507))</f>
        <v>0</v>
      </c>
      <c r="L507">
        <f>COUNTBLANK(Metadata!B507:D507)=COLUMNS(Metadata!B507:D507)</f>
        <v>0</v>
      </c>
      <c r="M507">
        <v>0</v>
      </c>
      <c r="O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>
        <f>AND(IF(Metadata!C507="",FALSE,TRUE),exact(Metadata!C507,"rat metagenome"))</f>
        <v>0</v>
      </c>
      <c r="Q507">
        <f>AND(IF(Metadata!D507="",FALSE,TRUE),exact(Metadata!D507,"1427740"))</f>
        <v>0</v>
      </c>
    </row>
    <row r="508" spans="1:17">
      <c r="A508" s="4">
        <f>IF(B508=" "," ",HYPERLINK(CONCATENATE("#metadata!",ADDRESS(INDEX($J$2:$J$1001,MATCH(ROWS($H$2:H508),$H$2:$H$1001,0),0),1)),INDEX($M$2:$M$1001,MATCH(ROWS($H$2:H508),$H$2:$H$1001,0),0)))</f>
        <v>0</v>
      </c>
      <c r="B508" s="3">
        <f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>0</v>
      </c>
      <c r="C508" s="3">
        <f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>0</v>
      </c>
      <c r="D508" s="3">
        <f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>0</v>
      </c>
      <c r="H508">
        <v>0</v>
      </c>
      <c r="I508">
        <v>0</v>
      </c>
      <c r="J508">
        <v>0</v>
      </c>
      <c r="K508">
        <f>IF(L508,TRUE,AND(O508:Q508))</f>
        <v>0</v>
      </c>
      <c r="L508">
        <f>COUNTBLANK(Metadata!B508:D508)=COLUMNS(Metadata!B508:D508)</f>
        <v>0</v>
      </c>
      <c r="M508">
        <v>0</v>
      </c>
      <c r="O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>
        <f>AND(IF(Metadata!C508="",FALSE,TRUE),exact(Metadata!C508,"rat metagenome"))</f>
        <v>0</v>
      </c>
      <c r="Q508">
        <f>AND(IF(Metadata!D508="",FALSE,TRUE),exact(Metadata!D508,"1427740"))</f>
        <v>0</v>
      </c>
    </row>
    <row r="509" spans="1:17">
      <c r="A509" s="4">
        <f>IF(B509=" "," ",HYPERLINK(CONCATENATE("#metadata!",ADDRESS(INDEX($J$2:$J$1001,MATCH(ROWS($H$2:H509),$H$2:$H$1001,0),0),1)),INDEX($M$2:$M$1001,MATCH(ROWS($H$2:H509),$H$2:$H$1001,0),0)))</f>
        <v>0</v>
      </c>
      <c r="B509" s="3">
        <f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>0</v>
      </c>
      <c r="C509" s="3">
        <f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>0</v>
      </c>
      <c r="D509" s="3">
        <f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>0</v>
      </c>
      <c r="H509">
        <v>0</v>
      </c>
      <c r="I509">
        <v>0</v>
      </c>
      <c r="J509">
        <v>0</v>
      </c>
      <c r="K509">
        <f>IF(L509,TRUE,AND(O509:Q509))</f>
        <v>0</v>
      </c>
      <c r="L509">
        <f>COUNTBLANK(Metadata!B509:D509)=COLUMNS(Metadata!B509:D509)</f>
        <v>0</v>
      </c>
      <c r="M509">
        <v>0</v>
      </c>
      <c r="O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>
        <f>AND(IF(Metadata!C509="",FALSE,TRUE),exact(Metadata!C509,"rat metagenome"))</f>
        <v>0</v>
      </c>
      <c r="Q509">
        <f>AND(IF(Metadata!D509="",FALSE,TRUE),exact(Metadata!D509,"1427740"))</f>
        <v>0</v>
      </c>
    </row>
    <row r="510" spans="1:17">
      <c r="A510" s="4">
        <f>IF(B510=" "," ",HYPERLINK(CONCATENATE("#metadata!",ADDRESS(INDEX($J$2:$J$1001,MATCH(ROWS($H$2:H510),$H$2:$H$1001,0),0),1)),INDEX($M$2:$M$1001,MATCH(ROWS($H$2:H510),$H$2:$H$1001,0),0)))</f>
        <v>0</v>
      </c>
      <c r="B510" s="3">
        <f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>0</v>
      </c>
      <c r="C510" s="3">
        <f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>0</v>
      </c>
      <c r="D510" s="3">
        <f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>0</v>
      </c>
      <c r="H510">
        <v>0</v>
      </c>
      <c r="I510">
        <v>0</v>
      </c>
      <c r="J510">
        <v>0</v>
      </c>
      <c r="K510">
        <f>IF(L510,TRUE,AND(O510:Q510))</f>
        <v>0</v>
      </c>
      <c r="L510">
        <f>COUNTBLANK(Metadata!B510:D510)=COLUMNS(Metadata!B510:D510)</f>
        <v>0</v>
      </c>
      <c r="M510">
        <v>0</v>
      </c>
      <c r="O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>
        <f>AND(IF(Metadata!C510="",FALSE,TRUE),exact(Metadata!C510,"rat metagenome"))</f>
        <v>0</v>
      </c>
      <c r="Q510">
        <f>AND(IF(Metadata!D510="",FALSE,TRUE),exact(Metadata!D510,"1427740"))</f>
        <v>0</v>
      </c>
    </row>
    <row r="511" spans="1:17">
      <c r="A511" s="4">
        <f>IF(B511=" "," ",HYPERLINK(CONCATENATE("#metadata!",ADDRESS(INDEX($J$2:$J$1001,MATCH(ROWS($H$2:H511),$H$2:$H$1001,0),0),1)),INDEX($M$2:$M$1001,MATCH(ROWS($H$2:H511),$H$2:$H$1001,0),0)))</f>
        <v>0</v>
      </c>
      <c r="B511" s="3">
        <f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>0</v>
      </c>
      <c r="C511" s="3">
        <f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>0</v>
      </c>
      <c r="D511" s="3">
        <f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>0</v>
      </c>
      <c r="H511">
        <v>0</v>
      </c>
      <c r="I511">
        <v>0</v>
      </c>
      <c r="J511">
        <v>0</v>
      </c>
      <c r="K511">
        <f>IF(L511,TRUE,AND(O511:Q511))</f>
        <v>0</v>
      </c>
      <c r="L511">
        <f>COUNTBLANK(Metadata!B511:D511)=COLUMNS(Metadata!B511:D511)</f>
        <v>0</v>
      </c>
      <c r="M511">
        <v>0</v>
      </c>
      <c r="O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>
        <f>AND(IF(Metadata!C511="",FALSE,TRUE),exact(Metadata!C511,"rat metagenome"))</f>
        <v>0</v>
      </c>
      <c r="Q511">
        <f>AND(IF(Metadata!D511="",FALSE,TRUE),exact(Metadata!D511,"1427740"))</f>
        <v>0</v>
      </c>
    </row>
    <row r="512" spans="1:17">
      <c r="A512" s="4">
        <f>IF(B512=" "," ",HYPERLINK(CONCATENATE("#metadata!",ADDRESS(INDEX($J$2:$J$1001,MATCH(ROWS($H$2:H512),$H$2:$H$1001,0),0),1)),INDEX($M$2:$M$1001,MATCH(ROWS($H$2:H512),$H$2:$H$1001,0),0)))</f>
        <v>0</v>
      </c>
      <c r="B512" s="3">
        <f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>0</v>
      </c>
      <c r="C512" s="3">
        <f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>0</v>
      </c>
      <c r="D512" s="3">
        <f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>0</v>
      </c>
      <c r="H512">
        <v>0</v>
      </c>
      <c r="I512">
        <v>0</v>
      </c>
      <c r="J512">
        <v>0</v>
      </c>
      <c r="K512">
        <f>IF(L512,TRUE,AND(O512:Q512))</f>
        <v>0</v>
      </c>
      <c r="L512">
        <f>COUNTBLANK(Metadata!B512:D512)=COLUMNS(Metadata!B512:D512)</f>
        <v>0</v>
      </c>
      <c r="M512">
        <v>0</v>
      </c>
      <c r="O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>
        <f>AND(IF(Metadata!C512="",FALSE,TRUE),exact(Metadata!C512,"rat metagenome"))</f>
        <v>0</v>
      </c>
      <c r="Q512">
        <f>AND(IF(Metadata!D512="",FALSE,TRUE),exact(Metadata!D512,"1427740"))</f>
        <v>0</v>
      </c>
    </row>
    <row r="513" spans="1:17">
      <c r="A513" s="4">
        <f>IF(B513=" "," ",HYPERLINK(CONCATENATE("#metadata!",ADDRESS(INDEX($J$2:$J$1001,MATCH(ROWS($H$2:H513),$H$2:$H$1001,0),0),1)),INDEX($M$2:$M$1001,MATCH(ROWS($H$2:H513),$H$2:$H$1001,0),0)))</f>
        <v>0</v>
      </c>
      <c r="B513" s="3">
        <f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>0</v>
      </c>
      <c r="C513" s="3">
        <f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>0</v>
      </c>
      <c r="D513" s="3">
        <f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>0</v>
      </c>
      <c r="H513">
        <v>0</v>
      </c>
      <c r="I513">
        <v>0</v>
      </c>
      <c r="J513">
        <v>0</v>
      </c>
      <c r="K513">
        <f>IF(L513,TRUE,AND(O513:Q513))</f>
        <v>0</v>
      </c>
      <c r="L513">
        <f>COUNTBLANK(Metadata!B513:D513)=COLUMNS(Metadata!B513:D513)</f>
        <v>0</v>
      </c>
      <c r="M513">
        <v>0</v>
      </c>
      <c r="O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>
        <f>AND(IF(Metadata!C513="",FALSE,TRUE),exact(Metadata!C513,"rat metagenome"))</f>
        <v>0</v>
      </c>
      <c r="Q513">
        <f>AND(IF(Metadata!D513="",FALSE,TRUE),exact(Metadata!D513,"1427740"))</f>
        <v>0</v>
      </c>
    </row>
    <row r="514" spans="1:17">
      <c r="A514" s="4">
        <f>IF(B514=" "," ",HYPERLINK(CONCATENATE("#metadata!",ADDRESS(INDEX($J$2:$J$1001,MATCH(ROWS($H$2:H514),$H$2:$H$1001,0),0),1)),INDEX($M$2:$M$1001,MATCH(ROWS($H$2:H514),$H$2:$H$1001,0),0)))</f>
        <v>0</v>
      </c>
      <c r="B514" s="3">
        <f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>0</v>
      </c>
      <c r="C514" s="3">
        <f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>0</v>
      </c>
      <c r="D514" s="3">
        <f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>0</v>
      </c>
      <c r="H514">
        <v>0</v>
      </c>
      <c r="I514">
        <v>0</v>
      </c>
      <c r="J514">
        <v>0</v>
      </c>
      <c r="K514">
        <f>IF(L514,TRUE,AND(O514:Q514))</f>
        <v>0</v>
      </c>
      <c r="L514">
        <f>COUNTBLANK(Metadata!B514:D514)=COLUMNS(Metadata!B514:D514)</f>
        <v>0</v>
      </c>
      <c r="M514">
        <v>0</v>
      </c>
      <c r="O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>
        <f>AND(IF(Metadata!C514="",FALSE,TRUE),exact(Metadata!C514,"rat metagenome"))</f>
        <v>0</v>
      </c>
      <c r="Q514">
        <f>AND(IF(Metadata!D514="",FALSE,TRUE),exact(Metadata!D514,"1427740"))</f>
        <v>0</v>
      </c>
    </row>
    <row r="515" spans="1:17">
      <c r="A515" s="4">
        <f>IF(B515=" "," ",HYPERLINK(CONCATENATE("#metadata!",ADDRESS(INDEX($J$2:$J$1001,MATCH(ROWS($H$2:H515),$H$2:$H$1001,0),0),1)),INDEX($M$2:$M$1001,MATCH(ROWS($H$2:H515),$H$2:$H$1001,0),0)))</f>
        <v>0</v>
      </c>
      <c r="B515" s="3">
        <f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>0</v>
      </c>
      <c r="C515" s="3">
        <f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>0</v>
      </c>
      <c r="D515" s="3">
        <f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>0</v>
      </c>
      <c r="H515">
        <v>0</v>
      </c>
      <c r="I515">
        <v>0</v>
      </c>
      <c r="J515">
        <v>0</v>
      </c>
      <c r="K515">
        <f>IF(L515,TRUE,AND(O515:Q515))</f>
        <v>0</v>
      </c>
      <c r="L515">
        <f>COUNTBLANK(Metadata!B515:D515)=COLUMNS(Metadata!B515:D515)</f>
        <v>0</v>
      </c>
      <c r="M515">
        <v>0</v>
      </c>
      <c r="O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>
        <f>AND(IF(Metadata!C515="",FALSE,TRUE),exact(Metadata!C515,"rat metagenome"))</f>
        <v>0</v>
      </c>
      <c r="Q515">
        <f>AND(IF(Metadata!D515="",FALSE,TRUE),exact(Metadata!D515,"1427740"))</f>
        <v>0</v>
      </c>
    </row>
    <row r="516" spans="1:17">
      <c r="A516" s="4">
        <f>IF(B516=" "," ",HYPERLINK(CONCATENATE("#metadata!",ADDRESS(INDEX($J$2:$J$1001,MATCH(ROWS($H$2:H516),$H$2:$H$1001,0),0),1)),INDEX($M$2:$M$1001,MATCH(ROWS($H$2:H516),$H$2:$H$1001,0),0)))</f>
        <v>0</v>
      </c>
      <c r="B516" s="3">
        <f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>0</v>
      </c>
      <c r="C516" s="3">
        <f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>0</v>
      </c>
      <c r="D516" s="3">
        <f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>0</v>
      </c>
      <c r="H516">
        <v>0</v>
      </c>
      <c r="I516">
        <v>0</v>
      </c>
      <c r="J516">
        <v>0</v>
      </c>
      <c r="K516">
        <f>IF(L516,TRUE,AND(O516:Q516))</f>
        <v>0</v>
      </c>
      <c r="L516">
        <f>COUNTBLANK(Metadata!B516:D516)=COLUMNS(Metadata!B516:D516)</f>
        <v>0</v>
      </c>
      <c r="M516">
        <v>0</v>
      </c>
      <c r="O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>
        <f>AND(IF(Metadata!C516="",FALSE,TRUE),exact(Metadata!C516,"rat metagenome"))</f>
        <v>0</v>
      </c>
      <c r="Q516">
        <f>AND(IF(Metadata!D516="",FALSE,TRUE),exact(Metadata!D516,"1427740"))</f>
        <v>0</v>
      </c>
    </row>
    <row r="517" spans="1:17">
      <c r="A517" s="4">
        <f>IF(B517=" "," ",HYPERLINK(CONCATENATE("#metadata!",ADDRESS(INDEX($J$2:$J$1001,MATCH(ROWS($H$2:H517),$H$2:$H$1001,0),0),1)),INDEX($M$2:$M$1001,MATCH(ROWS($H$2:H517),$H$2:$H$1001,0),0)))</f>
        <v>0</v>
      </c>
      <c r="B517" s="3">
        <f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>0</v>
      </c>
      <c r="C517" s="3">
        <f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>0</v>
      </c>
      <c r="D517" s="3">
        <f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>0</v>
      </c>
      <c r="H517">
        <v>0</v>
      </c>
      <c r="I517">
        <v>0</v>
      </c>
      <c r="J517">
        <v>0</v>
      </c>
      <c r="K517">
        <f>IF(L517,TRUE,AND(O517:Q517))</f>
        <v>0</v>
      </c>
      <c r="L517">
        <f>COUNTBLANK(Metadata!B517:D517)=COLUMNS(Metadata!B517:D517)</f>
        <v>0</v>
      </c>
      <c r="M517">
        <v>0</v>
      </c>
      <c r="O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>
        <f>AND(IF(Metadata!C517="",FALSE,TRUE),exact(Metadata!C517,"rat metagenome"))</f>
        <v>0</v>
      </c>
      <c r="Q517">
        <f>AND(IF(Metadata!D517="",FALSE,TRUE),exact(Metadata!D517,"1427740"))</f>
        <v>0</v>
      </c>
    </row>
    <row r="518" spans="1:17">
      <c r="A518" s="4">
        <f>IF(B518=" "," ",HYPERLINK(CONCATENATE("#metadata!",ADDRESS(INDEX($J$2:$J$1001,MATCH(ROWS($H$2:H518),$H$2:$H$1001,0),0),1)),INDEX($M$2:$M$1001,MATCH(ROWS($H$2:H518),$H$2:$H$1001,0),0)))</f>
        <v>0</v>
      </c>
      <c r="B518" s="3">
        <f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>0</v>
      </c>
      <c r="C518" s="3">
        <f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>0</v>
      </c>
      <c r="D518" s="3">
        <f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>0</v>
      </c>
      <c r="H518">
        <v>0</v>
      </c>
      <c r="I518">
        <v>0</v>
      </c>
      <c r="J518">
        <v>0</v>
      </c>
      <c r="K518">
        <f>IF(L518,TRUE,AND(O518:Q518))</f>
        <v>0</v>
      </c>
      <c r="L518">
        <f>COUNTBLANK(Metadata!B518:D518)=COLUMNS(Metadata!B518:D518)</f>
        <v>0</v>
      </c>
      <c r="M518">
        <v>0</v>
      </c>
      <c r="O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>
        <f>AND(IF(Metadata!C518="",FALSE,TRUE),exact(Metadata!C518,"rat metagenome"))</f>
        <v>0</v>
      </c>
      <c r="Q518">
        <f>AND(IF(Metadata!D518="",FALSE,TRUE),exact(Metadata!D518,"1427740"))</f>
        <v>0</v>
      </c>
    </row>
    <row r="519" spans="1:17">
      <c r="A519" s="4">
        <f>IF(B519=" "," ",HYPERLINK(CONCATENATE("#metadata!",ADDRESS(INDEX($J$2:$J$1001,MATCH(ROWS($H$2:H519),$H$2:$H$1001,0),0),1)),INDEX($M$2:$M$1001,MATCH(ROWS($H$2:H519),$H$2:$H$1001,0),0)))</f>
        <v>0</v>
      </c>
      <c r="B519" s="3">
        <f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>0</v>
      </c>
      <c r="C519" s="3">
        <f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>0</v>
      </c>
      <c r="D519" s="3">
        <f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>0</v>
      </c>
      <c r="H519">
        <v>0</v>
      </c>
      <c r="I519">
        <v>0</v>
      </c>
      <c r="J519">
        <v>0</v>
      </c>
      <c r="K519">
        <f>IF(L519,TRUE,AND(O519:Q519))</f>
        <v>0</v>
      </c>
      <c r="L519">
        <f>COUNTBLANK(Metadata!B519:D519)=COLUMNS(Metadata!B519:D519)</f>
        <v>0</v>
      </c>
      <c r="M519">
        <v>0</v>
      </c>
      <c r="O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>
        <f>AND(IF(Metadata!C519="",FALSE,TRUE),exact(Metadata!C519,"rat metagenome"))</f>
        <v>0</v>
      </c>
      <c r="Q519">
        <f>AND(IF(Metadata!D519="",FALSE,TRUE),exact(Metadata!D519,"1427740"))</f>
        <v>0</v>
      </c>
    </row>
    <row r="520" spans="1:17">
      <c r="A520" s="4">
        <f>IF(B520=" "," ",HYPERLINK(CONCATENATE("#metadata!",ADDRESS(INDEX($J$2:$J$1001,MATCH(ROWS($H$2:H520),$H$2:$H$1001,0),0),1)),INDEX($M$2:$M$1001,MATCH(ROWS($H$2:H520),$H$2:$H$1001,0),0)))</f>
        <v>0</v>
      </c>
      <c r="B520" s="3">
        <f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>0</v>
      </c>
      <c r="C520" s="3">
        <f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>0</v>
      </c>
      <c r="D520" s="3">
        <f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>0</v>
      </c>
      <c r="H520">
        <v>0</v>
      </c>
      <c r="I520">
        <v>0</v>
      </c>
      <c r="J520">
        <v>0</v>
      </c>
      <c r="K520">
        <f>IF(L520,TRUE,AND(O520:Q520))</f>
        <v>0</v>
      </c>
      <c r="L520">
        <f>COUNTBLANK(Metadata!B520:D520)=COLUMNS(Metadata!B520:D520)</f>
        <v>0</v>
      </c>
      <c r="M520">
        <v>0</v>
      </c>
      <c r="O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>
        <f>AND(IF(Metadata!C520="",FALSE,TRUE),exact(Metadata!C520,"rat metagenome"))</f>
        <v>0</v>
      </c>
      <c r="Q520">
        <f>AND(IF(Metadata!D520="",FALSE,TRUE),exact(Metadata!D520,"1427740"))</f>
        <v>0</v>
      </c>
    </row>
    <row r="521" spans="1:17">
      <c r="A521" s="4">
        <f>IF(B521=" "," ",HYPERLINK(CONCATENATE("#metadata!",ADDRESS(INDEX($J$2:$J$1001,MATCH(ROWS($H$2:H521),$H$2:$H$1001,0),0),1)),INDEX($M$2:$M$1001,MATCH(ROWS($H$2:H521),$H$2:$H$1001,0),0)))</f>
        <v>0</v>
      </c>
      <c r="B521" s="3">
        <f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>0</v>
      </c>
      <c r="C521" s="3">
        <f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>0</v>
      </c>
      <c r="D521" s="3">
        <f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>0</v>
      </c>
      <c r="H521">
        <v>0</v>
      </c>
      <c r="I521">
        <v>0</v>
      </c>
      <c r="J521">
        <v>0</v>
      </c>
      <c r="K521">
        <f>IF(L521,TRUE,AND(O521:Q521))</f>
        <v>0</v>
      </c>
      <c r="L521">
        <f>COUNTBLANK(Metadata!B521:D521)=COLUMNS(Metadata!B521:D521)</f>
        <v>0</v>
      </c>
      <c r="M521">
        <v>0</v>
      </c>
      <c r="O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>
        <f>AND(IF(Metadata!C521="",FALSE,TRUE),exact(Metadata!C521,"rat metagenome"))</f>
        <v>0</v>
      </c>
      <c r="Q521">
        <f>AND(IF(Metadata!D521="",FALSE,TRUE),exact(Metadata!D521,"1427740"))</f>
        <v>0</v>
      </c>
    </row>
    <row r="522" spans="1:17">
      <c r="A522" s="4">
        <f>IF(B522=" "," ",HYPERLINK(CONCATENATE("#metadata!",ADDRESS(INDEX($J$2:$J$1001,MATCH(ROWS($H$2:H522),$H$2:$H$1001,0),0),1)),INDEX($M$2:$M$1001,MATCH(ROWS($H$2:H522),$H$2:$H$1001,0),0)))</f>
        <v>0</v>
      </c>
      <c r="B522" s="3">
        <f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>0</v>
      </c>
      <c r="C522" s="3">
        <f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>0</v>
      </c>
      <c r="D522" s="3">
        <f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>0</v>
      </c>
      <c r="H522">
        <v>0</v>
      </c>
      <c r="I522">
        <v>0</v>
      </c>
      <c r="J522">
        <v>0</v>
      </c>
      <c r="K522">
        <f>IF(L522,TRUE,AND(O522:Q522))</f>
        <v>0</v>
      </c>
      <c r="L522">
        <f>COUNTBLANK(Metadata!B522:D522)=COLUMNS(Metadata!B522:D522)</f>
        <v>0</v>
      </c>
      <c r="M522">
        <v>0</v>
      </c>
      <c r="O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>
        <f>AND(IF(Metadata!C522="",FALSE,TRUE),exact(Metadata!C522,"rat metagenome"))</f>
        <v>0</v>
      </c>
      <c r="Q522">
        <f>AND(IF(Metadata!D522="",FALSE,TRUE),exact(Metadata!D522,"1427740"))</f>
        <v>0</v>
      </c>
    </row>
    <row r="523" spans="1:17">
      <c r="A523" s="4">
        <f>IF(B523=" "," ",HYPERLINK(CONCATENATE("#metadata!",ADDRESS(INDEX($J$2:$J$1001,MATCH(ROWS($H$2:H523),$H$2:$H$1001,0),0),1)),INDEX($M$2:$M$1001,MATCH(ROWS($H$2:H523),$H$2:$H$1001,0),0)))</f>
        <v>0</v>
      </c>
      <c r="B523" s="3">
        <f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>0</v>
      </c>
      <c r="C523" s="3">
        <f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>0</v>
      </c>
      <c r="D523" s="3">
        <f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>0</v>
      </c>
      <c r="H523">
        <v>0</v>
      </c>
      <c r="I523">
        <v>0</v>
      </c>
      <c r="J523">
        <v>0</v>
      </c>
      <c r="K523">
        <f>IF(L523,TRUE,AND(O523:Q523))</f>
        <v>0</v>
      </c>
      <c r="L523">
        <f>COUNTBLANK(Metadata!B523:D523)=COLUMNS(Metadata!B523:D523)</f>
        <v>0</v>
      </c>
      <c r="M523">
        <v>0</v>
      </c>
      <c r="O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>
        <f>AND(IF(Metadata!C523="",FALSE,TRUE),exact(Metadata!C523,"rat metagenome"))</f>
        <v>0</v>
      </c>
      <c r="Q523">
        <f>AND(IF(Metadata!D523="",FALSE,TRUE),exact(Metadata!D523,"1427740"))</f>
        <v>0</v>
      </c>
    </row>
    <row r="524" spans="1:17">
      <c r="A524" s="4">
        <f>IF(B524=" "," ",HYPERLINK(CONCATENATE("#metadata!",ADDRESS(INDEX($J$2:$J$1001,MATCH(ROWS($H$2:H524),$H$2:$H$1001,0),0),1)),INDEX($M$2:$M$1001,MATCH(ROWS($H$2:H524),$H$2:$H$1001,0),0)))</f>
        <v>0</v>
      </c>
      <c r="B524" s="3">
        <f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>0</v>
      </c>
      <c r="C524" s="3">
        <f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>0</v>
      </c>
      <c r="D524" s="3">
        <f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>0</v>
      </c>
      <c r="H524">
        <v>0</v>
      </c>
      <c r="I524">
        <v>0</v>
      </c>
      <c r="J524">
        <v>0</v>
      </c>
      <c r="K524">
        <f>IF(L524,TRUE,AND(O524:Q524))</f>
        <v>0</v>
      </c>
      <c r="L524">
        <f>COUNTBLANK(Metadata!B524:D524)=COLUMNS(Metadata!B524:D524)</f>
        <v>0</v>
      </c>
      <c r="M524">
        <v>0</v>
      </c>
      <c r="O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>
        <f>AND(IF(Metadata!C524="",FALSE,TRUE),exact(Metadata!C524,"rat metagenome"))</f>
        <v>0</v>
      </c>
      <c r="Q524">
        <f>AND(IF(Metadata!D524="",FALSE,TRUE),exact(Metadata!D524,"1427740"))</f>
        <v>0</v>
      </c>
    </row>
    <row r="525" spans="1:17">
      <c r="A525" s="4">
        <f>IF(B525=" "," ",HYPERLINK(CONCATENATE("#metadata!",ADDRESS(INDEX($J$2:$J$1001,MATCH(ROWS($H$2:H525),$H$2:$H$1001,0),0),1)),INDEX($M$2:$M$1001,MATCH(ROWS($H$2:H525),$H$2:$H$1001,0),0)))</f>
        <v>0</v>
      </c>
      <c r="B525" s="3">
        <f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>0</v>
      </c>
      <c r="C525" s="3">
        <f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>0</v>
      </c>
      <c r="D525" s="3">
        <f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>0</v>
      </c>
      <c r="H525">
        <v>0</v>
      </c>
      <c r="I525">
        <v>0</v>
      </c>
      <c r="J525">
        <v>0</v>
      </c>
      <c r="K525">
        <f>IF(L525,TRUE,AND(O525:Q525))</f>
        <v>0</v>
      </c>
      <c r="L525">
        <f>COUNTBLANK(Metadata!B525:D525)=COLUMNS(Metadata!B525:D525)</f>
        <v>0</v>
      </c>
      <c r="M525">
        <v>0</v>
      </c>
      <c r="O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>
        <f>AND(IF(Metadata!C525="",FALSE,TRUE),exact(Metadata!C525,"rat metagenome"))</f>
        <v>0</v>
      </c>
      <c r="Q525">
        <f>AND(IF(Metadata!D525="",FALSE,TRUE),exact(Metadata!D525,"1427740"))</f>
        <v>0</v>
      </c>
    </row>
    <row r="526" spans="1:17">
      <c r="A526" s="4">
        <f>IF(B526=" "," ",HYPERLINK(CONCATENATE("#metadata!",ADDRESS(INDEX($J$2:$J$1001,MATCH(ROWS($H$2:H526),$H$2:$H$1001,0),0),1)),INDEX($M$2:$M$1001,MATCH(ROWS($H$2:H526),$H$2:$H$1001,0),0)))</f>
        <v>0</v>
      </c>
      <c r="B526" s="3">
        <f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>0</v>
      </c>
      <c r="C526" s="3">
        <f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>0</v>
      </c>
      <c r="D526" s="3">
        <f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>0</v>
      </c>
      <c r="H526">
        <v>0</v>
      </c>
      <c r="I526">
        <v>0</v>
      </c>
      <c r="J526">
        <v>0</v>
      </c>
      <c r="K526">
        <f>IF(L526,TRUE,AND(O526:Q526))</f>
        <v>0</v>
      </c>
      <c r="L526">
        <f>COUNTBLANK(Metadata!B526:D526)=COLUMNS(Metadata!B526:D526)</f>
        <v>0</v>
      </c>
      <c r="M526">
        <v>0</v>
      </c>
      <c r="O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>
        <f>AND(IF(Metadata!C526="",FALSE,TRUE),exact(Metadata!C526,"rat metagenome"))</f>
        <v>0</v>
      </c>
      <c r="Q526">
        <f>AND(IF(Metadata!D526="",FALSE,TRUE),exact(Metadata!D526,"1427740"))</f>
        <v>0</v>
      </c>
    </row>
    <row r="527" spans="1:17">
      <c r="A527" s="4">
        <f>IF(B527=" "," ",HYPERLINK(CONCATENATE("#metadata!",ADDRESS(INDEX($J$2:$J$1001,MATCH(ROWS($H$2:H527),$H$2:$H$1001,0),0),1)),INDEX($M$2:$M$1001,MATCH(ROWS($H$2:H527),$H$2:$H$1001,0),0)))</f>
        <v>0</v>
      </c>
      <c r="B527" s="3">
        <f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>0</v>
      </c>
      <c r="C527" s="3">
        <f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>0</v>
      </c>
      <c r="D527" s="3">
        <f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>0</v>
      </c>
      <c r="H527">
        <v>0</v>
      </c>
      <c r="I527">
        <v>0</v>
      </c>
      <c r="J527">
        <v>0</v>
      </c>
      <c r="K527">
        <f>IF(L527,TRUE,AND(O527:Q527))</f>
        <v>0</v>
      </c>
      <c r="L527">
        <f>COUNTBLANK(Metadata!B527:D527)=COLUMNS(Metadata!B527:D527)</f>
        <v>0</v>
      </c>
      <c r="M527">
        <v>0</v>
      </c>
      <c r="O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>
        <f>AND(IF(Metadata!C527="",FALSE,TRUE),exact(Metadata!C527,"rat metagenome"))</f>
        <v>0</v>
      </c>
      <c r="Q527">
        <f>AND(IF(Metadata!D527="",FALSE,TRUE),exact(Metadata!D527,"1427740"))</f>
        <v>0</v>
      </c>
    </row>
    <row r="528" spans="1:17">
      <c r="A528" s="4">
        <f>IF(B528=" "," ",HYPERLINK(CONCATENATE("#metadata!",ADDRESS(INDEX($J$2:$J$1001,MATCH(ROWS($H$2:H528),$H$2:$H$1001,0),0),1)),INDEX($M$2:$M$1001,MATCH(ROWS($H$2:H528),$H$2:$H$1001,0),0)))</f>
        <v>0</v>
      </c>
      <c r="B528" s="3">
        <f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>0</v>
      </c>
      <c r="C528" s="3">
        <f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>0</v>
      </c>
      <c r="D528" s="3">
        <f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>0</v>
      </c>
      <c r="H528">
        <v>0</v>
      </c>
      <c r="I528">
        <v>0</v>
      </c>
      <c r="J528">
        <v>0</v>
      </c>
      <c r="K528">
        <f>IF(L528,TRUE,AND(O528:Q528))</f>
        <v>0</v>
      </c>
      <c r="L528">
        <f>COUNTBLANK(Metadata!B528:D528)=COLUMNS(Metadata!B528:D528)</f>
        <v>0</v>
      </c>
      <c r="M528">
        <v>0</v>
      </c>
      <c r="O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>
        <f>AND(IF(Metadata!C528="",FALSE,TRUE),exact(Metadata!C528,"rat metagenome"))</f>
        <v>0</v>
      </c>
      <c r="Q528">
        <f>AND(IF(Metadata!D528="",FALSE,TRUE),exact(Metadata!D528,"1427740"))</f>
        <v>0</v>
      </c>
    </row>
    <row r="529" spans="1:17">
      <c r="A529" s="4">
        <f>IF(B529=" "," ",HYPERLINK(CONCATENATE("#metadata!",ADDRESS(INDEX($J$2:$J$1001,MATCH(ROWS($H$2:H529),$H$2:$H$1001,0),0),1)),INDEX($M$2:$M$1001,MATCH(ROWS($H$2:H529),$H$2:$H$1001,0),0)))</f>
        <v>0</v>
      </c>
      <c r="B529" s="3">
        <f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>0</v>
      </c>
      <c r="C529" s="3">
        <f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>0</v>
      </c>
      <c r="D529" s="3">
        <f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>0</v>
      </c>
      <c r="H529">
        <v>0</v>
      </c>
      <c r="I529">
        <v>0</v>
      </c>
      <c r="J529">
        <v>0</v>
      </c>
      <c r="K529">
        <f>IF(L529,TRUE,AND(O529:Q529))</f>
        <v>0</v>
      </c>
      <c r="L529">
        <f>COUNTBLANK(Metadata!B529:D529)=COLUMNS(Metadata!B529:D529)</f>
        <v>0</v>
      </c>
      <c r="M529">
        <v>0</v>
      </c>
      <c r="O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>
        <f>AND(IF(Metadata!C529="",FALSE,TRUE),exact(Metadata!C529,"rat metagenome"))</f>
        <v>0</v>
      </c>
      <c r="Q529">
        <f>AND(IF(Metadata!D529="",FALSE,TRUE),exact(Metadata!D529,"1427740"))</f>
        <v>0</v>
      </c>
    </row>
    <row r="530" spans="1:17">
      <c r="A530" s="4">
        <f>IF(B530=" "," ",HYPERLINK(CONCATENATE("#metadata!",ADDRESS(INDEX($J$2:$J$1001,MATCH(ROWS($H$2:H530),$H$2:$H$1001,0),0),1)),INDEX($M$2:$M$1001,MATCH(ROWS($H$2:H530),$H$2:$H$1001,0),0)))</f>
        <v>0</v>
      </c>
      <c r="B530" s="3">
        <f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>0</v>
      </c>
      <c r="C530" s="3">
        <f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>0</v>
      </c>
      <c r="D530" s="3">
        <f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>0</v>
      </c>
      <c r="H530">
        <v>0</v>
      </c>
      <c r="I530">
        <v>0</v>
      </c>
      <c r="J530">
        <v>0</v>
      </c>
      <c r="K530">
        <f>IF(L530,TRUE,AND(O530:Q530))</f>
        <v>0</v>
      </c>
      <c r="L530">
        <f>COUNTBLANK(Metadata!B530:D530)=COLUMNS(Metadata!B530:D530)</f>
        <v>0</v>
      </c>
      <c r="M530">
        <v>0</v>
      </c>
      <c r="O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>
        <f>AND(IF(Metadata!C530="",FALSE,TRUE),exact(Metadata!C530,"rat metagenome"))</f>
        <v>0</v>
      </c>
      <c r="Q530">
        <f>AND(IF(Metadata!D530="",FALSE,TRUE),exact(Metadata!D530,"1427740"))</f>
        <v>0</v>
      </c>
    </row>
    <row r="531" spans="1:17">
      <c r="A531" s="4">
        <f>IF(B531=" "," ",HYPERLINK(CONCATENATE("#metadata!",ADDRESS(INDEX($J$2:$J$1001,MATCH(ROWS($H$2:H531),$H$2:$H$1001,0),0),1)),INDEX($M$2:$M$1001,MATCH(ROWS($H$2:H531),$H$2:$H$1001,0),0)))</f>
        <v>0</v>
      </c>
      <c r="B531" s="3">
        <f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>0</v>
      </c>
      <c r="C531" s="3">
        <f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>0</v>
      </c>
      <c r="D531" s="3">
        <f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>0</v>
      </c>
      <c r="H531">
        <v>0</v>
      </c>
      <c r="I531">
        <v>0</v>
      </c>
      <c r="J531">
        <v>0</v>
      </c>
      <c r="K531">
        <f>IF(L531,TRUE,AND(O531:Q531))</f>
        <v>0</v>
      </c>
      <c r="L531">
        <f>COUNTBLANK(Metadata!B531:D531)=COLUMNS(Metadata!B531:D531)</f>
        <v>0</v>
      </c>
      <c r="M531">
        <v>0</v>
      </c>
      <c r="O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>
        <f>AND(IF(Metadata!C531="",FALSE,TRUE),exact(Metadata!C531,"rat metagenome"))</f>
        <v>0</v>
      </c>
      <c r="Q531">
        <f>AND(IF(Metadata!D531="",FALSE,TRUE),exact(Metadata!D531,"1427740"))</f>
        <v>0</v>
      </c>
    </row>
    <row r="532" spans="1:17">
      <c r="A532" s="4">
        <f>IF(B532=" "," ",HYPERLINK(CONCATENATE("#metadata!",ADDRESS(INDEX($J$2:$J$1001,MATCH(ROWS($H$2:H532),$H$2:$H$1001,0),0),1)),INDEX($M$2:$M$1001,MATCH(ROWS($H$2:H532),$H$2:$H$1001,0),0)))</f>
        <v>0</v>
      </c>
      <c r="B532" s="3">
        <f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>0</v>
      </c>
      <c r="C532" s="3">
        <f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>0</v>
      </c>
      <c r="D532" s="3">
        <f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>0</v>
      </c>
      <c r="H532">
        <v>0</v>
      </c>
      <c r="I532">
        <v>0</v>
      </c>
      <c r="J532">
        <v>0</v>
      </c>
      <c r="K532">
        <f>IF(L532,TRUE,AND(O532:Q532))</f>
        <v>0</v>
      </c>
      <c r="L532">
        <f>COUNTBLANK(Metadata!B532:D532)=COLUMNS(Metadata!B532:D532)</f>
        <v>0</v>
      </c>
      <c r="M532">
        <v>0</v>
      </c>
      <c r="O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>
        <f>AND(IF(Metadata!C532="",FALSE,TRUE),exact(Metadata!C532,"rat metagenome"))</f>
        <v>0</v>
      </c>
      <c r="Q532">
        <f>AND(IF(Metadata!D532="",FALSE,TRUE),exact(Metadata!D532,"1427740"))</f>
        <v>0</v>
      </c>
    </row>
    <row r="533" spans="1:17">
      <c r="A533" s="4">
        <f>IF(B533=" "," ",HYPERLINK(CONCATENATE("#metadata!",ADDRESS(INDEX($J$2:$J$1001,MATCH(ROWS($H$2:H533),$H$2:$H$1001,0),0),1)),INDEX($M$2:$M$1001,MATCH(ROWS($H$2:H533),$H$2:$H$1001,0),0)))</f>
        <v>0</v>
      </c>
      <c r="B533" s="3">
        <f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>0</v>
      </c>
      <c r="C533" s="3">
        <f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>0</v>
      </c>
      <c r="D533" s="3">
        <f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>0</v>
      </c>
      <c r="H533">
        <v>0</v>
      </c>
      <c r="I533">
        <v>0</v>
      </c>
      <c r="J533">
        <v>0</v>
      </c>
      <c r="K533">
        <f>IF(L533,TRUE,AND(O533:Q533))</f>
        <v>0</v>
      </c>
      <c r="L533">
        <f>COUNTBLANK(Metadata!B533:D533)=COLUMNS(Metadata!B533:D533)</f>
        <v>0</v>
      </c>
      <c r="M533">
        <v>0</v>
      </c>
      <c r="O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>
        <f>AND(IF(Metadata!C533="",FALSE,TRUE),exact(Metadata!C533,"rat metagenome"))</f>
        <v>0</v>
      </c>
      <c r="Q533">
        <f>AND(IF(Metadata!D533="",FALSE,TRUE),exact(Metadata!D533,"1427740"))</f>
        <v>0</v>
      </c>
    </row>
    <row r="534" spans="1:17">
      <c r="A534" s="4">
        <f>IF(B534=" "," ",HYPERLINK(CONCATENATE("#metadata!",ADDRESS(INDEX($J$2:$J$1001,MATCH(ROWS($H$2:H534),$H$2:$H$1001,0),0),1)),INDEX($M$2:$M$1001,MATCH(ROWS($H$2:H534),$H$2:$H$1001,0),0)))</f>
        <v>0</v>
      </c>
      <c r="B534" s="3">
        <f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>0</v>
      </c>
      <c r="C534" s="3">
        <f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>0</v>
      </c>
      <c r="D534" s="3">
        <f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>0</v>
      </c>
      <c r="H534">
        <v>0</v>
      </c>
      <c r="I534">
        <v>0</v>
      </c>
      <c r="J534">
        <v>0</v>
      </c>
      <c r="K534">
        <f>IF(L534,TRUE,AND(O534:Q534))</f>
        <v>0</v>
      </c>
      <c r="L534">
        <f>COUNTBLANK(Metadata!B534:D534)=COLUMNS(Metadata!B534:D534)</f>
        <v>0</v>
      </c>
      <c r="M534">
        <v>0</v>
      </c>
      <c r="O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>
        <f>AND(IF(Metadata!C534="",FALSE,TRUE),exact(Metadata!C534,"rat metagenome"))</f>
        <v>0</v>
      </c>
      <c r="Q534">
        <f>AND(IF(Metadata!D534="",FALSE,TRUE),exact(Metadata!D534,"1427740"))</f>
        <v>0</v>
      </c>
    </row>
    <row r="535" spans="1:17">
      <c r="A535" s="4">
        <f>IF(B535=" "," ",HYPERLINK(CONCATENATE("#metadata!",ADDRESS(INDEX($J$2:$J$1001,MATCH(ROWS($H$2:H535),$H$2:$H$1001,0),0),1)),INDEX($M$2:$M$1001,MATCH(ROWS($H$2:H535),$H$2:$H$1001,0),0)))</f>
        <v>0</v>
      </c>
      <c r="B535" s="3">
        <f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>0</v>
      </c>
      <c r="C535" s="3">
        <f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>0</v>
      </c>
      <c r="D535" s="3">
        <f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>0</v>
      </c>
      <c r="H535">
        <v>0</v>
      </c>
      <c r="I535">
        <v>0</v>
      </c>
      <c r="J535">
        <v>0</v>
      </c>
      <c r="K535">
        <f>IF(L535,TRUE,AND(O535:Q535))</f>
        <v>0</v>
      </c>
      <c r="L535">
        <f>COUNTBLANK(Metadata!B535:D535)=COLUMNS(Metadata!B535:D535)</f>
        <v>0</v>
      </c>
      <c r="M535">
        <v>0</v>
      </c>
      <c r="O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>
        <f>AND(IF(Metadata!C535="",FALSE,TRUE),exact(Metadata!C535,"rat metagenome"))</f>
        <v>0</v>
      </c>
      <c r="Q535">
        <f>AND(IF(Metadata!D535="",FALSE,TRUE),exact(Metadata!D535,"1427740"))</f>
        <v>0</v>
      </c>
    </row>
    <row r="536" spans="1:17">
      <c r="A536" s="4">
        <f>IF(B536=" "," ",HYPERLINK(CONCATENATE("#metadata!",ADDRESS(INDEX($J$2:$J$1001,MATCH(ROWS($H$2:H536),$H$2:$H$1001,0),0),1)),INDEX($M$2:$M$1001,MATCH(ROWS($H$2:H536),$H$2:$H$1001,0),0)))</f>
        <v>0</v>
      </c>
      <c r="B536" s="3">
        <f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>0</v>
      </c>
      <c r="C536" s="3">
        <f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>0</v>
      </c>
      <c r="D536" s="3">
        <f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>0</v>
      </c>
      <c r="H536">
        <v>0</v>
      </c>
      <c r="I536">
        <v>0</v>
      </c>
      <c r="J536">
        <v>0</v>
      </c>
      <c r="K536">
        <f>IF(L536,TRUE,AND(O536:Q536))</f>
        <v>0</v>
      </c>
      <c r="L536">
        <f>COUNTBLANK(Metadata!B536:D536)=COLUMNS(Metadata!B536:D536)</f>
        <v>0</v>
      </c>
      <c r="M536">
        <v>0</v>
      </c>
      <c r="O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>
        <f>AND(IF(Metadata!C536="",FALSE,TRUE),exact(Metadata!C536,"rat metagenome"))</f>
        <v>0</v>
      </c>
      <c r="Q536">
        <f>AND(IF(Metadata!D536="",FALSE,TRUE),exact(Metadata!D536,"1427740"))</f>
        <v>0</v>
      </c>
    </row>
    <row r="537" spans="1:17">
      <c r="A537" s="4">
        <f>IF(B537=" "," ",HYPERLINK(CONCATENATE("#metadata!",ADDRESS(INDEX($J$2:$J$1001,MATCH(ROWS($H$2:H537),$H$2:$H$1001,0),0),1)),INDEX($M$2:$M$1001,MATCH(ROWS($H$2:H537),$H$2:$H$1001,0),0)))</f>
        <v>0</v>
      </c>
      <c r="B537" s="3">
        <f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>0</v>
      </c>
      <c r="C537" s="3">
        <f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>0</v>
      </c>
      <c r="D537" s="3">
        <f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>0</v>
      </c>
      <c r="H537">
        <v>0</v>
      </c>
      <c r="I537">
        <v>0</v>
      </c>
      <c r="J537">
        <v>0</v>
      </c>
      <c r="K537">
        <f>IF(L537,TRUE,AND(O537:Q537))</f>
        <v>0</v>
      </c>
      <c r="L537">
        <f>COUNTBLANK(Metadata!B537:D537)=COLUMNS(Metadata!B537:D537)</f>
        <v>0</v>
      </c>
      <c r="M537">
        <v>0</v>
      </c>
      <c r="O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>
        <f>AND(IF(Metadata!C537="",FALSE,TRUE),exact(Metadata!C537,"rat metagenome"))</f>
        <v>0</v>
      </c>
      <c r="Q537">
        <f>AND(IF(Metadata!D537="",FALSE,TRUE),exact(Metadata!D537,"1427740"))</f>
        <v>0</v>
      </c>
    </row>
    <row r="538" spans="1:17">
      <c r="A538" s="4">
        <f>IF(B538=" "," ",HYPERLINK(CONCATENATE("#metadata!",ADDRESS(INDEX($J$2:$J$1001,MATCH(ROWS($H$2:H538),$H$2:$H$1001,0),0),1)),INDEX($M$2:$M$1001,MATCH(ROWS($H$2:H538),$H$2:$H$1001,0),0)))</f>
        <v>0</v>
      </c>
      <c r="B538" s="3">
        <f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>0</v>
      </c>
      <c r="C538" s="3">
        <f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>0</v>
      </c>
      <c r="D538" s="3">
        <f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>0</v>
      </c>
      <c r="H538">
        <v>0</v>
      </c>
      <c r="I538">
        <v>0</v>
      </c>
      <c r="J538">
        <v>0</v>
      </c>
      <c r="K538">
        <f>IF(L538,TRUE,AND(O538:Q538))</f>
        <v>0</v>
      </c>
      <c r="L538">
        <f>COUNTBLANK(Metadata!B538:D538)=COLUMNS(Metadata!B538:D538)</f>
        <v>0</v>
      </c>
      <c r="M538">
        <v>0</v>
      </c>
      <c r="O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>
        <f>AND(IF(Metadata!C538="",FALSE,TRUE),exact(Metadata!C538,"rat metagenome"))</f>
        <v>0</v>
      </c>
      <c r="Q538">
        <f>AND(IF(Metadata!D538="",FALSE,TRUE),exact(Metadata!D538,"1427740"))</f>
        <v>0</v>
      </c>
    </row>
    <row r="539" spans="1:17">
      <c r="A539" s="4">
        <f>IF(B539=" "," ",HYPERLINK(CONCATENATE("#metadata!",ADDRESS(INDEX($J$2:$J$1001,MATCH(ROWS($H$2:H539),$H$2:$H$1001,0),0),1)),INDEX($M$2:$M$1001,MATCH(ROWS($H$2:H539),$H$2:$H$1001,0),0)))</f>
        <v>0</v>
      </c>
      <c r="B539" s="3">
        <f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>0</v>
      </c>
      <c r="C539" s="3">
        <f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>0</v>
      </c>
      <c r="D539" s="3">
        <f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>0</v>
      </c>
      <c r="H539">
        <v>0</v>
      </c>
      <c r="I539">
        <v>0</v>
      </c>
      <c r="J539">
        <v>0</v>
      </c>
      <c r="K539">
        <f>IF(L539,TRUE,AND(O539:Q539))</f>
        <v>0</v>
      </c>
      <c r="L539">
        <f>COUNTBLANK(Metadata!B539:D539)=COLUMNS(Metadata!B539:D539)</f>
        <v>0</v>
      </c>
      <c r="M539">
        <v>0</v>
      </c>
      <c r="O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>
        <f>AND(IF(Metadata!C539="",FALSE,TRUE),exact(Metadata!C539,"rat metagenome"))</f>
        <v>0</v>
      </c>
      <c r="Q539">
        <f>AND(IF(Metadata!D539="",FALSE,TRUE),exact(Metadata!D539,"1427740"))</f>
        <v>0</v>
      </c>
    </row>
    <row r="540" spans="1:17">
      <c r="A540" s="4">
        <f>IF(B540=" "," ",HYPERLINK(CONCATENATE("#metadata!",ADDRESS(INDEX($J$2:$J$1001,MATCH(ROWS($H$2:H540),$H$2:$H$1001,0),0),1)),INDEX($M$2:$M$1001,MATCH(ROWS($H$2:H540),$H$2:$H$1001,0),0)))</f>
        <v>0</v>
      </c>
      <c r="B540" s="3">
        <f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>0</v>
      </c>
      <c r="C540" s="3">
        <f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>0</v>
      </c>
      <c r="D540" s="3">
        <f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>0</v>
      </c>
      <c r="H540">
        <v>0</v>
      </c>
      <c r="I540">
        <v>0</v>
      </c>
      <c r="J540">
        <v>0</v>
      </c>
      <c r="K540">
        <f>IF(L540,TRUE,AND(O540:Q540))</f>
        <v>0</v>
      </c>
      <c r="L540">
        <f>COUNTBLANK(Metadata!B540:D540)=COLUMNS(Metadata!B540:D540)</f>
        <v>0</v>
      </c>
      <c r="M540">
        <v>0</v>
      </c>
      <c r="O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>
        <f>AND(IF(Metadata!C540="",FALSE,TRUE),exact(Metadata!C540,"rat metagenome"))</f>
        <v>0</v>
      </c>
      <c r="Q540">
        <f>AND(IF(Metadata!D540="",FALSE,TRUE),exact(Metadata!D540,"1427740"))</f>
        <v>0</v>
      </c>
    </row>
    <row r="541" spans="1:17">
      <c r="A541" s="4">
        <f>IF(B541=" "," ",HYPERLINK(CONCATENATE("#metadata!",ADDRESS(INDEX($J$2:$J$1001,MATCH(ROWS($H$2:H541),$H$2:$H$1001,0),0),1)),INDEX($M$2:$M$1001,MATCH(ROWS($H$2:H541),$H$2:$H$1001,0),0)))</f>
        <v>0</v>
      </c>
      <c r="B541" s="3">
        <f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>0</v>
      </c>
      <c r="C541" s="3">
        <f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>0</v>
      </c>
      <c r="D541" s="3">
        <f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>0</v>
      </c>
      <c r="H541">
        <v>0</v>
      </c>
      <c r="I541">
        <v>0</v>
      </c>
      <c r="J541">
        <v>0</v>
      </c>
      <c r="K541">
        <f>IF(L541,TRUE,AND(O541:Q541))</f>
        <v>0</v>
      </c>
      <c r="L541">
        <f>COUNTBLANK(Metadata!B541:D541)=COLUMNS(Metadata!B541:D541)</f>
        <v>0</v>
      </c>
      <c r="M541">
        <v>0</v>
      </c>
      <c r="O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>
        <f>AND(IF(Metadata!C541="",FALSE,TRUE),exact(Metadata!C541,"rat metagenome"))</f>
        <v>0</v>
      </c>
      <c r="Q541">
        <f>AND(IF(Metadata!D541="",FALSE,TRUE),exact(Metadata!D541,"1427740"))</f>
        <v>0</v>
      </c>
    </row>
    <row r="542" spans="1:17">
      <c r="A542" s="4">
        <f>IF(B542=" "," ",HYPERLINK(CONCATENATE("#metadata!",ADDRESS(INDEX($J$2:$J$1001,MATCH(ROWS($H$2:H542),$H$2:$H$1001,0),0),1)),INDEX($M$2:$M$1001,MATCH(ROWS($H$2:H542),$H$2:$H$1001,0),0)))</f>
        <v>0</v>
      </c>
      <c r="B542" s="3">
        <f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>0</v>
      </c>
      <c r="C542" s="3">
        <f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>0</v>
      </c>
      <c r="D542" s="3">
        <f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>0</v>
      </c>
      <c r="H542">
        <v>0</v>
      </c>
      <c r="I542">
        <v>0</v>
      </c>
      <c r="J542">
        <v>0</v>
      </c>
      <c r="K542">
        <f>IF(L542,TRUE,AND(O542:Q542))</f>
        <v>0</v>
      </c>
      <c r="L542">
        <f>COUNTBLANK(Metadata!B542:D542)=COLUMNS(Metadata!B542:D542)</f>
        <v>0</v>
      </c>
      <c r="M542">
        <v>0</v>
      </c>
      <c r="O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>
        <f>AND(IF(Metadata!C542="",FALSE,TRUE),exact(Metadata!C542,"rat metagenome"))</f>
        <v>0</v>
      </c>
      <c r="Q542">
        <f>AND(IF(Metadata!D542="",FALSE,TRUE),exact(Metadata!D542,"1427740"))</f>
        <v>0</v>
      </c>
    </row>
    <row r="543" spans="1:17">
      <c r="A543" s="4">
        <f>IF(B543=" "," ",HYPERLINK(CONCATENATE("#metadata!",ADDRESS(INDEX($J$2:$J$1001,MATCH(ROWS($H$2:H543),$H$2:$H$1001,0),0),1)),INDEX($M$2:$M$1001,MATCH(ROWS($H$2:H543),$H$2:$H$1001,0),0)))</f>
        <v>0</v>
      </c>
      <c r="B543" s="3">
        <f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>0</v>
      </c>
      <c r="C543" s="3">
        <f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>0</v>
      </c>
      <c r="D543" s="3">
        <f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>0</v>
      </c>
      <c r="H543">
        <v>0</v>
      </c>
      <c r="I543">
        <v>0</v>
      </c>
      <c r="J543">
        <v>0</v>
      </c>
      <c r="K543">
        <f>IF(L543,TRUE,AND(O543:Q543))</f>
        <v>0</v>
      </c>
      <c r="L543">
        <f>COUNTBLANK(Metadata!B543:D543)=COLUMNS(Metadata!B543:D543)</f>
        <v>0</v>
      </c>
      <c r="M543">
        <v>0</v>
      </c>
      <c r="O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>
        <f>AND(IF(Metadata!C543="",FALSE,TRUE),exact(Metadata!C543,"rat metagenome"))</f>
        <v>0</v>
      </c>
      <c r="Q543">
        <f>AND(IF(Metadata!D543="",FALSE,TRUE),exact(Metadata!D543,"1427740"))</f>
        <v>0</v>
      </c>
    </row>
    <row r="544" spans="1:17">
      <c r="A544" s="4">
        <f>IF(B544=" "," ",HYPERLINK(CONCATENATE("#metadata!",ADDRESS(INDEX($J$2:$J$1001,MATCH(ROWS($H$2:H544),$H$2:$H$1001,0),0),1)),INDEX($M$2:$M$1001,MATCH(ROWS($H$2:H544),$H$2:$H$1001,0),0)))</f>
        <v>0</v>
      </c>
      <c r="B544" s="3">
        <f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>0</v>
      </c>
      <c r="C544" s="3">
        <f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>0</v>
      </c>
      <c r="D544" s="3">
        <f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>0</v>
      </c>
      <c r="H544">
        <v>0</v>
      </c>
      <c r="I544">
        <v>0</v>
      </c>
      <c r="J544">
        <v>0</v>
      </c>
      <c r="K544">
        <f>IF(L544,TRUE,AND(O544:Q544))</f>
        <v>0</v>
      </c>
      <c r="L544">
        <f>COUNTBLANK(Metadata!B544:D544)=COLUMNS(Metadata!B544:D544)</f>
        <v>0</v>
      </c>
      <c r="M544">
        <v>0</v>
      </c>
      <c r="O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>
        <f>AND(IF(Metadata!C544="",FALSE,TRUE),exact(Metadata!C544,"rat metagenome"))</f>
        <v>0</v>
      </c>
      <c r="Q544">
        <f>AND(IF(Metadata!D544="",FALSE,TRUE),exact(Metadata!D544,"1427740"))</f>
        <v>0</v>
      </c>
    </row>
    <row r="545" spans="1:17">
      <c r="A545" s="4">
        <f>IF(B545=" "," ",HYPERLINK(CONCATENATE("#metadata!",ADDRESS(INDEX($J$2:$J$1001,MATCH(ROWS($H$2:H545),$H$2:$H$1001,0),0),1)),INDEX($M$2:$M$1001,MATCH(ROWS($H$2:H545),$H$2:$H$1001,0),0)))</f>
        <v>0</v>
      </c>
      <c r="B545" s="3">
        <f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>0</v>
      </c>
      <c r="C545" s="3">
        <f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>0</v>
      </c>
      <c r="D545" s="3">
        <f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>0</v>
      </c>
      <c r="H545">
        <v>0</v>
      </c>
      <c r="I545">
        <v>0</v>
      </c>
      <c r="J545">
        <v>0</v>
      </c>
      <c r="K545">
        <f>IF(L545,TRUE,AND(O545:Q545))</f>
        <v>0</v>
      </c>
      <c r="L545">
        <f>COUNTBLANK(Metadata!B545:D545)=COLUMNS(Metadata!B545:D545)</f>
        <v>0</v>
      </c>
      <c r="M545">
        <v>0</v>
      </c>
      <c r="O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>
        <f>AND(IF(Metadata!C545="",FALSE,TRUE),exact(Metadata!C545,"rat metagenome"))</f>
        <v>0</v>
      </c>
      <c r="Q545">
        <f>AND(IF(Metadata!D545="",FALSE,TRUE),exact(Metadata!D545,"1427740"))</f>
        <v>0</v>
      </c>
    </row>
    <row r="546" spans="1:17">
      <c r="A546" s="4">
        <f>IF(B546=" "," ",HYPERLINK(CONCATENATE("#metadata!",ADDRESS(INDEX($J$2:$J$1001,MATCH(ROWS($H$2:H546),$H$2:$H$1001,0),0),1)),INDEX($M$2:$M$1001,MATCH(ROWS($H$2:H546),$H$2:$H$1001,0),0)))</f>
        <v>0</v>
      </c>
      <c r="B546" s="3">
        <f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>0</v>
      </c>
      <c r="C546" s="3">
        <f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>0</v>
      </c>
      <c r="D546" s="3">
        <f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>0</v>
      </c>
      <c r="H546">
        <v>0</v>
      </c>
      <c r="I546">
        <v>0</v>
      </c>
      <c r="J546">
        <v>0</v>
      </c>
      <c r="K546">
        <f>IF(L546,TRUE,AND(O546:Q546))</f>
        <v>0</v>
      </c>
      <c r="L546">
        <f>COUNTBLANK(Metadata!B546:D546)=COLUMNS(Metadata!B546:D546)</f>
        <v>0</v>
      </c>
      <c r="M546">
        <v>0</v>
      </c>
      <c r="O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>
        <f>AND(IF(Metadata!C546="",FALSE,TRUE),exact(Metadata!C546,"rat metagenome"))</f>
        <v>0</v>
      </c>
      <c r="Q546">
        <f>AND(IF(Metadata!D546="",FALSE,TRUE),exact(Metadata!D546,"1427740"))</f>
        <v>0</v>
      </c>
    </row>
    <row r="547" spans="1:17">
      <c r="A547" s="4">
        <f>IF(B547=" "," ",HYPERLINK(CONCATENATE("#metadata!",ADDRESS(INDEX($J$2:$J$1001,MATCH(ROWS($H$2:H547),$H$2:$H$1001,0),0),1)),INDEX($M$2:$M$1001,MATCH(ROWS($H$2:H547),$H$2:$H$1001,0),0)))</f>
        <v>0</v>
      </c>
      <c r="B547" s="3">
        <f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>0</v>
      </c>
      <c r="C547" s="3">
        <f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>0</v>
      </c>
      <c r="D547" s="3">
        <f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>0</v>
      </c>
      <c r="H547">
        <v>0</v>
      </c>
      <c r="I547">
        <v>0</v>
      </c>
      <c r="J547">
        <v>0</v>
      </c>
      <c r="K547">
        <f>IF(L547,TRUE,AND(O547:Q547))</f>
        <v>0</v>
      </c>
      <c r="L547">
        <f>COUNTBLANK(Metadata!B547:D547)=COLUMNS(Metadata!B547:D547)</f>
        <v>0</v>
      </c>
      <c r="M547">
        <v>0</v>
      </c>
      <c r="O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>
        <f>AND(IF(Metadata!C547="",FALSE,TRUE),exact(Metadata!C547,"rat metagenome"))</f>
        <v>0</v>
      </c>
      <c r="Q547">
        <f>AND(IF(Metadata!D547="",FALSE,TRUE),exact(Metadata!D547,"1427740"))</f>
        <v>0</v>
      </c>
    </row>
    <row r="548" spans="1:17">
      <c r="A548" s="4">
        <f>IF(B548=" "," ",HYPERLINK(CONCATENATE("#metadata!",ADDRESS(INDEX($J$2:$J$1001,MATCH(ROWS($H$2:H548),$H$2:$H$1001,0),0),1)),INDEX($M$2:$M$1001,MATCH(ROWS($H$2:H548),$H$2:$H$1001,0),0)))</f>
        <v>0</v>
      </c>
      <c r="B548" s="3">
        <f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>0</v>
      </c>
      <c r="C548" s="3">
        <f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>0</v>
      </c>
      <c r="D548" s="3">
        <f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>0</v>
      </c>
      <c r="H548">
        <v>0</v>
      </c>
      <c r="I548">
        <v>0</v>
      </c>
      <c r="J548">
        <v>0</v>
      </c>
      <c r="K548">
        <f>IF(L548,TRUE,AND(O548:Q548))</f>
        <v>0</v>
      </c>
      <c r="L548">
        <f>COUNTBLANK(Metadata!B548:D548)=COLUMNS(Metadata!B548:D548)</f>
        <v>0</v>
      </c>
      <c r="M548">
        <v>0</v>
      </c>
      <c r="O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>
        <f>AND(IF(Metadata!C548="",FALSE,TRUE),exact(Metadata!C548,"rat metagenome"))</f>
        <v>0</v>
      </c>
      <c r="Q548">
        <f>AND(IF(Metadata!D548="",FALSE,TRUE),exact(Metadata!D548,"1427740"))</f>
        <v>0</v>
      </c>
    </row>
    <row r="549" spans="1:17">
      <c r="A549" s="4">
        <f>IF(B549=" "," ",HYPERLINK(CONCATENATE("#metadata!",ADDRESS(INDEX($J$2:$J$1001,MATCH(ROWS($H$2:H549),$H$2:$H$1001,0),0),1)),INDEX($M$2:$M$1001,MATCH(ROWS($H$2:H549),$H$2:$H$1001,0),0)))</f>
        <v>0</v>
      </c>
      <c r="B549" s="3">
        <f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>0</v>
      </c>
      <c r="C549" s="3">
        <f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>0</v>
      </c>
      <c r="D549" s="3">
        <f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>0</v>
      </c>
      <c r="H549">
        <v>0</v>
      </c>
      <c r="I549">
        <v>0</v>
      </c>
      <c r="J549">
        <v>0</v>
      </c>
      <c r="K549">
        <f>IF(L549,TRUE,AND(O549:Q549))</f>
        <v>0</v>
      </c>
      <c r="L549">
        <f>COUNTBLANK(Metadata!B549:D549)=COLUMNS(Metadata!B549:D549)</f>
        <v>0</v>
      </c>
      <c r="M549">
        <v>0</v>
      </c>
      <c r="O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>
        <f>AND(IF(Metadata!C549="",FALSE,TRUE),exact(Metadata!C549,"rat metagenome"))</f>
        <v>0</v>
      </c>
      <c r="Q549">
        <f>AND(IF(Metadata!D549="",FALSE,TRUE),exact(Metadata!D549,"1427740"))</f>
        <v>0</v>
      </c>
    </row>
    <row r="550" spans="1:17">
      <c r="A550" s="4">
        <f>IF(B550=" "," ",HYPERLINK(CONCATENATE("#metadata!",ADDRESS(INDEX($J$2:$J$1001,MATCH(ROWS($H$2:H550),$H$2:$H$1001,0),0),1)),INDEX($M$2:$M$1001,MATCH(ROWS($H$2:H550),$H$2:$H$1001,0),0)))</f>
        <v>0</v>
      </c>
      <c r="B550" s="3">
        <f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>0</v>
      </c>
      <c r="C550" s="3">
        <f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>0</v>
      </c>
      <c r="D550" s="3">
        <f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>0</v>
      </c>
      <c r="H550">
        <v>0</v>
      </c>
      <c r="I550">
        <v>0</v>
      </c>
      <c r="J550">
        <v>0</v>
      </c>
      <c r="K550">
        <f>IF(L550,TRUE,AND(O550:Q550))</f>
        <v>0</v>
      </c>
      <c r="L550">
        <f>COUNTBLANK(Metadata!B550:D550)=COLUMNS(Metadata!B550:D550)</f>
        <v>0</v>
      </c>
      <c r="M550">
        <v>0</v>
      </c>
      <c r="O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>
        <f>AND(IF(Metadata!C550="",FALSE,TRUE),exact(Metadata!C550,"rat metagenome"))</f>
        <v>0</v>
      </c>
      <c r="Q550">
        <f>AND(IF(Metadata!D550="",FALSE,TRUE),exact(Metadata!D550,"1427740"))</f>
        <v>0</v>
      </c>
    </row>
    <row r="551" spans="1:17">
      <c r="A551" s="4">
        <f>IF(B551=" "," ",HYPERLINK(CONCATENATE("#metadata!",ADDRESS(INDEX($J$2:$J$1001,MATCH(ROWS($H$2:H551),$H$2:$H$1001,0),0),1)),INDEX($M$2:$M$1001,MATCH(ROWS($H$2:H551),$H$2:$H$1001,0),0)))</f>
        <v>0</v>
      </c>
      <c r="B551" s="3">
        <f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>0</v>
      </c>
      <c r="C551" s="3">
        <f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>0</v>
      </c>
      <c r="D551" s="3">
        <f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>0</v>
      </c>
      <c r="H551">
        <v>0</v>
      </c>
      <c r="I551">
        <v>0</v>
      </c>
      <c r="J551">
        <v>0</v>
      </c>
      <c r="K551">
        <f>IF(L551,TRUE,AND(O551:Q551))</f>
        <v>0</v>
      </c>
      <c r="L551">
        <f>COUNTBLANK(Metadata!B551:D551)=COLUMNS(Metadata!B551:D551)</f>
        <v>0</v>
      </c>
      <c r="M551">
        <v>0</v>
      </c>
      <c r="O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>
        <f>AND(IF(Metadata!C551="",FALSE,TRUE),exact(Metadata!C551,"rat metagenome"))</f>
        <v>0</v>
      </c>
      <c r="Q551">
        <f>AND(IF(Metadata!D551="",FALSE,TRUE),exact(Metadata!D551,"1427740"))</f>
        <v>0</v>
      </c>
    </row>
    <row r="552" spans="1:17">
      <c r="A552" s="4">
        <f>IF(B552=" "," ",HYPERLINK(CONCATENATE("#metadata!",ADDRESS(INDEX($J$2:$J$1001,MATCH(ROWS($H$2:H552),$H$2:$H$1001,0),0),1)),INDEX($M$2:$M$1001,MATCH(ROWS($H$2:H552),$H$2:$H$1001,0),0)))</f>
        <v>0</v>
      </c>
      <c r="B552" s="3">
        <f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>0</v>
      </c>
      <c r="C552" s="3">
        <f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>0</v>
      </c>
      <c r="D552" s="3">
        <f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>0</v>
      </c>
      <c r="H552">
        <v>0</v>
      </c>
      <c r="I552">
        <v>0</v>
      </c>
      <c r="J552">
        <v>0</v>
      </c>
      <c r="K552">
        <f>IF(L552,TRUE,AND(O552:Q552))</f>
        <v>0</v>
      </c>
      <c r="L552">
        <f>COUNTBLANK(Metadata!B552:D552)=COLUMNS(Metadata!B552:D552)</f>
        <v>0</v>
      </c>
      <c r="M552">
        <v>0</v>
      </c>
      <c r="O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>
        <f>AND(IF(Metadata!C552="",FALSE,TRUE),exact(Metadata!C552,"rat metagenome"))</f>
        <v>0</v>
      </c>
      <c r="Q552">
        <f>AND(IF(Metadata!D552="",FALSE,TRUE),exact(Metadata!D552,"1427740"))</f>
        <v>0</v>
      </c>
    </row>
    <row r="553" spans="1:17">
      <c r="A553" s="4">
        <f>IF(B553=" "," ",HYPERLINK(CONCATENATE("#metadata!",ADDRESS(INDEX($J$2:$J$1001,MATCH(ROWS($H$2:H553),$H$2:$H$1001,0),0),1)),INDEX($M$2:$M$1001,MATCH(ROWS($H$2:H553),$H$2:$H$1001,0),0)))</f>
        <v>0</v>
      </c>
      <c r="B553" s="3">
        <f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>0</v>
      </c>
      <c r="C553" s="3">
        <f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>0</v>
      </c>
      <c r="D553" s="3">
        <f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>0</v>
      </c>
      <c r="H553">
        <v>0</v>
      </c>
      <c r="I553">
        <v>0</v>
      </c>
      <c r="J553">
        <v>0</v>
      </c>
      <c r="K553">
        <f>IF(L553,TRUE,AND(O553:Q553))</f>
        <v>0</v>
      </c>
      <c r="L553">
        <f>COUNTBLANK(Metadata!B553:D553)=COLUMNS(Metadata!B553:D553)</f>
        <v>0</v>
      </c>
      <c r="M553">
        <v>0</v>
      </c>
      <c r="O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>
        <f>AND(IF(Metadata!C553="",FALSE,TRUE),exact(Metadata!C553,"rat metagenome"))</f>
        <v>0</v>
      </c>
      <c r="Q553">
        <f>AND(IF(Metadata!D553="",FALSE,TRUE),exact(Metadata!D553,"1427740"))</f>
        <v>0</v>
      </c>
    </row>
    <row r="554" spans="1:17">
      <c r="A554" s="4">
        <f>IF(B554=" "," ",HYPERLINK(CONCATENATE("#metadata!",ADDRESS(INDEX($J$2:$J$1001,MATCH(ROWS($H$2:H554),$H$2:$H$1001,0),0),1)),INDEX($M$2:$M$1001,MATCH(ROWS($H$2:H554),$H$2:$H$1001,0),0)))</f>
        <v>0</v>
      </c>
      <c r="B554" s="3">
        <f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>0</v>
      </c>
      <c r="C554" s="3">
        <f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>0</v>
      </c>
      <c r="D554" s="3">
        <f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>0</v>
      </c>
      <c r="H554">
        <v>0</v>
      </c>
      <c r="I554">
        <v>0</v>
      </c>
      <c r="J554">
        <v>0</v>
      </c>
      <c r="K554">
        <f>IF(L554,TRUE,AND(O554:Q554))</f>
        <v>0</v>
      </c>
      <c r="L554">
        <f>COUNTBLANK(Metadata!B554:D554)=COLUMNS(Metadata!B554:D554)</f>
        <v>0</v>
      </c>
      <c r="M554">
        <v>0</v>
      </c>
      <c r="O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>
        <f>AND(IF(Metadata!C554="",FALSE,TRUE),exact(Metadata!C554,"rat metagenome"))</f>
        <v>0</v>
      </c>
      <c r="Q554">
        <f>AND(IF(Metadata!D554="",FALSE,TRUE),exact(Metadata!D554,"1427740"))</f>
        <v>0</v>
      </c>
    </row>
    <row r="555" spans="1:17">
      <c r="A555" s="4">
        <f>IF(B555=" "," ",HYPERLINK(CONCATENATE("#metadata!",ADDRESS(INDEX($J$2:$J$1001,MATCH(ROWS($H$2:H555),$H$2:$H$1001,0),0),1)),INDEX($M$2:$M$1001,MATCH(ROWS($H$2:H555),$H$2:$H$1001,0),0)))</f>
        <v>0</v>
      </c>
      <c r="B555" s="3">
        <f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>0</v>
      </c>
      <c r="C555" s="3">
        <f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>0</v>
      </c>
      <c r="D555" s="3">
        <f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>0</v>
      </c>
      <c r="H555">
        <v>0</v>
      </c>
      <c r="I555">
        <v>0</v>
      </c>
      <c r="J555">
        <v>0</v>
      </c>
      <c r="K555">
        <f>IF(L555,TRUE,AND(O555:Q555))</f>
        <v>0</v>
      </c>
      <c r="L555">
        <f>COUNTBLANK(Metadata!B555:D555)=COLUMNS(Metadata!B555:D555)</f>
        <v>0</v>
      </c>
      <c r="M555">
        <v>0</v>
      </c>
      <c r="O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>
        <f>AND(IF(Metadata!C555="",FALSE,TRUE),exact(Metadata!C555,"rat metagenome"))</f>
        <v>0</v>
      </c>
      <c r="Q555">
        <f>AND(IF(Metadata!D555="",FALSE,TRUE),exact(Metadata!D555,"1427740"))</f>
        <v>0</v>
      </c>
    </row>
    <row r="556" spans="1:17">
      <c r="A556" s="4">
        <f>IF(B556=" "," ",HYPERLINK(CONCATENATE("#metadata!",ADDRESS(INDEX($J$2:$J$1001,MATCH(ROWS($H$2:H556),$H$2:$H$1001,0),0),1)),INDEX($M$2:$M$1001,MATCH(ROWS($H$2:H556),$H$2:$H$1001,0),0)))</f>
        <v>0</v>
      </c>
      <c r="B556" s="3">
        <f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>0</v>
      </c>
      <c r="C556" s="3">
        <f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>0</v>
      </c>
      <c r="D556" s="3">
        <f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>0</v>
      </c>
      <c r="H556">
        <v>0</v>
      </c>
      <c r="I556">
        <v>0</v>
      </c>
      <c r="J556">
        <v>0</v>
      </c>
      <c r="K556">
        <f>IF(L556,TRUE,AND(O556:Q556))</f>
        <v>0</v>
      </c>
      <c r="L556">
        <f>COUNTBLANK(Metadata!B556:D556)=COLUMNS(Metadata!B556:D556)</f>
        <v>0</v>
      </c>
      <c r="M556">
        <v>0</v>
      </c>
      <c r="O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>
        <f>AND(IF(Metadata!C556="",FALSE,TRUE),exact(Metadata!C556,"rat metagenome"))</f>
        <v>0</v>
      </c>
      <c r="Q556">
        <f>AND(IF(Metadata!D556="",FALSE,TRUE),exact(Metadata!D556,"1427740"))</f>
        <v>0</v>
      </c>
    </row>
    <row r="557" spans="1:17">
      <c r="A557" s="4">
        <f>IF(B557=" "," ",HYPERLINK(CONCATENATE("#metadata!",ADDRESS(INDEX($J$2:$J$1001,MATCH(ROWS($H$2:H557),$H$2:$H$1001,0),0),1)),INDEX($M$2:$M$1001,MATCH(ROWS($H$2:H557),$H$2:$H$1001,0),0)))</f>
        <v>0</v>
      </c>
      <c r="B557" s="3">
        <f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>0</v>
      </c>
      <c r="C557" s="3">
        <f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>0</v>
      </c>
      <c r="D557" s="3">
        <f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>0</v>
      </c>
      <c r="H557">
        <v>0</v>
      </c>
      <c r="I557">
        <v>0</v>
      </c>
      <c r="J557">
        <v>0</v>
      </c>
      <c r="K557">
        <f>IF(L557,TRUE,AND(O557:Q557))</f>
        <v>0</v>
      </c>
      <c r="L557">
        <f>COUNTBLANK(Metadata!B557:D557)=COLUMNS(Metadata!B557:D557)</f>
        <v>0</v>
      </c>
      <c r="M557">
        <v>0</v>
      </c>
      <c r="O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>
        <f>AND(IF(Metadata!C557="",FALSE,TRUE),exact(Metadata!C557,"rat metagenome"))</f>
        <v>0</v>
      </c>
      <c r="Q557">
        <f>AND(IF(Metadata!D557="",FALSE,TRUE),exact(Metadata!D557,"1427740"))</f>
        <v>0</v>
      </c>
    </row>
    <row r="558" spans="1:17">
      <c r="A558" s="4">
        <f>IF(B558=" "," ",HYPERLINK(CONCATENATE("#metadata!",ADDRESS(INDEX($J$2:$J$1001,MATCH(ROWS($H$2:H558),$H$2:$H$1001,0),0),1)),INDEX($M$2:$M$1001,MATCH(ROWS($H$2:H558),$H$2:$H$1001,0),0)))</f>
        <v>0</v>
      </c>
      <c r="B558" s="3">
        <f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>0</v>
      </c>
      <c r="C558" s="3">
        <f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>0</v>
      </c>
      <c r="D558" s="3">
        <f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>0</v>
      </c>
      <c r="H558">
        <v>0</v>
      </c>
      <c r="I558">
        <v>0</v>
      </c>
      <c r="J558">
        <v>0</v>
      </c>
      <c r="K558">
        <f>IF(L558,TRUE,AND(O558:Q558))</f>
        <v>0</v>
      </c>
      <c r="L558">
        <f>COUNTBLANK(Metadata!B558:D558)=COLUMNS(Metadata!B558:D558)</f>
        <v>0</v>
      </c>
      <c r="M558">
        <v>0</v>
      </c>
      <c r="O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>
        <f>AND(IF(Metadata!C558="",FALSE,TRUE),exact(Metadata!C558,"rat metagenome"))</f>
        <v>0</v>
      </c>
      <c r="Q558">
        <f>AND(IF(Metadata!D558="",FALSE,TRUE),exact(Metadata!D558,"1427740"))</f>
        <v>0</v>
      </c>
    </row>
    <row r="559" spans="1:17">
      <c r="A559" s="4">
        <f>IF(B559=" "," ",HYPERLINK(CONCATENATE("#metadata!",ADDRESS(INDEX($J$2:$J$1001,MATCH(ROWS($H$2:H559),$H$2:$H$1001,0),0),1)),INDEX($M$2:$M$1001,MATCH(ROWS($H$2:H559),$H$2:$H$1001,0),0)))</f>
        <v>0</v>
      </c>
      <c r="B559" s="3">
        <f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>0</v>
      </c>
      <c r="C559" s="3">
        <f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>0</v>
      </c>
      <c r="D559" s="3">
        <f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>0</v>
      </c>
      <c r="H559">
        <v>0</v>
      </c>
      <c r="I559">
        <v>0</v>
      </c>
      <c r="J559">
        <v>0</v>
      </c>
      <c r="K559">
        <f>IF(L559,TRUE,AND(O559:Q559))</f>
        <v>0</v>
      </c>
      <c r="L559">
        <f>COUNTBLANK(Metadata!B559:D559)=COLUMNS(Metadata!B559:D559)</f>
        <v>0</v>
      </c>
      <c r="M559">
        <v>0</v>
      </c>
      <c r="O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>
        <f>AND(IF(Metadata!C559="",FALSE,TRUE),exact(Metadata!C559,"rat metagenome"))</f>
        <v>0</v>
      </c>
      <c r="Q559">
        <f>AND(IF(Metadata!D559="",FALSE,TRUE),exact(Metadata!D559,"1427740"))</f>
        <v>0</v>
      </c>
    </row>
    <row r="560" spans="1:17">
      <c r="A560" s="4">
        <f>IF(B560=" "," ",HYPERLINK(CONCATENATE("#metadata!",ADDRESS(INDEX($J$2:$J$1001,MATCH(ROWS($H$2:H560),$H$2:$H$1001,0),0),1)),INDEX($M$2:$M$1001,MATCH(ROWS($H$2:H560),$H$2:$H$1001,0),0)))</f>
        <v>0</v>
      </c>
      <c r="B560" s="3">
        <f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>0</v>
      </c>
      <c r="C560" s="3">
        <f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>0</v>
      </c>
      <c r="D560" s="3">
        <f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>0</v>
      </c>
      <c r="H560">
        <v>0</v>
      </c>
      <c r="I560">
        <v>0</v>
      </c>
      <c r="J560">
        <v>0</v>
      </c>
      <c r="K560">
        <f>IF(L560,TRUE,AND(O560:Q560))</f>
        <v>0</v>
      </c>
      <c r="L560">
        <f>COUNTBLANK(Metadata!B560:D560)=COLUMNS(Metadata!B560:D560)</f>
        <v>0</v>
      </c>
      <c r="M560">
        <v>0</v>
      </c>
      <c r="O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>
        <f>AND(IF(Metadata!C560="",FALSE,TRUE),exact(Metadata!C560,"rat metagenome"))</f>
        <v>0</v>
      </c>
      <c r="Q560">
        <f>AND(IF(Metadata!D560="",FALSE,TRUE),exact(Metadata!D560,"1427740"))</f>
        <v>0</v>
      </c>
    </row>
    <row r="561" spans="1:17">
      <c r="A561" s="4">
        <f>IF(B561=" "," ",HYPERLINK(CONCATENATE("#metadata!",ADDRESS(INDEX($J$2:$J$1001,MATCH(ROWS($H$2:H561),$H$2:$H$1001,0),0),1)),INDEX($M$2:$M$1001,MATCH(ROWS($H$2:H561),$H$2:$H$1001,0),0)))</f>
        <v>0</v>
      </c>
      <c r="B561" s="3">
        <f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>0</v>
      </c>
      <c r="C561" s="3">
        <f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>0</v>
      </c>
      <c r="D561" s="3">
        <f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>0</v>
      </c>
      <c r="H561">
        <v>0</v>
      </c>
      <c r="I561">
        <v>0</v>
      </c>
      <c r="J561">
        <v>0</v>
      </c>
      <c r="K561">
        <f>IF(L561,TRUE,AND(O561:Q561))</f>
        <v>0</v>
      </c>
      <c r="L561">
        <f>COUNTBLANK(Metadata!B561:D561)=COLUMNS(Metadata!B561:D561)</f>
        <v>0</v>
      </c>
      <c r="M561">
        <v>0</v>
      </c>
      <c r="O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>
        <f>AND(IF(Metadata!C561="",FALSE,TRUE),exact(Metadata!C561,"rat metagenome"))</f>
        <v>0</v>
      </c>
      <c r="Q561">
        <f>AND(IF(Metadata!D561="",FALSE,TRUE),exact(Metadata!D561,"1427740"))</f>
        <v>0</v>
      </c>
    </row>
    <row r="562" spans="1:17">
      <c r="A562" s="4">
        <f>IF(B562=" "," ",HYPERLINK(CONCATENATE("#metadata!",ADDRESS(INDEX($J$2:$J$1001,MATCH(ROWS($H$2:H562),$H$2:$H$1001,0),0),1)),INDEX($M$2:$M$1001,MATCH(ROWS($H$2:H562),$H$2:$H$1001,0),0)))</f>
        <v>0</v>
      </c>
      <c r="B562" s="3">
        <f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>0</v>
      </c>
      <c r="C562" s="3">
        <f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>0</v>
      </c>
      <c r="D562" s="3">
        <f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>0</v>
      </c>
      <c r="H562">
        <v>0</v>
      </c>
      <c r="I562">
        <v>0</v>
      </c>
      <c r="J562">
        <v>0</v>
      </c>
      <c r="K562">
        <f>IF(L562,TRUE,AND(O562:Q562))</f>
        <v>0</v>
      </c>
      <c r="L562">
        <f>COUNTBLANK(Metadata!B562:D562)=COLUMNS(Metadata!B562:D562)</f>
        <v>0</v>
      </c>
      <c r="M562">
        <v>0</v>
      </c>
      <c r="O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>
        <f>AND(IF(Metadata!C562="",FALSE,TRUE),exact(Metadata!C562,"rat metagenome"))</f>
        <v>0</v>
      </c>
      <c r="Q562">
        <f>AND(IF(Metadata!D562="",FALSE,TRUE),exact(Metadata!D562,"1427740"))</f>
        <v>0</v>
      </c>
    </row>
    <row r="563" spans="1:17">
      <c r="A563" s="4">
        <f>IF(B563=" "," ",HYPERLINK(CONCATENATE("#metadata!",ADDRESS(INDEX($J$2:$J$1001,MATCH(ROWS($H$2:H563),$H$2:$H$1001,0),0),1)),INDEX($M$2:$M$1001,MATCH(ROWS($H$2:H563),$H$2:$H$1001,0),0)))</f>
        <v>0</v>
      </c>
      <c r="B563" s="3">
        <f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>0</v>
      </c>
      <c r="C563" s="3">
        <f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>0</v>
      </c>
      <c r="D563" s="3">
        <f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>0</v>
      </c>
      <c r="H563">
        <v>0</v>
      </c>
      <c r="I563">
        <v>0</v>
      </c>
      <c r="J563">
        <v>0</v>
      </c>
      <c r="K563">
        <f>IF(L563,TRUE,AND(O563:Q563))</f>
        <v>0</v>
      </c>
      <c r="L563">
        <f>COUNTBLANK(Metadata!B563:D563)=COLUMNS(Metadata!B563:D563)</f>
        <v>0</v>
      </c>
      <c r="M563">
        <v>0</v>
      </c>
      <c r="O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>
        <f>AND(IF(Metadata!C563="",FALSE,TRUE),exact(Metadata!C563,"rat metagenome"))</f>
        <v>0</v>
      </c>
      <c r="Q563">
        <f>AND(IF(Metadata!D563="",FALSE,TRUE),exact(Metadata!D563,"1427740"))</f>
        <v>0</v>
      </c>
    </row>
    <row r="564" spans="1:17">
      <c r="A564" s="4">
        <f>IF(B564=" "," ",HYPERLINK(CONCATENATE("#metadata!",ADDRESS(INDEX($J$2:$J$1001,MATCH(ROWS($H$2:H564),$H$2:$H$1001,0),0),1)),INDEX($M$2:$M$1001,MATCH(ROWS($H$2:H564),$H$2:$H$1001,0),0)))</f>
        <v>0</v>
      </c>
      <c r="B564" s="3">
        <f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>0</v>
      </c>
      <c r="C564" s="3">
        <f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>0</v>
      </c>
      <c r="D564" s="3">
        <f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>0</v>
      </c>
      <c r="H564">
        <v>0</v>
      </c>
      <c r="I564">
        <v>0</v>
      </c>
      <c r="J564">
        <v>0</v>
      </c>
      <c r="K564">
        <f>IF(L564,TRUE,AND(O564:Q564))</f>
        <v>0</v>
      </c>
      <c r="L564">
        <f>COUNTBLANK(Metadata!B564:D564)=COLUMNS(Metadata!B564:D564)</f>
        <v>0</v>
      </c>
      <c r="M564">
        <v>0</v>
      </c>
      <c r="O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>
        <f>AND(IF(Metadata!C564="",FALSE,TRUE),exact(Metadata!C564,"rat metagenome"))</f>
        <v>0</v>
      </c>
      <c r="Q564">
        <f>AND(IF(Metadata!D564="",FALSE,TRUE),exact(Metadata!D564,"1427740"))</f>
        <v>0</v>
      </c>
    </row>
    <row r="565" spans="1:17">
      <c r="A565" s="4">
        <f>IF(B565=" "," ",HYPERLINK(CONCATENATE("#metadata!",ADDRESS(INDEX($J$2:$J$1001,MATCH(ROWS($H$2:H565),$H$2:$H$1001,0),0),1)),INDEX($M$2:$M$1001,MATCH(ROWS($H$2:H565),$H$2:$H$1001,0),0)))</f>
        <v>0</v>
      </c>
      <c r="B565" s="3">
        <f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>0</v>
      </c>
      <c r="C565" s="3">
        <f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>0</v>
      </c>
      <c r="D565" s="3">
        <f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>0</v>
      </c>
      <c r="H565">
        <v>0</v>
      </c>
      <c r="I565">
        <v>0</v>
      </c>
      <c r="J565">
        <v>0</v>
      </c>
      <c r="K565">
        <f>IF(L565,TRUE,AND(O565:Q565))</f>
        <v>0</v>
      </c>
      <c r="L565">
        <f>COUNTBLANK(Metadata!B565:D565)=COLUMNS(Metadata!B565:D565)</f>
        <v>0</v>
      </c>
      <c r="M565">
        <v>0</v>
      </c>
      <c r="O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>
        <f>AND(IF(Metadata!C565="",FALSE,TRUE),exact(Metadata!C565,"rat metagenome"))</f>
        <v>0</v>
      </c>
      <c r="Q565">
        <f>AND(IF(Metadata!D565="",FALSE,TRUE),exact(Metadata!D565,"1427740"))</f>
        <v>0</v>
      </c>
    </row>
    <row r="566" spans="1:17">
      <c r="A566" s="4">
        <f>IF(B566=" "," ",HYPERLINK(CONCATENATE("#metadata!",ADDRESS(INDEX($J$2:$J$1001,MATCH(ROWS($H$2:H566),$H$2:$H$1001,0),0),1)),INDEX($M$2:$M$1001,MATCH(ROWS($H$2:H566),$H$2:$H$1001,0),0)))</f>
        <v>0</v>
      </c>
      <c r="B566" s="3">
        <f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>0</v>
      </c>
      <c r="C566" s="3">
        <f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>0</v>
      </c>
      <c r="D566" s="3">
        <f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>0</v>
      </c>
      <c r="H566">
        <v>0</v>
      </c>
      <c r="I566">
        <v>0</v>
      </c>
      <c r="J566">
        <v>0</v>
      </c>
      <c r="K566">
        <f>IF(L566,TRUE,AND(O566:Q566))</f>
        <v>0</v>
      </c>
      <c r="L566">
        <f>COUNTBLANK(Metadata!B566:D566)=COLUMNS(Metadata!B566:D566)</f>
        <v>0</v>
      </c>
      <c r="M566">
        <v>0</v>
      </c>
      <c r="O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>
        <f>AND(IF(Metadata!C566="",FALSE,TRUE),exact(Metadata!C566,"rat metagenome"))</f>
        <v>0</v>
      </c>
      <c r="Q566">
        <f>AND(IF(Metadata!D566="",FALSE,TRUE),exact(Metadata!D566,"1427740"))</f>
        <v>0</v>
      </c>
    </row>
    <row r="567" spans="1:17">
      <c r="A567" s="4">
        <f>IF(B567=" "," ",HYPERLINK(CONCATENATE("#metadata!",ADDRESS(INDEX($J$2:$J$1001,MATCH(ROWS($H$2:H567),$H$2:$H$1001,0),0),1)),INDEX($M$2:$M$1001,MATCH(ROWS($H$2:H567),$H$2:$H$1001,0),0)))</f>
        <v>0</v>
      </c>
      <c r="B567" s="3">
        <f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>0</v>
      </c>
      <c r="C567" s="3">
        <f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>0</v>
      </c>
      <c r="D567" s="3">
        <f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>0</v>
      </c>
      <c r="H567">
        <v>0</v>
      </c>
      <c r="I567">
        <v>0</v>
      </c>
      <c r="J567">
        <v>0</v>
      </c>
      <c r="K567">
        <f>IF(L567,TRUE,AND(O567:Q567))</f>
        <v>0</v>
      </c>
      <c r="L567">
        <f>COUNTBLANK(Metadata!B567:D567)=COLUMNS(Metadata!B567:D567)</f>
        <v>0</v>
      </c>
      <c r="M567">
        <v>0</v>
      </c>
      <c r="O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>
        <f>AND(IF(Metadata!C567="",FALSE,TRUE),exact(Metadata!C567,"rat metagenome"))</f>
        <v>0</v>
      </c>
      <c r="Q567">
        <f>AND(IF(Metadata!D567="",FALSE,TRUE),exact(Metadata!D567,"1427740"))</f>
        <v>0</v>
      </c>
    </row>
    <row r="568" spans="1:17">
      <c r="A568" s="4">
        <f>IF(B568=" "," ",HYPERLINK(CONCATENATE("#metadata!",ADDRESS(INDEX($J$2:$J$1001,MATCH(ROWS($H$2:H568),$H$2:$H$1001,0),0),1)),INDEX($M$2:$M$1001,MATCH(ROWS($H$2:H568),$H$2:$H$1001,0),0)))</f>
        <v>0</v>
      </c>
      <c r="B568" s="3">
        <f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>0</v>
      </c>
      <c r="C568" s="3">
        <f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>0</v>
      </c>
      <c r="D568" s="3">
        <f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>0</v>
      </c>
      <c r="H568">
        <v>0</v>
      </c>
      <c r="I568">
        <v>0</v>
      </c>
      <c r="J568">
        <v>0</v>
      </c>
      <c r="K568">
        <f>IF(L568,TRUE,AND(O568:Q568))</f>
        <v>0</v>
      </c>
      <c r="L568">
        <f>COUNTBLANK(Metadata!B568:D568)=COLUMNS(Metadata!B568:D568)</f>
        <v>0</v>
      </c>
      <c r="M568">
        <v>0</v>
      </c>
      <c r="O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>
        <f>AND(IF(Metadata!C568="",FALSE,TRUE),exact(Metadata!C568,"rat metagenome"))</f>
        <v>0</v>
      </c>
      <c r="Q568">
        <f>AND(IF(Metadata!D568="",FALSE,TRUE),exact(Metadata!D568,"1427740"))</f>
        <v>0</v>
      </c>
    </row>
    <row r="569" spans="1:17">
      <c r="A569" s="4">
        <f>IF(B569=" "," ",HYPERLINK(CONCATENATE("#metadata!",ADDRESS(INDEX($J$2:$J$1001,MATCH(ROWS($H$2:H569),$H$2:$H$1001,0),0),1)),INDEX($M$2:$M$1001,MATCH(ROWS($H$2:H569),$H$2:$H$1001,0),0)))</f>
        <v>0</v>
      </c>
      <c r="B569" s="3">
        <f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>0</v>
      </c>
      <c r="C569" s="3">
        <f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>0</v>
      </c>
      <c r="D569" s="3">
        <f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>0</v>
      </c>
      <c r="H569">
        <v>0</v>
      </c>
      <c r="I569">
        <v>0</v>
      </c>
      <c r="J569">
        <v>0</v>
      </c>
      <c r="K569">
        <f>IF(L569,TRUE,AND(O569:Q569))</f>
        <v>0</v>
      </c>
      <c r="L569">
        <f>COUNTBLANK(Metadata!B569:D569)=COLUMNS(Metadata!B569:D569)</f>
        <v>0</v>
      </c>
      <c r="M569">
        <v>0</v>
      </c>
      <c r="O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>
        <f>AND(IF(Metadata!C569="",FALSE,TRUE),exact(Metadata!C569,"rat metagenome"))</f>
        <v>0</v>
      </c>
      <c r="Q569">
        <f>AND(IF(Metadata!D569="",FALSE,TRUE),exact(Metadata!D569,"1427740"))</f>
        <v>0</v>
      </c>
    </row>
    <row r="570" spans="1:17">
      <c r="A570" s="4">
        <f>IF(B570=" "," ",HYPERLINK(CONCATENATE("#metadata!",ADDRESS(INDEX($J$2:$J$1001,MATCH(ROWS($H$2:H570),$H$2:$H$1001,0),0),1)),INDEX($M$2:$M$1001,MATCH(ROWS($H$2:H570),$H$2:$H$1001,0),0)))</f>
        <v>0</v>
      </c>
      <c r="B570" s="3">
        <f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>0</v>
      </c>
      <c r="C570" s="3">
        <f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>0</v>
      </c>
      <c r="D570" s="3">
        <f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>0</v>
      </c>
      <c r="H570">
        <v>0</v>
      </c>
      <c r="I570">
        <v>0</v>
      </c>
      <c r="J570">
        <v>0</v>
      </c>
      <c r="K570">
        <f>IF(L570,TRUE,AND(O570:Q570))</f>
        <v>0</v>
      </c>
      <c r="L570">
        <f>COUNTBLANK(Metadata!B570:D570)=COLUMNS(Metadata!B570:D570)</f>
        <v>0</v>
      </c>
      <c r="M570">
        <v>0</v>
      </c>
      <c r="O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>
        <f>AND(IF(Metadata!C570="",FALSE,TRUE),exact(Metadata!C570,"rat metagenome"))</f>
        <v>0</v>
      </c>
      <c r="Q570">
        <f>AND(IF(Metadata!D570="",FALSE,TRUE),exact(Metadata!D570,"1427740"))</f>
        <v>0</v>
      </c>
    </row>
    <row r="571" spans="1:17">
      <c r="A571" s="4">
        <f>IF(B571=" "," ",HYPERLINK(CONCATENATE("#metadata!",ADDRESS(INDEX($J$2:$J$1001,MATCH(ROWS($H$2:H571),$H$2:$H$1001,0),0),1)),INDEX($M$2:$M$1001,MATCH(ROWS($H$2:H571),$H$2:$H$1001,0),0)))</f>
        <v>0</v>
      </c>
      <c r="B571" s="3">
        <f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>0</v>
      </c>
      <c r="C571" s="3">
        <f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>0</v>
      </c>
      <c r="D571" s="3">
        <f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>0</v>
      </c>
      <c r="H571">
        <v>0</v>
      </c>
      <c r="I571">
        <v>0</v>
      </c>
      <c r="J571">
        <v>0</v>
      </c>
      <c r="K571">
        <f>IF(L571,TRUE,AND(O571:Q571))</f>
        <v>0</v>
      </c>
      <c r="L571">
        <f>COUNTBLANK(Metadata!B571:D571)=COLUMNS(Metadata!B571:D571)</f>
        <v>0</v>
      </c>
      <c r="M571">
        <v>0</v>
      </c>
      <c r="O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>
        <f>AND(IF(Metadata!C571="",FALSE,TRUE),exact(Metadata!C571,"rat metagenome"))</f>
        <v>0</v>
      </c>
      <c r="Q571">
        <f>AND(IF(Metadata!D571="",FALSE,TRUE),exact(Metadata!D571,"1427740"))</f>
        <v>0</v>
      </c>
    </row>
    <row r="572" spans="1:17">
      <c r="A572" s="4">
        <f>IF(B572=" "," ",HYPERLINK(CONCATENATE("#metadata!",ADDRESS(INDEX($J$2:$J$1001,MATCH(ROWS($H$2:H572),$H$2:$H$1001,0),0),1)),INDEX($M$2:$M$1001,MATCH(ROWS($H$2:H572),$H$2:$H$1001,0),0)))</f>
        <v>0</v>
      </c>
      <c r="B572" s="3">
        <f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>0</v>
      </c>
      <c r="C572" s="3">
        <f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>0</v>
      </c>
      <c r="D572" s="3">
        <f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>0</v>
      </c>
      <c r="H572">
        <v>0</v>
      </c>
      <c r="I572">
        <v>0</v>
      </c>
      <c r="J572">
        <v>0</v>
      </c>
      <c r="K572">
        <f>IF(L572,TRUE,AND(O572:Q572))</f>
        <v>0</v>
      </c>
      <c r="L572">
        <f>COUNTBLANK(Metadata!B572:D572)=COLUMNS(Metadata!B572:D572)</f>
        <v>0</v>
      </c>
      <c r="M572">
        <v>0</v>
      </c>
      <c r="O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>
        <f>AND(IF(Metadata!C572="",FALSE,TRUE),exact(Metadata!C572,"rat metagenome"))</f>
        <v>0</v>
      </c>
      <c r="Q572">
        <f>AND(IF(Metadata!D572="",FALSE,TRUE),exact(Metadata!D572,"1427740"))</f>
        <v>0</v>
      </c>
    </row>
    <row r="573" spans="1:17">
      <c r="A573" s="4">
        <f>IF(B573=" "," ",HYPERLINK(CONCATENATE("#metadata!",ADDRESS(INDEX($J$2:$J$1001,MATCH(ROWS($H$2:H573),$H$2:$H$1001,0),0),1)),INDEX($M$2:$M$1001,MATCH(ROWS($H$2:H573),$H$2:$H$1001,0),0)))</f>
        <v>0</v>
      </c>
      <c r="B573" s="3">
        <f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>0</v>
      </c>
      <c r="C573" s="3">
        <f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>0</v>
      </c>
      <c r="D573" s="3">
        <f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>0</v>
      </c>
      <c r="H573">
        <v>0</v>
      </c>
      <c r="I573">
        <v>0</v>
      </c>
      <c r="J573">
        <v>0</v>
      </c>
      <c r="K573">
        <f>IF(L573,TRUE,AND(O573:Q573))</f>
        <v>0</v>
      </c>
      <c r="L573">
        <f>COUNTBLANK(Metadata!B573:D573)=COLUMNS(Metadata!B573:D573)</f>
        <v>0</v>
      </c>
      <c r="M573">
        <v>0</v>
      </c>
      <c r="O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>
        <f>AND(IF(Metadata!C573="",FALSE,TRUE),exact(Metadata!C573,"rat metagenome"))</f>
        <v>0</v>
      </c>
      <c r="Q573">
        <f>AND(IF(Metadata!D573="",FALSE,TRUE),exact(Metadata!D573,"1427740"))</f>
        <v>0</v>
      </c>
    </row>
    <row r="574" spans="1:17">
      <c r="A574" s="4">
        <f>IF(B574=" "," ",HYPERLINK(CONCATENATE("#metadata!",ADDRESS(INDEX($J$2:$J$1001,MATCH(ROWS($H$2:H574),$H$2:$H$1001,0),0),1)),INDEX($M$2:$M$1001,MATCH(ROWS($H$2:H574),$H$2:$H$1001,0),0)))</f>
        <v>0</v>
      </c>
      <c r="B574" s="3">
        <f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>0</v>
      </c>
      <c r="C574" s="3">
        <f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>0</v>
      </c>
      <c r="D574" s="3">
        <f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>0</v>
      </c>
      <c r="H574">
        <v>0</v>
      </c>
      <c r="I574">
        <v>0</v>
      </c>
      <c r="J574">
        <v>0</v>
      </c>
      <c r="K574">
        <f>IF(L574,TRUE,AND(O574:Q574))</f>
        <v>0</v>
      </c>
      <c r="L574">
        <f>COUNTBLANK(Metadata!B574:D574)=COLUMNS(Metadata!B574:D574)</f>
        <v>0</v>
      </c>
      <c r="M574">
        <v>0</v>
      </c>
      <c r="O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>
        <f>AND(IF(Metadata!C574="",FALSE,TRUE),exact(Metadata!C574,"rat metagenome"))</f>
        <v>0</v>
      </c>
      <c r="Q574">
        <f>AND(IF(Metadata!D574="",FALSE,TRUE),exact(Metadata!D574,"1427740"))</f>
        <v>0</v>
      </c>
    </row>
    <row r="575" spans="1:17">
      <c r="A575" s="4">
        <f>IF(B575=" "," ",HYPERLINK(CONCATENATE("#metadata!",ADDRESS(INDEX($J$2:$J$1001,MATCH(ROWS($H$2:H575),$H$2:$H$1001,0),0),1)),INDEX($M$2:$M$1001,MATCH(ROWS($H$2:H575),$H$2:$H$1001,0),0)))</f>
        <v>0</v>
      </c>
      <c r="B575" s="3">
        <f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>0</v>
      </c>
      <c r="C575" s="3">
        <f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>0</v>
      </c>
      <c r="D575" s="3">
        <f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>0</v>
      </c>
      <c r="H575">
        <v>0</v>
      </c>
      <c r="I575">
        <v>0</v>
      </c>
      <c r="J575">
        <v>0</v>
      </c>
      <c r="K575">
        <f>IF(L575,TRUE,AND(O575:Q575))</f>
        <v>0</v>
      </c>
      <c r="L575">
        <f>COUNTBLANK(Metadata!B575:D575)=COLUMNS(Metadata!B575:D575)</f>
        <v>0</v>
      </c>
      <c r="M575">
        <v>0</v>
      </c>
      <c r="O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>
        <f>AND(IF(Metadata!C575="",FALSE,TRUE),exact(Metadata!C575,"rat metagenome"))</f>
        <v>0</v>
      </c>
      <c r="Q575">
        <f>AND(IF(Metadata!D575="",FALSE,TRUE),exact(Metadata!D575,"1427740"))</f>
        <v>0</v>
      </c>
    </row>
    <row r="576" spans="1:17">
      <c r="A576" s="4">
        <f>IF(B576=" "," ",HYPERLINK(CONCATENATE("#metadata!",ADDRESS(INDEX($J$2:$J$1001,MATCH(ROWS($H$2:H576),$H$2:$H$1001,0),0),1)),INDEX($M$2:$M$1001,MATCH(ROWS($H$2:H576),$H$2:$H$1001,0),0)))</f>
        <v>0</v>
      </c>
      <c r="B576" s="3">
        <f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>0</v>
      </c>
      <c r="C576" s="3">
        <f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>0</v>
      </c>
      <c r="D576" s="3">
        <f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>0</v>
      </c>
      <c r="H576">
        <v>0</v>
      </c>
      <c r="I576">
        <v>0</v>
      </c>
      <c r="J576">
        <v>0</v>
      </c>
      <c r="K576">
        <f>IF(L576,TRUE,AND(O576:Q576))</f>
        <v>0</v>
      </c>
      <c r="L576">
        <f>COUNTBLANK(Metadata!B576:D576)=COLUMNS(Metadata!B576:D576)</f>
        <v>0</v>
      </c>
      <c r="M576">
        <v>0</v>
      </c>
      <c r="O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>
        <f>AND(IF(Metadata!C576="",FALSE,TRUE),exact(Metadata!C576,"rat metagenome"))</f>
        <v>0</v>
      </c>
      <c r="Q576">
        <f>AND(IF(Metadata!D576="",FALSE,TRUE),exact(Metadata!D576,"1427740"))</f>
        <v>0</v>
      </c>
    </row>
    <row r="577" spans="1:17">
      <c r="A577" s="4">
        <f>IF(B577=" "," ",HYPERLINK(CONCATENATE("#metadata!",ADDRESS(INDEX($J$2:$J$1001,MATCH(ROWS($H$2:H577),$H$2:$H$1001,0),0),1)),INDEX($M$2:$M$1001,MATCH(ROWS($H$2:H577),$H$2:$H$1001,0),0)))</f>
        <v>0</v>
      </c>
      <c r="B577" s="3">
        <f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>0</v>
      </c>
      <c r="C577" s="3">
        <f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>0</v>
      </c>
      <c r="D577" s="3">
        <f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>0</v>
      </c>
      <c r="H577">
        <v>0</v>
      </c>
      <c r="I577">
        <v>0</v>
      </c>
      <c r="J577">
        <v>0</v>
      </c>
      <c r="K577">
        <f>IF(L577,TRUE,AND(O577:Q577))</f>
        <v>0</v>
      </c>
      <c r="L577">
        <f>COUNTBLANK(Metadata!B577:D577)=COLUMNS(Metadata!B577:D577)</f>
        <v>0</v>
      </c>
      <c r="M577">
        <v>0</v>
      </c>
      <c r="O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>
        <f>AND(IF(Metadata!C577="",FALSE,TRUE),exact(Metadata!C577,"rat metagenome"))</f>
        <v>0</v>
      </c>
      <c r="Q577">
        <f>AND(IF(Metadata!D577="",FALSE,TRUE),exact(Metadata!D577,"1427740"))</f>
        <v>0</v>
      </c>
    </row>
    <row r="578" spans="1:17">
      <c r="A578" s="4">
        <f>IF(B578=" "," ",HYPERLINK(CONCATENATE("#metadata!",ADDRESS(INDEX($J$2:$J$1001,MATCH(ROWS($H$2:H578),$H$2:$H$1001,0),0),1)),INDEX($M$2:$M$1001,MATCH(ROWS($H$2:H578),$H$2:$H$1001,0),0)))</f>
        <v>0</v>
      </c>
      <c r="B578" s="3">
        <f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>0</v>
      </c>
      <c r="C578" s="3">
        <f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>0</v>
      </c>
      <c r="D578" s="3">
        <f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>0</v>
      </c>
      <c r="H578">
        <v>0</v>
      </c>
      <c r="I578">
        <v>0</v>
      </c>
      <c r="J578">
        <v>0</v>
      </c>
      <c r="K578">
        <f>IF(L578,TRUE,AND(O578:Q578))</f>
        <v>0</v>
      </c>
      <c r="L578">
        <f>COUNTBLANK(Metadata!B578:D578)=COLUMNS(Metadata!B578:D578)</f>
        <v>0</v>
      </c>
      <c r="M578">
        <v>0</v>
      </c>
      <c r="O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>
        <f>AND(IF(Metadata!C578="",FALSE,TRUE),exact(Metadata!C578,"rat metagenome"))</f>
        <v>0</v>
      </c>
      <c r="Q578">
        <f>AND(IF(Metadata!D578="",FALSE,TRUE),exact(Metadata!D578,"1427740"))</f>
        <v>0</v>
      </c>
    </row>
    <row r="579" spans="1:17">
      <c r="A579" s="4">
        <f>IF(B579=" "," ",HYPERLINK(CONCATENATE("#metadata!",ADDRESS(INDEX($J$2:$J$1001,MATCH(ROWS($H$2:H579),$H$2:$H$1001,0),0),1)),INDEX($M$2:$M$1001,MATCH(ROWS($H$2:H579),$H$2:$H$1001,0),0)))</f>
        <v>0</v>
      </c>
      <c r="B579" s="3">
        <f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>0</v>
      </c>
      <c r="C579" s="3">
        <f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>0</v>
      </c>
      <c r="D579" s="3">
        <f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>0</v>
      </c>
      <c r="H579">
        <v>0</v>
      </c>
      <c r="I579">
        <v>0</v>
      </c>
      <c r="J579">
        <v>0</v>
      </c>
      <c r="K579">
        <f>IF(L579,TRUE,AND(O579:Q579))</f>
        <v>0</v>
      </c>
      <c r="L579">
        <f>COUNTBLANK(Metadata!B579:D579)=COLUMNS(Metadata!B579:D579)</f>
        <v>0</v>
      </c>
      <c r="M579">
        <v>0</v>
      </c>
      <c r="O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>
        <f>AND(IF(Metadata!C579="",FALSE,TRUE),exact(Metadata!C579,"rat metagenome"))</f>
        <v>0</v>
      </c>
      <c r="Q579">
        <f>AND(IF(Metadata!D579="",FALSE,TRUE),exact(Metadata!D579,"1427740"))</f>
        <v>0</v>
      </c>
    </row>
    <row r="580" spans="1:17">
      <c r="A580" s="4">
        <f>IF(B580=" "," ",HYPERLINK(CONCATENATE("#metadata!",ADDRESS(INDEX($J$2:$J$1001,MATCH(ROWS($H$2:H580),$H$2:$H$1001,0),0),1)),INDEX($M$2:$M$1001,MATCH(ROWS($H$2:H580),$H$2:$H$1001,0),0)))</f>
        <v>0</v>
      </c>
      <c r="B580" s="3">
        <f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>0</v>
      </c>
      <c r="C580" s="3">
        <f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>0</v>
      </c>
      <c r="D580" s="3">
        <f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>0</v>
      </c>
      <c r="H580">
        <v>0</v>
      </c>
      <c r="I580">
        <v>0</v>
      </c>
      <c r="J580">
        <v>0</v>
      </c>
      <c r="K580">
        <f>IF(L580,TRUE,AND(O580:Q580))</f>
        <v>0</v>
      </c>
      <c r="L580">
        <f>COUNTBLANK(Metadata!B580:D580)=COLUMNS(Metadata!B580:D580)</f>
        <v>0</v>
      </c>
      <c r="M580">
        <v>0</v>
      </c>
      <c r="O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>
        <f>AND(IF(Metadata!C580="",FALSE,TRUE),exact(Metadata!C580,"rat metagenome"))</f>
        <v>0</v>
      </c>
      <c r="Q580">
        <f>AND(IF(Metadata!D580="",FALSE,TRUE),exact(Metadata!D580,"1427740"))</f>
        <v>0</v>
      </c>
    </row>
    <row r="581" spans="1:17">
      <c r="A581" s="4">
        <f>IF(B581=" "," ",HYPERLINK(CONCATENATE("#metadata!",ADDRESS(INDEX($J$2:$J$1001,MATCH(ROWS($H$2:H581),$H$2:$H$1001,0),0),1)),INDEX($M$2:$M$1001,MATCH(ROWS($H$2:H581),$H$2:$H$1001,0),0)))</f>
        <v>0</v>
      </c>
      <c r="B581" s="3">
        <f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>0</v>
      </c>
      <c r="C581" s="3">
        <f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>0</v>
      </c>
      <c r="D581" s="3">
        <f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>0</v>
      </c>
      <c r="H581">
        <v>0</v>
      </c>
      <c r="I581">
        <v>0</v>
      </c>
      <c r="J581">
        <v>0</v>
      </c>
      <c r="K581">
        <f>IF(L581,TRUE,AND(O581:Q581))</f>
        <v>0</v>
      </c>
      <c r="L581">
        <f>COUNTBLANK(Metadata!B581:D581)=COLUMNS(Metadata!B581:D581)</f>
        <v>0</v>
      </c>
      <c r="M581">
        <v>0</v>
      </c>
      <c r="O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>
        <f>AND(IF(Metadata!C581="",FALSE,TRUE),exact(Metadata!C581,"rat metagenome"))</f>
        <v>0</v>
      </c>
      <c r="Q581">
        <f>AND(IF(Metadata!D581="",FALSE,TRUE),exact(Metadata!D581,"1427740"))</f>
        <v>0</v>
      </c>
    </row>
    <row r="582" spans="1:17">
      <c r="A582" s="4">
        <f>IF(B582=" "," ",HYPERLINK(CONCATENATE("#metadata!",ADDRESS(INDEX($J$2:$J$1001,MATCH(ROWS($H$2:H582),$H$2:$H$1001,0),0),1)),INDEX($M$2:$M$1001,MATCH(ROWS($H$2:H582),$H$2:$H$1001,0),0)))</f>
        <v>0</v>
      </c>
      <c r="B582" s="3">
        <f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>0</v>
      </c>
      <c r="C582" s="3">
        <f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>0</v>
      </c>
      <c r="D582" s="3">
        <f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>0</v>
      </c>
      <c r="H582">
        <v>0</v>
      </c>
      <c r="I582">
        <v>0</v>
      </c>
      <c r="J582">
        <v>0</v>
      </c>
      <c r="K582">
        <f>IF(L582,TRUE,AND(O582:Q582))</f>
        <v>0</v>
      </c>
      <c r="L582">
        <f>COUNTBLANK(Metadata!B582:D582)=COLUMNS(Metadata!B582:D582)</f>
        <v>0</v>
      </c>
      <c r="M582">
        <v>0</v>
      </c>
      <c r="O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>
        <f>AND(IF(Metadata!C582="",FALSE,TRUE),exact(Metadata!C582,"rat metagenome"))</f>
        <v>0</v>
      </c>
      <c r="Q582">
        <f>AND(IF(Metadata!D582="",FALSE,TRUE),exact(Metadata!D582,"1427740"))</f>
        <v>0</v>
      </c>
    </row>
    <row r="583" spans="1:17">
      <c r="A583" s="4">
        <f>IF(B583=" "," ",HYPERLINK(CONCATENATE("#metadata!",ADDRESS(INDEX($J$2:$J$1001,MATCH(ROWS($H$2:H583),$H$2:$H$1001,0),0),1)),INDEX($M$2:$M$1001,MATCH(ROWS($H$2:H583),$H$2:$H$1001,0),0)))</f>
        <v>0</v>
      </c>
      <c r="B583" s="3">
        <f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>0</v>
      </c>
      <c r="C583" s="3">
        <f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>0</v>
      </c>
      <c r="D583" s="3">
        <f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>0</v>
      </c>
      <c r="H583">
        <v>0</v>
      </c>
      <c r="I583">
        <v>0</v>
      </c>
      <c r="J583">
        <v>0</v>
      </c>
      <c r="K583">
        <f>IF(L583,TRUE,AND(O583:Q583))</f>
        <v>0</v>
      </c>
      <c r="L583">
        <f>COUNTBLANK(Metadata!B583:D583)=COLUMNS(Metadata!B583:D583)</f>
        <v>0</v>
      </c>
      <c r="M583">
        <v>0</v>
      </c>
      <c r="O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>
        <f>AND(IF(Metadata!C583="",FALSE,TRUE),exact(Metadata!C583,"rat metagenome"))</f>
        <v>0</v>
      </c>
      <c r="Q583">
        <f>AND(IF(Metadata!D583="",FALSE,TRUE),exact(Metadata!D583,"1427740"))</f>
        <v>0</v>
      </c>
    </row>
    <row r="584" spans="1:17">
      <c r="A584" s="4">
        <f>IF(B584=" "," ",HYPERLINK(CONCATENATE("#metadata!",ADDRESS(INDEX($J$2:$J$1001,MATCH(ROWS($H$2:H584),$H$2:$H$1001,0),0),1)),INDEX($M$2:$M$1001,MATCH(ROWS($H$2:H584),$H$2:$H$1001,0),0)))</f>
        <v>0</v>
      </c>
      <c r="B584" s="3">
        <f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>0</v>
      </c>
      <c r="C584" s="3">
        <f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>0</v>
      </c>
      <c r="D584" s="3">
        <f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>0</v>
      </c>
      <c r="H584">
        <v>0</v>
      </c>
      <c r="I584">
        <v>0</v>
      </c>
      <c r="J584">
        <v>0</v>
      </c>
      <c r="K584">
        <f>IF(L584,TRUE,AND(O584:Q584))</f>
        <v>0</v>
      </c>
      <c r="L584">
        <f>COUNTBLANK(Metadata!B584:D584)=COLUMNS(Metadata!B584:D584)</f>
        <v>0</v>
      </c>
      <c r="M584">
        <v>0</v>
      </c>
      <c r="O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>
        <f>AND(IF(Metadata!C584="",FALSE,TRUE),exact(Metadata!C584,"rat metagenome"))</f>
        <v>0</v>
      </c>
      <c r="Q584">
        <f>AND(IF(Metadata!D584="",FALSE,TRUE),exact(Metadata!D584,"1427740"))</f>
        <v>0</v>
      </c>
    </row>
    <row r="585" spans="1:17">
      <c r="A585" s="4">
        <f>IF(B585=" "," ",HYPERLINK(CONCATENATE("#metadata!",ADDRESS(INDEX($J$2:$J$1001,MATCH(ROWS($H$2:H585),$H$2:$H$1001,0),0),1)),INDEX($M$2:$M$1001,MATCH(ROWS($H$2:H585),$H$2:$H$1001,0),0)))</f>
        <v>0</v>
      </c>
      <c r="B585" s="3">
        <f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>0</v>
      </c>
      <c r="C585" s="3">
        <f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>0</v>
      </c>
      <c r="D585" s="3">
        <f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>0</v>
      </c>
      <c r="H585">
        <v>0</v>
      </c>
      <c r="I585">
        <v>0</v>
      </c>
      <c r="J585">
        <v>0</v>
      </c>
      <c r="K585">
        <f>IF(L585,TRUE,AND(O585:Q585))</f>
        <v>0</v>
      </c>
      <c r="L585">
        <f>COUNTBLANK(Metadata!B585:D585)=COLUMNS(Metadata!B585:D585)</f>
        <v>0</v>
      </c>
      <c r="M585">
        <v>0</v>
      </c>
      <c r="O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>
        <f>AND(IF(Metadata!C585="",FALSE,TRUE),exact(Metadata!C585,"rat metagenome"))</f>
        <v>0</v>
      </c>
      <c r="Q585">
        <f>AND(IF(Metadata!D585="",FALSE,TRUE),exact(Metadata!D585,"1427740"))</f>
        <v>0</v>
      </c>
    </row>
    <row r="586" spans="1:17">
      <c r="A586" s="4">
        <f>IF(B586=" "," ",HYPERLINK(CONCATENATE("#metadata!",ADDRESS(INDEX($J$2:$J$1001,MATCH(ROWS($H$2:H586),$H$2:$H$1001,0),0),1)),INDEX($M$2:$M$1001,MATCH(ROWS($H$2:H586),$H$2:$H$1001,0),0)))</f>
        <v>0</v>
      </c>
      <c r="B586" s="3">
        <f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>0</v>
      </c>
      <c r="C586" s="3">
        <f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>0</v>
      </c>
      <c r="D586" s="3">
        <f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>0</v>
      </c>
      <c r="H586">
        <v>0</v>
      </c>
      <c r="I586">
        <v>0</v>
      </c>
      <c r="J586">
        <v>0</v>
      </c>
      <c r="K586">
        <f>IF(L586,TRUE,AND(O586:Q586))</f>
        <v>0</v>
      </c>
      <c r="L586">
        <f>COUNTBLANK(Metadata!B586:D586)=COLUMNS(Metadata!B586:D586)</f>
        <v>0</v>
      </c>
      <c r="M586">
        <v>0</v>
      </c>
      <c r="O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>
        <f>AND(IF(Metadata!C586="",FALSE,TRUE),exact(Metadata!C586,"rat metagenome"))</f>
        <v>0</v>
      </c>
      <c r="Q586">
        <f>AND(IF(Metadata!D586="",FALSE,TRUE),exact(Metadata!D586,"1427740"))</f>
        <v>0</v>
      </c>
    </row>
    <row r="587" spans="1:17">
      <c r="A587" s="4">
        <f>IF(B587=" "," ",HYPERLINK(CONCATENATE("#metadata!",ADDRESS(INDEX($J$2:$J$1001,MATCH(ROWS($H$2:H587),$H$2:$H$1001,0),0),1)),INDEX($M$2:$M$1001,MATCH(ROWS($H$2:H587),$H$2:$H$1001,0),0)))</f>
        <v>0</v>
      </c>
      <c r="B587" s="3">
        <f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>0</v>
      </c>
      <c r="C587" s="3">
        <f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>0</v>
      </c>
      <c r="D587" s="3">
        <f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>0</v>
      </c>
      <c r="H587">
        <v>0</v>
      </c>
      <c r="I587">
        <v>0</v>
      </c>
      <c r="J587">
        <v>0</v>
      </c>
      <c r="K587">
        <f>IF(L587,TRUE,AND(O587:Q587))</f>
        <v>0</v>
      </c>
      <c r="L587">
        <f>COUNTBLANK(Metadata!B587:D587)=COLUMNS(Metadata!B587:D587)</f>
        <v>0</v>
      </c>
      <c r="M587">
        <v>0</v>
      </c>
      <c r="O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>
        <f>AND(IF(Metadata!C587="",FALSE,TRUE),exact(Metadata!C587,"rat metagenome"))</f>
        <v>0</v>
      </c>
      <c r="Q587">
        <f>AND(IF(Metadata!D587="",FALSE,TRUE),exact(Metadata!D587,"1427740"))</f>
        <v>0</v>
      </c>
    </row>
    <row r="588" spans="1:17">
      <c r="A588" s="4">
        <f>IF(B588=" "," ",HYPERLINK(CONCATENATE("#metadata!",ADDRESS(INDEX($J$2:$J$1001,MATCH(ROWS($H$2:H588),$H$2:$H$1001,0),0),1)),INDEX($M$2:$M$1001,MATCH(ROWS($H$2:H588),$H$2:$H$1001,0),0)))</f>
        <v>0</v>
      </c>
      <c r="B588" s="3">
        <f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>0</v>
      </c>
      <c r="C588" s="3">
        <f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>0</v>
      </c>
      <c r="D588" s="3">
        <f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>0</v>
      </c>
      <c r="H588">
        <v>0</v>
      </c>
      <c r="I588">
        <v>0</v>
      </c>
      <c r="J588">
        <v>0</v>
      </c>
      <c r="K588">
        <f>IF(L588,TRUE,AND(O588:Q588))</f>
        <v>0</v>
      </c>
      <c r="L588">
        <f>COUNTBLANK(Metadata!B588:D588)=COLUMNS(Metadata!B588:D588)</f>
        <v>0</v>
      </c>
      <c r="M588">
        <v>0</v>
      </c>
      <c r="O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>
        <f>AND(IF(Metadata!C588="",FALSE,TRUE),exact(Metadata!C588,"rat metagenome"))</f>
        <v>0</v>
      </c>
      <c r="Q588">
        <f>AND(IF(Metadata!D588="",FALSE,TRUE),exact(Metadata!D588,"1427740"))</f>
        <v>0</v>
      </c>
    </row>
    <row r="589" spans="1:17">
      <c r="A589" s="4">
        <f>IF(B589=" "," ",HYPERLINK(CONCATENATE("#metadata!",ADDRESS(INDEX($J$2:$J$1001,MATCH(ROWS($H$2:H589),$H$2:$H$1001,0),0),1)),INDEX($M$2:$M$1001,MATCH(ROWS($H$2:H589),$H$2:$H$1001,0),0)))</f>
        <v>0</v>
      </c>
      <c r="B589" s="3">
        <f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>0</v>
      </c>
      <c r="C589" s="3">
        <f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>0</v>
      </c>
      <c r="D589" s="3">
        <f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>0</v>
      </c>
      <c r="H589">
        <v>0</v>
      </c>
      <c r="I589">
        <v>0</v>
      </c>
      <c r="J589">
        <v>0</v>
      </c>
      <c r="K589">
        <f>IF(L589,TRUE,AND(O589:Q589))</f>
        <v>0</v>
      </c>
      <c r="L589">
        <f>COUNTBLANK(Metadata!B589:D589)=COLUMNS(Metadata!B589:D589)</f>
        <v>0</v>
      </c>
      <c r="M589">
        <v>0</v>
      </c>
      <c r="O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>
        <f>AND(IF(Metadata!C589="",FALSE,TRUE),exact(Metadata!C589,"rat metagenome"))</f>
        <v>0</v>
      </c>
      <c r="Q589">
        <f>AND(IF(Metadata!D589="",FALSE,TRUE),exact(Metadata!D589,"1427740"))</f>
        <v>0</v>
      </c>
    </row>
    <row r="590" spans="1:17">
      <c r="A590" s="4">
        <f>IF(B590=" "," ",HYPERLINK(CONCATENATE("#metadata!",ADDRESS(INDEX($J$2:$J$1001,MATCH(ROWS($H$2:H590),$H$2:$H$1001,0),0),1)),INDEX($M$2:$M$1001,MATCH(ROWS($H$2:H590),$H$2:$H$1001,0),0)))</f>
        <v>0</v>
      </c>
      <c r="B590" s="3">
        <f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>0</v>
      </c>
      <c r="C590" s="3">
        <f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>0</v>
      </c>
      <c r="D590" s="3">
        <f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>0</v>
      </c>
      <c r="H590">
        <v>0</v>
      </c>
      <c r="I590">
        <v>0</v>
      </c>
      <c r="J590">
        <v>0</v>
      </c>
      <c r="K590">
        <f>IF(L590,TRUE,AND(O590:Q590))</f>
        <v>0</v>
      </c>
      <c r="L590">
        <f>COUNTBLANK(Metadata!B590:D590)=COLUMNS(Metadata!B590:D590)</f>
        <v>0</v>
      </c>
      <c r="M590">
        <v>0</v>
      </c>
      <c r="O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>
        <f>AND(IF(Metadata!C590="",FALSE,TRUE),exact(Metadata!C590,"rat metagenome"))</f>
        <v>0</v>
      </c>
      <c r="Q590">
        <f>AND(IF(Metadata!D590="",FALSE,TRUE),exact(Metadata!D590,"1427740"))</f>
        <v>0</v>
      </c>
    </row>
    <row r="591" spans="1:17">
      <c r="A591" s="4">
        <f>IF(B591=" "," ",HYPERLINK(CONCATENATE("#metadata!",ADDRESS(INDEX($J$2:$J$1001,MATCH(ROWS($H$2:H591),$H$2:$H$1001,0),0),1)),INDEX($M$2:$M$1001,MATCH(ROWS($H$2:H591),$H$2:$H$1001,0),0)))</f>
        <v>0</v>
      </c>
      <c r="B591" s="3">
        <f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>0</v>
      </c>
      <c r="C591" s="3">
        <f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>0</v>
      </c>
      <c r="D591" s="3">
        <f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>0</v>
      </c>
      <c r="H591">
        <v>0</v>
      </c>
      <c r="I591">
        <v>0</v>
      </c>
      <c r="J591">
        <v>0</v>
      </c>
      <c r="K591">
        <f>IF(L591,TRUE,AND(O591:Q591))</f>
        <v>0</v>
      </c>
      <c r="L591">
        <f>COUNTBLANK(Metadata!B591:D591)=COLUMNS(Metadata!B591:D591)</f>
        <v>0</v>
      </c>
      <c r="M591">
        <v>0</v>
      </c>
      <c r="O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>
        <f>AND(IF(Metadata!C591="",FALSE,TRUE),exact(Metadata!C591,"rat metagenome"))</f>
        <v>0</v>
      </c>
      <c r="Q591">
        <f>AND(IF(Metadata!D591="",FALSE,TRUE),exact(Metadata!D591,"1427740"))</f>
        <v>0</v>
      </c>
    </row>
    <row r="592" spans="1:17">
      <c r="A592" s="4">
        <f>IF(B592=" "," ",HYPERLINK(CONCATENATE("#metadata!",ADDRESS(INDEX($J$2:$J$1001,MATCH(ROWS($H$2:H592),$H$2:$H$1001,0),0),1)),INDEX($M$2:$M$1001,MATCH(ROWS($H$2:H592),$H$2:$H$1001,0),0)))</f>
        <v>0</v>
      </c>
      <c r="B592" s="3">
        <f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>0</v>
      </c>
      <c r="C592" s="3">
        <f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>0</v>
      </c>
      <c r="D592" s="3">
        <f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>0</v>
      </c>
      <c r="H592">
        <v>0</v>
      </c>
      <c r="I592">
        <v>0</v>
      </c>
      <c r="J592">
        <v>0</v>
      </c>
      <c r="K592">
        <f>IF(L592,TRUE,AND(O592:Q592))</f>
        <v>0</v>
      </c>
      <c r="L592">
        <f>COUNTBLANK(Metadata!B592:D592)=COLUMNS(Metadata!B592:D592)</f>
        <v>0</v>
      </c>
      <c r="M592">
        <v>0</v>
      </c>
      <c r="O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>
        <f>AND(IF(Metadata!C592="",FALSE,TRUE),exact(Metadata!C592,"rat metagenome"))</f>
        <v>0</v>
      </c>
      <c r="Q592">
        <f>AND(IF(Metadata!D592="",FALSE,TRUE),exact(Metadata!D592,"1427740"))</f>
        <v>0</v>
      </c>
    </row>
    <row r="593" spans="1:17">
      <c r="A593" s="4">
        <f>IF(B593=" "," ",HYPERLINK(CONCATENATE("#metadata!",ADDRESS(INDEX($J$2:$J$1001,MATCH(ROWS($H$2:H593),$H$2:$H$1001,0),0),1)),INDEX($M$2:$M$1001,MATCH(ROWS($H$2:H593),$H$2:$H$1001,0),0)))</f>
        <v>0</v>
      </c>
      <c r="B593" s="3">
        <f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>0</v>
      </c>
      <c r="C593" s="3">
        <f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>0</v>
      </c>
      <c r="D593" s="3">
        <f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>0</v>
      </c>
      <c r="H593">
        <v>0</v>
      </c>
      <c r="I593">
        <v>0</v>
      </c>
      <c r="J593">
        <v>0</v>
      </c>
      <c r="K593">
        <f>IF(L593,TRUE,AND(O593:Q593))</f>
        <v>0</v>
      </c>
      <c r="L593">
        <f>COUNTBLANK(Metadata!B593:D593)=COLUMNS(Metadata!B593:D593)</f>
        <v>0</v>
      </c>
      <c r="M593">
        <v>0</v>
      </c>
      <c r="O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>
        <f>AND(IF(Metadata!C593="",FALSE,TRUE),exact(Metadata!C593,"rat metagenome"))</f>
        <v>0</v>
      </c>
      <c r="Q593">
        <f>AND(IF(Metadata!D593="",FALSE,TRUE),exact(Metadata!D593,"1427740"))</f>
        <v>0</v>
      </c>
    </row>
    <row r="594" spans="1:17">
      <c r="A594" s="4">
        <f>IF(B594=" "," ",HYPERLINK(CONCATENATE("#metadata!",ADDRESS(INDEX($J$2:$J$1001,MATCH(ROWS($H$2:H594),$H$2:$H$1001,0),0),1)),INDEX($M$2:$M$1001,MATCH(ROWS($H$2:H594),$H$2:$H$1001,0),0)))</f>
        <v>0</v>
      </c>
      <c r="B594" s="3">
        <f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>0</v>
      </c>
      <c r="C594" s="3">
        <f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>0</v>
      </c>
      <c r="D594" s="3">
        <f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>0</v>
      </c>
      <c r="H594">
        <v>0</v>
      </c>
      <c r="I594">
        <v>0</v>
      </c>
      <c r="J594">
        <v>0</v>
      </c>
      <c r="K594">
        <f>IF(L594,TRUE,AND(O594:Q594))</f>
        <v>0</v>
      </c>
      <c r="L594">
        <f>COUNTBLANK(Metadata!B594:D594)=COLUMNS(Metadata!B594:D594)</f>
        <v>0</v>
      </c>
      <c r="M594">
        <v>0</v>
      </c>
      <c r="O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>
        <f>AND(IF(Metadata!C594="",FALSE,TRUE),exact(Metadata!C594,"rat metagenome"))</f>
        <v>0</v>
      </c>
      <c r="Q594">
        <f>AND(IF(Metadata!D594="",FALSE,TRUE),exact(Metadata!D594,"1427740"))</f>
        <v>0</v>
      </c>
    </row>
    <row r="595" spans="1:17">
      <c r="A595" s="4">
        <f>IF(B595=" "," ",HYPERLINK(CONCATENATE("#metadata!",ADDRESS(INDEX($J$2:$J$1001,MATCH(ROWS($H$2:H595),$H$2:$H$1001,0),0),1)),INDEX($M$2:$M$1001,MATCH(ROWS($H$2:H595),$H$2:$H$1001,0),0)))</f>
        <v>0</v>
      </c>
      <c r="B595" s="3">
        <f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>0</v>
      </c>
      <c r="C595" s="3">
        <f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>0</v>
      </c>
      <c r="D595" s="3">
        <f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>0</v>
      </c>
      <c r="H595">
        <v>0</v>
      </c>
      <c r="I595">
        <v>0</v>
      </c>
      <c r="J595">
        <v>0</v>
      </c>
      <c r="K595">
        <f>IF(L595,TRUE,AND(O595:Q595))</f>
        <v>0</v>
      </c>
      <c r="L595">
        <f>COUNTBLANK(Metadata!B595:D595)=COLUMNS(Metadata!B595:D595)</f>
        <v>0</v>
      </c>
      <c r="M595">
        <v>0</v>
      </c>
      <c r="O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>
        <f>AND(IF(Metadata!C595="",FALSE,TRUE),exact(Metadata!C595,"rat metagenome"))</f>
        <v>0</v>
      </c>
      <c r="Q595">
        <f>AND(IF(Metadata!D595="",FALSE,TRUE),exact(Metadata!D595,"1427740"))</f>
        <v>0</v>
      </c>
    </row>
    <row r="596" spans="1:17">
      <c r="A596" s="4">
        <f>IF(B596=" "," ",HYPERLINK(CONCATENATE("#metadata!",ADDRESS(INDEX($J$2:$J$1001,MATCH(ROWS($H$2:H596),$H$2:$H$1001,0),0),1)),INDEX($M$2:$M$1001,MATCH(ROWS($H$2:H596),$H$2:$H$1001,0),0)))</f>
        <v>0</v>
      </c>
      <c r="B596" s="3">
        <f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>0</v>
      </c>
      <c r="C596" s="3">
        <f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>0</v>
      </c>
      <c r="D596" s="3">
        <f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>0</v>
      </c>
      <c r="H596">
        <v>0</v>
      </c>
      <c r="I596">
        <v>0</v>
      </c>
      <c r="J596">
        <v>0</v>
      </c>
      <c r="K596">
        <f>IF(L596,TRUE,AND(O596:Q596))</f>
        <v>0</v>
      </c>
      <c r="L596">
        <f>COUNTBLANK(Metadata!B596:D596)=COLUMNS(Metadata!B596:D596)</f>
        <v>0</v>
      </c>
      <c r="M596">
        <v>0</v>
      </c>
      <c r="O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>
        <f>AND(IF(Metadata!C596="",FALSE,TRUE),exact(Metadata!C596,"rat metagenome"))</f>
        <v>0</v>
      </c>
      <c r="Q596">
        <f>AND(IF(Metadata!D596="",FALSE,TRUE),exact(Metadata!D596,"1427740"))</f>
        <v>0</v>
      </c>
    </row>
    <row r="597" spans="1:17">
      <c r="A597" s="4">
        <f>IF(B597=" "," ",HYPERLINK(CONCATENATE("#metadata!",ADDRESS(INDEX($J$2:$J$1001,MATCH(ROWS($H$2:H597),$H$2:$H$1001,0),0),1)),INDEX($M$2:$M$1001,MATCH(ROWS($H$2:H597),$H$2:$H$1001,0),0)))</f>
        <v>0</v>
      </c>
      <c r="B597" s="3">
        <f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>0</v>
      </c>
      <c r="C597" s="3">
        <f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>0</v>
      </c>
      <c r="D597" s="3">
        <f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>0</v>
      </c>
      <c r="H597">
        <v>0</v>
      </c>
      <c r="I597">
        <v>0</v>
      </c>
      <c r="J597">
        <v>0</v>
      </c>
      <c r="K597">
        <f>IF(L597,TRUE,AND(O597:Q597))</f>
        <v>0</v>
      </c>
      <c r="L597">
        <f>COUNTBLANK(Metadata!B597:D597)=COLUMNS(Metadata!B597:D597)</f>
        <v>0</v>
      </c>
      <c r="M597">
        <v>0</v>
      </c>
      <c r="O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>
        <f>AND(IF(Metadata!C597="",FALSE,TRUE),exact(Metadata!C597,"rat metagenome"))</f>
        <v>0</v>
      </c>
      <c r="Q597">
        <f>AND(IF(Metadata!D597="",FALSE,TRUE),exact(Metadata!D597,"1427740"))</f>
        <v>0</v>
      </c>
    </row>
    <row r="598" spans="1:17">
      <c r="A598" s="4">
        <f>IF(B598=" "," ",HYPERLINK(CONCATENATE("#metadata!",ADDRESS(INDEX($J$2:$J$1001,MATCH(ROWS($H$2:H598),$H$2:$H$1001,0),0),1)),INDEX($M$2:$M$1001,MATCH(ROWS($H$2:H598),$H$2:$H$1001,0),0)))</f>
        <v>0</v>
      </c>
      <c r="B598" s="3">
        <f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>0</v>
      </c>
      <c r="C598" s="3">
        <f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>0</v>
      </c>
      <c r="D598" s="3">
        <f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>0</v>
      </c>
      <c r="H598">
        <v>0</v>
      </c>
      <c r="I598">
        <v>0</v>
      </c>
      <c r="J598">
        <v>0</v>
      </c>
      <c r="K598">
        <f>IF(L598,TRUE,AND(O598:Q598))</f>
        <v>0</v>
      </c>
      <c r="L598">
        <f>COUNTBLANK(Metadata!B598:D598)=COLUMNS(Metadata!B598:D598)</f>
        <v>0</v>
      </c>
      <c r="M598">
        <v>0</v>
      </c>
      <c r="O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>
        <f>AND(IF(Metadata!C598="",FALSE,TRUE),exact(Metadata!C598,"rat metagenome"))</f>
        <v>0</v>
      </c>
      <c r="Q598">
        <f>AND(IF(Metadata!D598="",FALSE,TRUE),exact(Metadata!D598,"1427740"))</f>
        <v>0</v>
      </c>
    </row>
    <row r="599" spans="1:17">
      <c r="A599" s="4">
        <f>IF(B599=" "," ",HYPERLINK(CONCATENATE("#metadata!",ADDRESS(INDEX($J$2:$J$1001,MATCH(ROWS($H$2:H599),$H$2:$H$1001,0),0),1)),INDEX($M$2:$M$1001,MATCH(ROWS($H$2:H599),$H$2:$H$1001,0),0)))</f>
        <v>0</v>
      </c>
      <c r="B599" s="3">
        <f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>0</v>
      </c>
      <c r="C599" s="3">
        <f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>0</v>
      </c>
      <c r="D599" s="3">
        <f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>0</v>
      </c>
      <c r="H599">
        <v>0</v>
      </c>
      <c r="I599">
        <v>0</v>
      </c>
      <c r="J599">
        <v>0</v>
      </c>
      <c r="K599">
        <f>IF(L599,TRUE,AND(O599:Q599))</f>
        <v>0</v>
      </c>
      <c r="L599">
        <f>COUNTBLANK(Metadata!B599:D599)=COLUMNS(Metadata!B599:D599)</f>
        <v>0</v>
      </c>
      <c r="M599">
        <v>0</v>
      </c>
      <c r="O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>
        <f>AND(IF(Metadata!C599="",FALSE,TRUE),exact(Metadata!C599,"rat metagenome"))</f>
        <v>0</v>
      </c>
      <c r="Q599">
        <f>AND(IF(Metadata!D599="",FALSE,TRUE),exact(Metadata!D599,"1427740"))</f>
        <v>0</v>
      </c>
    </row>
    <row r="600" spans="1:17">
      <c r="A600" s="4">
        <f>IF(B600=" "," ",HYPERLINK(CONCATENATE("#metadata!",ADDRESS(INDEX($J$2:$J$1001,MATCH(ROWS($H$2:H600),$H$2:$H$1001,0),0),1)),INDEX($M$2:$M$1001,MATCH(ROWS($H$2:H600),$H$2:$H$1001,0),0)))</f>
        <v>0</v>
      </c>
      <c r="B600" s="3">
        <f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>0</v>
      </c>
      <c r="C600" s="3">
        <f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>0</v>
      </c>
      <c r="D600" s="3">
        <f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>0</v>
      </c>
      <c r="H600">
        <v>0</v>
      </c>
      <c r="I600">
        <v>0</v>
      </c>
      <c r="J600">
        <v>0</v>
      </c>
      <c r="K600">
        <f>IF(L600,TRUE,AND(O600:Q600))</f>
        <v>0</v>
      </c>
      <c r="L600">
        <f>COUNTBLANK(Metadata!B600:D600)=COLUMNS(Metadata!B600:D600)</f>
        <v>0</v>
      </c>
      <c r="M600">
        <v>0</v>
      </c>
      <c r="O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>
        <f>AND(IF(Metadata!C600="",FALSE,TRUE),exact(Metadata!C600,"rat metagenome"))</f>
        <v>0</v>
      </c>
      <c r="Q600">
        <f>AND(IF(Metadata!D600="",FALSE,TRUE),exact(Metadata!D600,"1427740"))</f>
        <v>0</v>
      </c>
    </row>
    <row r="601" spans="1:17">
      <c r="A601" s="4">
        <f>IF(B601=" "," ",HYPERLINK(CONCATENATE("#metadata!",ADDRESS(INDEX($J$2:$J$1001,MATCH(ROWS($H$2:H601),$H$2:$H$1001,0),0),1)),INDEX($M$2:$M$1001,MATCH(ROWS($H$2:H601),$H$2:$H$1001,0),0)))</f>
        <v>0</v>
      </c>
      <c r="B601" s="3">
        <f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>0</v>
      </c>
      <c r="C601" s="3">
        <f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>0</v>
      </c>
      <c r="D601" s="3">
        <f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>0</v>
      </c>
      <c r="H601">
        <v>0</v>
      </c>
      <c r="I601">
        <v>0</v>
      </c>
      <c r="J601">
        <v>0</v>
      </c>
      <c r="K601">
        <f>IF(L601,TRUE,AND(O601:Q601))</f>
        <v>0</v>
      </c>
      <c r="L601">
        <f>COUNTBLANK(Metadata!B601:D601)=COLUMNS(Metadata!B601:D601)</f>
        <v>0</v>
      </c>
      <c r="M601">
        <v>0</v>
      </c>
      <c r="O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>
        <f>AND(IF(Metadata!C601="",FALSE,TRUE),exact(Metadata!C601,"rat metagenome"))</f>
        <v>0</v>
      </c>
      <c r="Q601">
        <f>AND(IF(Metadata!D601="",FALSE,TRUE),exact(Metadata!D601,"1427740"))</f>
        <v>0</v>
      </c>
    </row>
    <row r="602" spans="1:17">
      <c r="A602" s="4">
        <f>IF(B602=" "," ",HYPERLINK(CONCATENATE("#metadata!",ADDRESS(INDEX($J$2:$J$1001,MATCH(ROWS($H$2:H602),$H$2:$H$1001,0),0),1)),INDEX($M$2:$M$1001,MATCH(ROWS($H$2:H602),$H$2:$H$1001,0),0)))</f>
        <v>0</v>
      </c>
      <c r="B602" s="3">
        <f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>0</v>
      </c>
      <c r="C602" s="3">
        <f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>0</v>
      </c>
      <c r="D602" s="3">
        <f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>0</v>
      </c>
      <c r="H602">
        <v>0</v>
      </c>
      <c r="I602">
        <v>0</v>
      </c>
      <c r="J602">
        <v>0</v>
      </c>
      <c r="K602">
        <f>IF(L602,TRUE,AND(O602:Q602))</f>
        <v>0</v>
      </c>
      <c r="L602">
        <f>COUNTBLANK(Metadata!B602:D602)=COLUMNS(Metadata!B602:D602)</f>
        <v>0</v>
      </c>
      <c r="M602">
        <v>0</v>
      </c>
      <c r="O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>
        <f>AND(IF(Metadata!C602="",FALSE,TRUE),exact(Metadata!C602,"rat metagenome"))</f>
        <v>0</v>
      </c>
      <c r="Q602">
        <f>AND(IF(Metadata!D602="",FALSE,TRUE),exact(Metadata!D602,"1427740"))</f>
        <v>0</v>
      </c>
    </row>
    <row r="603" spans="1:17">
      <c r="A603" s="4">
        <f>IF(B603=" "," ",HYPERLINK(CONCATENATE("#metadata!",ADDRESS(INDEX($J$2:$J$1001,MATCH(ROWS($H$2:H603),$H$2:$H$1001,0),0),1)),INDEX($M$2:$M$1001,MATCH(ROWS($H$2:H603),$H$2:$H$1001,0),0)))</f>
        <v>0</v>
      </c>
      <c r="B603" s="3">
        <f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>0</v>
      </c>
      <c r="C603" s="3">
        <f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>0</v>
      </c>
      <c r="D603" s="3">
        <f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>0</v>
      </c>
      <c r="H603">
        <v>0</v>
      </c>
      <c r="I603">
        <v>0</v>
      </c>
      <c r="J603">
        <v>0</v>
      </c>
      <c r="K603">
        <f>IF(L603,TRUE,AND(O603:Q603))</f>
        <v>0</v>
      </c>
      <c r="L603">
        <f>COUNTBLANK(Metadata!B603:D603)=COLUMNS(Metadata!B603:D603)</f>
        <v>0</v>
      </c>
      <c r="M603">
        <v>0</v>
      </c>
      <c r="O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>
        <f>AND(IF(Metadata!C603="",FALSE,TRUE),exact(Metadata!C603,"rat metagenome"))</f>
        <v>0</v>
      </c>
      <c r="Q603">
        <f>AND(IF(Metadata!D603="",FALSE,TRUE),exact(Metadata!D603,"1427740"))</f>
        <v>0</v>
      </c>
    </row>
    <row r="604" spans="1:17">
      <c r="A604" s="4">
        <f>IF(B604=" "," ",HYPERLINK(CONCATENATE("#metadata!",ADDRESS(INDEX($J$2:$J$1001,MATCH(ROWS($H$2:H604),$H$2:$H$1001,0),0),1)),INDEX($M$2:$M$1001,MATCH(ROWS($H$2:H604),$H$2:$H$1001,0),0)))</f>
        <v>0</v>
      </c>
      <c r="B604" s="3">
        <f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>0</v>
      </c>
      <c r="C604" s="3">
        <f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>0</v>
      </c>
      <c r="D604" s="3">
        <f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>0</v>
      </c>
      <c r="H604">
        <v>0</v>
      </c>
      <c r="I604">
        <v>0</v>
      </c>
      <c r="J604">
        <v>0</v>
      </c>
      <c r="K604">
        <f>IF(L604,TRUE,AND(O604:Q604))</f>
        <v>0</v>
      </c>
      <c r="L604">
        <f>COUNTBLANK(Metadata!B604:D604)=COLUMNS(Metadata!B604:D604)</f>
        <v>0</v>
      </c>
      <c r="M604">
        <v>0</v>
      </c>
      <c r="O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>
        <f>AND(IF(Metadata!C604="",FALSE,TRUE),exact(Metadata!C604,"rat metagenome"))</f>
        <v>0</v>
      </c>
      <c r="Q604">
        <f>AND(IF(Metadata!D604="",FALSE,TRUE),exact(Metadata!D604,"1427740"))</f>
        <v>0</v>
      </c>
    </row>
    <row r="605" spans="1:17">
      <c r="A605" s="4">
        <f>IF(B605=" "," ",HYPERLINK(CONCATENATE("#metadata!",ADDRESS(INDEX($J$2:$J$1001,MATCH(ROWS($H$2:H605),$H$2:$H$1001,0),0),1)),INDEX($M$2:$M$1001,MATCH(ROWS($H$2:H605),$H$2:$H$1001,0),0)))</f>
        <v>0</v>
      </c>
      <c r="B605" s="3">
        <f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>0</v>
      </c>
      <c r="C605" s="3">
        <f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>0</v>
      </c>
      <c r="D605" s="3">
        <f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>0</v>
      </c>
      <c r="H605">
        <v>0</v>
      </c>
      <c r="I605">
        <v>0</v>
      </c>
      <c r="J605">
        <v>0</v>
      </c>
      <c r="K605">
        <f>IF(L605,TRUE,AND(O605:Q605))</f>
        <v>0</v>
      </c>
      <c r="L605">
        <f>COUNTBLANK(Metadata!B605:D605)=COLUMNS(Metadata!B605:D605)</f>
        <v>0</v>
      </c>
      <c r="M605">
        <v>0</v>
      </c>
      <c r="O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>
        <f>AND(IF(Metadata!C605="",FALSE,TRUE),exact(Metadata!C605,"rat metagenome"))</f>
        <v>0</v>
      </c>
      <c r="Q605">
        <f>AND(IF(Metadata!D605="",FALSE,TRUE),exact(Metadata!D605,"1427740"))</f>
        <v>0</v>
      </c>
    </row>
    <row r="606" spans="1:17">
      <c r="A606" s="4">
        <f>IF(B606=" "," ",HYPERLINK(CONCATENATE("#metadata!",ADDRESS(INDEX($J$2:$J$1001,MATCH(ROWS($H$2:H606),$H$2:$H$1001,0),0),1)),INDEX($M$2:$M$1001,MATCH(ROWS($H$2:H606),$H$2:$H$1001,0),0)))</f>
        <v>0</v>
      </c>
      <c r="B606" s="3">
        <f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>0</v>
      </c>
      <c r="C606" s="3">
        <f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>0</v>
      </c>
      <c r="D606" s="3">
        <f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>0</v>
      </c>
      <c r="H606">
        <v>0</v>
      </c>
      <c r="I606">
        <v>0</v>
      </c>
      <c r="J606">
        <v>0</v>
      </c>
      <c r="K606">
        <f>IF(L606,TRUE,AND(O606:Q606))</f>
        <v>0</v>
      </c>
      <c r="L606">
        <f>COUNTBLANK(Metadata!B606:D606)=COLUMNS(Metadata!B606:D606)</f>
        <v>0</v>
      </c>
      <c r="M606">
        <v>0</v>
      </c>
      <c r="O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>
        <f>AND(IF(Metadata!C606="",FALSE,TRUE),exact(Metadata!C606,"rat metagenome"))</f>
        <v>0</v>
      </c>
      <c r="Q606">
        <f>AND(IF(Metadata!D606="",FALSE,TRUE),exact(Metadata!D606,"1427740"))</f>
        <v>0</v>
      </c>
    </row>
    <row r="607" spans="1:17">
      <c r="A607" s="4">
        <f>IF(B607=" "," ",HYPERLINK(CONCATENATE("#metadata!",ADDRESS(INDEX($J$2:$J$1001,MATCH(ROWS($H$2:H607),$H$2:$H$1001,0),0),1)),INDEX($M$2:$M$1001,MATCH(ROWS($H$2:H607),$H$2:$H$1001,0),0)))</f>
        <v>0</v>
      </c>
      <c r="B607" s="3">
        <f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>0</v>
      </c>
      <c r="C607" s="3">
        <f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>0</v>
      </c>
      <c r="D607" s="3">
        <f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>0</v>
      </c>
      <c r="H607">
        <v>0</v>
      </c>
      <c r="I607">
        <v>0</v>
      </c>
      <c r="J607">
        <v>0</v>
      </c>
      <c r="K607">
        <f>IF(L607,TRUE,AND(O607:Q607))</f>
        <v>0</v>
      </c>
      <c r="L607">
        <f>COUNTBLANK(Metadata!B607:D607)=COLUMNS(Metadata!B607:D607)</f>
        <v>0</v>
      </c>
      <c r="M607">
        <v>0</v>
      </c>
      <c r="O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>
        <f>AND(IF(Metadata!C607="",FALSE,TRUE),exact(Metadata!C607,"rat metagenome"))</f>
        <v>0</v>
      </c>
      <c r="Q607">
        <f>AND(IF(Metadata!D607="",FALSE,TRUE),exact(Metadata!D607,"1427740"))</f>
        <v>0</v>
      </c>
    </row>
    <row r="608" spans="1:17">
      <c r="A608" s="4">
        <f>IF(B608=" "," ",HYPERLINK(CONCATENATE("#metadata!",ADDRESS(INDEX($J$2:$J$1001,MATCH(ROWS($H$2:H608),$H$2:$H$1001,0),0),1)),INDEX($M$2:$M$1001,MATCH(ROWS($H$2:H608),$H$2:$H$1001,0),0)))</f>
        <v>0</v>
      </c>
      <c r="B608" s="3">
        <f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>0</v>
      </c>
      <c r="C608" s="3">
        <f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>0</v>
      </c>
      <c r="D608" s="3">
        <f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>0</v>
      </c>
      <c r="H608">
        <v>0</v>
      </c>
      <c r="I608">
        <v>0</v>
      </c>
      <c r="J608">
        <v>0</v>
      </c>
      <c r="K608">
        <f>IF(L608,TRUE,AND(O608:Q608))</f>
        <v>0</v>
      </c>
      <c r="L608">
        <f>COUNTBLANK(Metadata!B608:D608)=COLUMNS(Metadata!B608:D608)</f>
        <v>0</v>
      </c>
      <c r="M608">
        <v>0</v>
      </c>
      <c r="O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>
        <f>AND(IF(Metadata!C608="",FALSE,TRUE),exact(Metadata!C608,"rat metagenome"))</f>
        <v>0</v>
      </c>
      <c r="Q608">
        <f>AND(IF(Metadata!D608="",FALSE,TRUE),exact(Metadata!D608,"1427740"))</f>
        <v>0</v>
      </c>
    </row>
    <row r="609" spans="1:17">
      <c r="A609" s="4">
        <f>IF(B609=" "," ",HYPERLINK(CONCATENATE("#metadata!",ADDRESS(INDEX($J$2:$J$1001,MATCH(ROWS($H$2:H609),$H$2:$H$1001,0),0),1)),INDEX($M$2:$M$1001,MATCH(ROWS($H$2:H609),$H$2:$H$1001,0),0)))</f>
        <v>0</v>
      </c>
      <c r="B609" s="3">
        <f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>0</v>
      </c>
      <c r="C609" s="3">
        <f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>0</v>
      </c>
      <c r="D609" s="3">
        <f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>0</v>
      </c>
      <c r="H609">
        <v>0</v>
      </c>
      <c r="I609">
        <v>0</v>
      </c>
      <c r="J609">
        <v>0</v>
      </c>
      <c r="K609">
        <f>IF(L609,TRUE,AND(O609:Q609))</f>
        <v>0</v>
      </c>
      <c r="L609">
        <f>COUNTBLANK(Metadata!B609:D609)=COLUMNS(Metadata!B609:D609)</f>
        <v>0</v>
      </c>
      <c r="M609">
        <v>0</v>
      </c>
      <c r="O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>
        <f>AND(IF(Metadata!C609="",FALSE,TRUE),exact(Metadata!C609,"rat metagenome"))</f>
        <v>0</v>
      </c>
      <c r="Q609">
        <f>AND(IF(Metadata!D609="",FALSE,TRUE),exact(Metadata!D609,"1427740"))</f>
        <v>0</v>
      </c>
    </row>
    <row r="610" spans="1:17">
      <c r="A610" s="4">
        <f>IF(B610=" "," ",HYPERLINK(CONCATENATE("#metadata!",ADDRESS(INDEX($J$2:$J$1001,MATCH(ROWS($H$2:H610),$H$2:$H$1001,0),0),1)),INDEX($M$2:$M$1001,MATCH(ROWS($H$2:H610),$H$2:$H$1001,0),0)))</f>
        <v>0</v>
      </c>
      <c r="B610" s="3">
        <f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>0</v>
      </c>
      <c r="C610" s="3">
        <f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>0</v>
      </c>
      <c r="D610" s="3">
        <f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>0</v>
      </c>
      <c r="H610">
        <v>0</v>
      </c>
      <c r="I610">
        <v>0</v>
      </c>
      <c r="J610">
        <v>0</v>
      </c>
      <c r="K610">
        <f>IF(L610,TRUE,AND(O610:Q610))</f>
        <v>0</v>
      </c>
      <c r="L610">
        <f>COUNTBLANK(Metadata!B610:D610)=COLUMNS(Metadata!B610:D610)</f>
        <v>0</v>
      </c>
      <c r="M610">
        <v>0</v>
      </c>
      <c r="O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>
        <f>AND(IF(Metadata!C610="",FALSE,TRUE),exact(Metadata!C610,"rat metagenome"))</f>
        <v>0</v>
      </c>
      <c r="Q610">
        <f>AND(IF(Metadata!D610="",FALSE,TRUE),exact(Metadata!D610,"1427740"))</f>
        <v>0</v>
      </c>
    </row>
    <row r="611" spans="1:17">
      <c r="A611" s="4">
        <f>IF(B611=" "," ",HYPERLINK(CONCATENATE("#metadata!",ADDRESS(INDEX($J$2:$J$1001,MATCH(ROWS($H$2:H611),$H$2:$H$1001,0),0),1)),INDEX($M$2:$M$1001,MATCH(ROWS($H$2:H611),$H$2:$H$1001,0),0)))</f>
        <v>0</v>
      </c>
      <c r="B611" s="3">
        <f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>0</v>
      </c>
      <c r="C611" s="3">
        <f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>0</v>
      </c>
      <c r="D611" s="3">
        <f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>0</v>
      </c>
      <c r="H611">
        <v>0</v>
      </c>
      <c r="I611">
        <v>0</v>
      </c>
      <c r="J611">
        <v>0</v>
      </c>
      <c r="K611">
        <f>IF(L611,TRUE,AND(O611:Q611))</f>
        <v>0</v>
      </c>
      <c r="L611">
        <f>COUNTBLANK(Metadata!B611:D611)=COLUMNS(Metadata!B611:D611)</f>
        <v>0</v>
      </c>
      <c r="M611">
        <v>0</v>
      </c>
      <c r="O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>
        <f>AND(IF(Metadata!C611="",FALSE,TRUE),exact(Metadata!C611,"rat metagenome"))</f>
        <v>0</v>
      </c>
      <c r="Q611">
        <f>AND(IF(Metadata!D611="",FALSE,TRUE),exact(Metadata!D611,"1427740"))</f>
        <v>0</v>
      </c>
    </row>
    <row r="612" spans="1:17">
      <c r="A612" s="4">
        <f>IF(B612=" "," ",HYPERLINK(CONCATENATE("#metadata!",ADDRESS(INDEX($J$2:$J$1001,MATCH(ROWS($H$2:H612),$H$2:$H$1001,0),0),1)),INDEX($M$2:$M$1001,MATCH(ROWS($H$2:H612),$H$2:$H$1001,0),0)))</f>
        <v>0</v>
      </c>
      <c r="B612" s="3">
        <f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>0</v>
      </c>
      <c r="C612" s="3">
        <f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>0</v>
      </c>
      <c r="D612" s="3">
        <f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>0</v>
      </c>
      <c r="H612">
        <v>0</v>
      </c>
      <c r="I612">
        <v>0</v>
      </c>
      <c r="J612">
        <v>0</v>
      </c>
      <c r="K612">
        <f>IF(L612,TRUE,AND(O612:Q612))</f>
        <v>0</v>
      </c>
      <c r="L612">
        <f>COUNTBLANK(Metadata!B612:D612)=COLUMNS(Metadata!B612:D612)</f>
        <v>0</v>
      </c>
      <c r="M612">
        <v>0</v>
      </c>
      <c r="O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>
        <f>AND(IF(Metadata!C612="",FALSE,TRUE),exact(Metadata!C612,"rat metagenome"))</f>
        <v>0</v>
      </c>
      <c r="Q612">
        <f>AND(IF(Metadata!D612="",FALSE,TRUE),exact(Metadata!D612,"1427740"))</f>
        <v>0</v>
      </c>
    </row>
    <row r="613" spans="1:17">
      <c r="A613" s="4">
        <f>IF(B613=" "," ",HYPERLINK(CONCATENATE("#metadata!",ADDRESS(INDEX($J$2:$J$1001,MATCH(ROWS($H$2:H613),$H$2:$H$1001,0),0),1)),INDEX($M$2:$M$1001,MATCH(ROWS($H$2:H613),$H$2:$H$1001,0),0)))</f>
        <v>0</v>
      </c>
      <c r="B613" s="3">
        <f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>0</v>
      </c>
      <c r="C613" s="3">
        <f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>0</v>
      </c>
      <c r="D613" s="3">
        <f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>0</v>
      </c>
      <c r="H613">
        <v>0</v>
      </c>
      <c r="I613">
        <v>0</v>
      </c>
      <c r="J613">
        <v>0</v>
      </c>
      <c r="K613">
        <f>IF(L613,TRUE,AND(O613:Q613))</f>
        <v>0</v>
      </c>
      <c r="L613">
        <f>COUNTBLANK(Metadata!B613:D613)=COLUMNS(Metadata!B613:D613)</f>
        <v>0</v>
      </c>
      <c r="M613">
        <v>0</v>
      </c>
      <c r="O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>
        <f>AND(IF(Metadata!C613="",FALSE,TRUE),exact(Metadata!C613,"rat metagenome"))</f>
        <v>0</v>
      </c>
      <c r="Q613">
        <f>AND(IF(Metadata!D613="",FALSE,TRUE),exact(Metadata!D613,"1427740"))</f>
        <v>0</v>
      </c>
    </row>
    <row r="614" spans="1:17">
      <c r="A614" s="4">
        <f>IF(B614=" "," ",HYPERLINK(CONCATENATE("#metadata!",ADDRESS(INDEX($J$2:$J$1001,MATCH(ROWS($H$2:H614),$H$2:$H$1001,0),0),1)),INDEX($M$2:$M$1001,MATCH(ROWS($H$2:H614),$H$2:$H$1001,0),0)))</f>
        <v>0</v>
      </c>
      <c r="B614" s="3">
        <f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>0</v>
      </c>
      <c r="C614" s="3">
        <f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>0</v>
      </c>
      <c r="D614" s="3">
        <f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>0</v>
      </c>
      <c r="H614">
        <v>0</v>
      </c>
      <c r="I614">
        <v>0</v>
      </c>
      <c r="J614">
        <v>0</v>
      </c>
      <c r="K614">
        <f>IF(L614,TRUE,AND(O614:Q614))</f>
        <v>0</v>
      </c>
      <c r="L614">
        <f>COUNTBLANK(Metadata!B614:D614)=COLUMNS(Metadata!B614:D614)</f>
        <v>0</v>
      </c>
      <c r="M614">
        <v>0</v>
      </c>
      <c r="O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>
        <f>AND(IF(Metadata!C614="",FALSE,TRUE),exact(Metadata!C614,"rat metagenome"))</f>
        <v>0</v>
      </c>
      <c r="Q614">
        <f>AND(IF(Metadata!D614="",FALSE,TRUE),exact(Metadata!D614,"1427740"))</f>
        <v>0</v>
      </c>
    </row>
    <row r="615" spans="1:17">
      <c r="A615" s="4">
        <f>IF(B615=" "," ",HYPERLINK(CONCATENATE("#metadata!",ADDRESS(INDEX($J$2:$J$1001,MATCH(ROWS($H$2:H615),$H$2:$H$1001,0),0),1)),INDEX($M$2:$M$1001,MATCH(ROWS($H$2:H615),$H$2:$H$1001,0),0)))</f>
        <v>0</v>
      </c>
      <c r="B615" s="3">
        <f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>0</v>
      </c>
      <c r="C615" s="3">
        <f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>0</v>
      </c>
      <c r="D615" s="3">
        <f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>0</v>
      </c>
      <c r="H615">
        <v>0</v>
      </c>
      <c r="I615">
        <v>0</v>
      </c>
      <c r="J615">
        <v>0</v>
      </c>
      <c r="K615">
        <f>IF(L615,TRUE,AND(O615:Q615))</f>
        <v>0</v>
      </c>
      <c r="L615">
        <f>COUNTBLANK(Metadata!B615:D615)=COLUMNS(Metadata!B615:D615)</f>
        <v>0</v>
      </c>
      <c r="M615">
        <v>0</v>
      </c>
      <c r="O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>
        <f>AND(IF(Metadata!C615="",FALSE,TRUE),exact(Metadata!C615,"rat metagenome"))</f>
        <v>0</v>
      </c>
      <c r="Q615">
        <f>AND(IF(Metadata!D615="",FALSE,TRUE),exact(Metadata!D615,"1427740"))</f>
        <v>0</v>
      </c>
    </row>
    <row r="616" spans="1:17">
      <c r="A616" s="4">
        <f>IF(B616=" "," ",HYPERLINK(CONCATENATE("#metadata!",ADDRESS(INDEX($J$2:$J$1001,MATCH(ROWS($H$2:H616),$H$2:$H$1001,0),0),1)),INDEX($M$2:$M$1001,MATCH(ROWS($H$2:H616),$H$2:$H$1001,0),0)))</f>
        <v>0</v>
      </c>
      <c r="B616" s="3">
        <f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>0</v>
      </c>
      <c r="C616" s="3">
        <f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>0</v>
      </c>
      <c r="D616" s="3">
        <f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>0</v>
      </c>
      <c r="H616">
        <v>0</v>
      </c>
      <c r="I616">
        <v>0</v>
      </c>
      <c r="J616">
        <v>0</v>
      </c>
      <c r="K616">
        <f>IF(L616,TRUE,AND(O616:Q616))</f>
        <v>0</v>
      </c>
      <c r="L616">
        <f>COUNTBLANK(Metadata!B616:D616)=COLUMNS(Metadata!B616:D616)</f>
        <v>0</v>
      </c>
      <c r="M616">
        <v>0</v>
      </c>
      <c r="O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>
        <f>AND(IF(Metadata!C616="",FALSE,TRUE),exact(Metadata!C616,"rat metagenome"))</f>
        <v>0</v>
      </c>
      <c r="Q616">
        <f>AND(IF(Metadata!D616="",FALSE,TRUE),exact(Metadata!D616,"1427740"))</f>
        <v>0</v>
      </c>
    </row>
    <row r="617" spans="1:17">
      <c r="A617" s="4">
        <f>IF(B617=" "," ",HYPERLINK(CONCATENATE("#metadata!",ADDRESS(INDEX($J$2:$J$1001,MATCH(ROWS($H$2:H617),$H$2:$H$1001,0),0),1)),INDEX($M$2:$M$1001,MATCH(ROWS($H$2:H617),$H$2:$H$1001,0),0)))</f>
        <v>0</v>
      </c>
      <c r="B617" s="3">
        <f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>0</v>
      </c>
      <c r="C617" s="3">
        <f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>0</v>
      </c>
      <c r="D617" s="3">
        <f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>0</v>
      </c>
      <c r="H617">
        <v>0</v>
      </c>
      <c r="I617">
        <v>0</v>
      </c>
      <c r="J617">
        <v>0</v>
      </c>
      <c r="K617">
        <f>IF(L617,TRUE,AND(O617:Q617))</f>
        <v>0</v>
      </c>
      <c r="L617">
        <f>COUNTBLANK(Metadata!B617:D617)=COLUMNS(Metadata!B617:D617)</f>
        <v>0</v>
      </c>
      <c r="M617">
        <v>0</v>
      </c>
      <c r="O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>
        <f>AND(IF(Metadata!C617="",FALSE,TRUE),exact(Metadata!C617,"rat metagenome"))</f>
        <v>0</v>
      </c>
      <c r="Q617">
        <f>AND(IF(Metadata!D617="",FALSE,TRUE),exact(Metadata!D617,"1427740"))</f>
        <v>0</v>
      </c>
    </row>
    <row r="618" spans="1:17">
      <c r="A618" s="4">
        <f>IF(B618=" "," ",HYPERLINK(CONCATENATE("#metadata!",ADDRESS(INDEX($J$2:$J$1001,MATCH(ROWS($H$2:H618),$H$2:$H$1001,0),0),1)),INDEX($M$2:$M$1001,MATCH(ROWS($H$2:H618),$H$2:$H$1001,0),0)))</f>
        <v>0</v>
      </c>
      <c r="B618" s="3">
        <f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>0</v>
      </c>
      <c r="C618" s="3">
        <f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>0</v>
      </c>
      <c r="D618" s="3">
        <f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>0</v>
      </c>
      <c r="H618">
        <v>0</v>
      </c>
      <c r="I618">
        <v>0</v>
      </c>
      <c r="J618">
        <v>0</v>
      </c>
      <c r="K618">
        <f>IF(L618,TRUE,AND(O618:Q618))</f>
        <v>0</v>
      </c>
      <c r="L618">
        <f>COUNTBLANK(Metadata!B618:D618)=COLUMNS(Metadata!B618:D618)</f>
        <v>0</v>
      </c>
      <c r="M618">
        <v>0</v>
      </c>
      <c r="O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>
        <f>AND(IF(Metadata!C618="",FALSE,TRUE),exact(Metadata!C618,"rat metagenome"))</f>
        <v>0</v>
      </c>
      <c r="Q618">
        <f>AND(IF(Metadata!D618="",FALSE,TRUE),exact(Metadata!D618,"1427740"))</f>
        <v>0</v>
      </c>
    </row>
    <row r="619" spans="1:17">
      <c r="A619" s="4">
        <f>IF(B619=" "," ",HYPERLINK(CONCATENATE("#metadata!",ADDRESS(INDEX($J$2:$J$1001,MATCH(ROWS($H$2:H619),$H$2:$H$1001,0),0),1)),INDEX($M$2:$M$1001,MATCH(ROWS($H$2:H619),$H$2:$H$1001,0),0)))</f>
        <v>0</v>
      </c>
      <c r="B619" s="3">
        <f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>0</v>
      </c>
      <c r="C619" s="3">
        <f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>0</v>
      </c>
      <c r="D619" s="3">
        <f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>0</v>
      </c>
      <c r="H619">
        <v>0</v>
      </c>
      <c r="I619">
        <v>0</v>
      </c>
      <c r="J619">
        <v>0</v>
      </c>
      <c r="K619">
        <f>IF(L619,TRUE,AND(O619:Q619))</f>
        <v>0</v>
      </c>
      <c r="L619">
        <f>COUNTBLANK(Metadata!B619:D619)=COLUMNS(Metadata!B619:D619)</f>
        <v>0</v>
      </c>
      <c r="M619">
        <v>0</v>
      </c>
      <c r="O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>
        <f>AND(IF(Metadata!C619="",FALSE,TRUE),exact(Metadata!C619,"rat metagenome"))</f>
        <v>0</v>
      </c>
      <c r="Q619">
        <f>AND(IF(Metadata!D619="",FALSE,TRUE),exact(Metadata!D619,"1427740"))</f>
        <v>0</v>
      </c>
    </row>
    <row r="620" spans="1:17">
      <c r="A620" s="4">
        <f>IF(B620=" "," ",HYPERLINK(CONCATENATE("#metadata!",ADDRESS(INDEX($J$2:$J$1001,MATCH(ROWS($H$2:H620),$H$2:$H$1001,0),0),1)),INDEX($M$2:$M$1001,MATCH(ROWS($H$2:H620),$H$2:$H$1001,0),0)))</f>
        <v>0</v>
      </c>
      <c r="B620" s="3">
        <f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>0</v>
      </c>
      <c r="C620" s="3">
        <f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>0</v>
      </c>
      <c r="D620" s="3">
        <f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>0</v>
      </c>
      <c r="H620">
        <v>0</v>
      </c>
      <c r="I620">
        <v>0</v>
      </c>
      <c r="J620">
        <v>0</v>
      </c>
      <c r="K620">
        <f>IF(L620,TRUE,AND(O620:Q620))</f>
        <v>0</v>
      </c>
      <c r="L620">
        <f>COUNTBLANK(Metadata!B620:D620)=COLUMNS(Metadata!B620:D620)</f>
        <v>0</v>
      </c>
      <c r="M620">
        <v>0</v>
      </c>
      <c r="O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>
        <f>AND(IF(Metadata!C620="",FALSE,TRUE),exact(Metadata!C620,"rat metagenome"))</f>
        <v>0</v>
      </c>
      <c r="Q620">
        <f>AND(IF(Metadata!D620="",FALSE,TRUE),exact(Metadata!D620,"1427740"))</f>
        <v>0</v>
      </c>
    </row>
    <row r="621" spans="1:17">
      <c r="A621" s="4">
        <f>IF(B621=" "," ",HYPERLINK(CONCATENATE("#metadata!",ADDRESS(INDEX($J$2:$J$1001,MATCH(ROWS($H$2:H621),$H$2:$H$1001,0),0),1)),INDEX($M$2:$M$1001,MATCH(ROWS($H$2:H621),$H$2:$H$1001,0),0)))</f>
        <v>0</v>
      </c>
      <c r="B621" s="3">
        <f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>0</v>
      </c>
      <c r="C621" s="3">
        <f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>0</v>
      </c>
      <c r="D621" s="3">
        <f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>0</v>
      </c>
      <c r="H621">
        <v>0</v>
      </c>
      <c r="I621">
        <v>0</v>
      </c>
      <c r="J621">
        <v>0</v>
      </c>
      <c r="K621">
        <f>IF(L621,TRUE,AND(O621:Q621))</f>
        <v>0</v>
      </c>
      <c r="L621">
        <f>COUNTBLANK(Metadata!B621:D621)=COLUMNS(Metadata!B621:D621)</f>
        <v>0</v>
      </c>
      <c r="M621">
        <v>0</v>
      </c>
      <c r="O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>
        <f>AND(IF(Metadata!C621="",FALSE,TRUE),exact(Metadata!C621,"rat metagenome"))</f>
        <v>0</v>
      </c>
      <c r="Q621">
        <f>AND(IF(Metadata!D621="",FALSE,TRUE),exact(Metadata!D621,"1427740"))</f>
        <v>0</v>
      </c>
    </row>
    <row r="622" spans="1:17">
      <c r="A622" s="4">
        <f>IF(B622=" "," ",HYPERLINK(CONCATENATE("#metadata!",ADDRESS(INDEX($J$2:$J$1001,MATCH(ROWS($H$2:H622),$H$2:$H$1001,0),0),1)),INDEX($M$2:$M$1001,MATCH(ROWS($H$2:H622),$H$2:$H$1001,0),0)))</f>
        <v>0</v>
      </c>
      <c r="B622" s="3">
        <f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>0</v>
      </c>
      <c r="C622" s="3">
        <f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>0</v>
      </c>
      <c r="D622" s="3">
        <f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>0</v>
      </c>
      <c r="H622">
        <v>0</v>
      </c>
      <c r="I622">
        <v>0</v>
      </c>
      <c r="J622">
        <v>0</v>
      </c>
      <c r="K622">
        <f>IF(L622,TRUE,AND(O622:Q622))</f>
        <v>0</v>
      </c>
      <c r="L622">
        <f>COUNTBLANK(Metadata!B622:D622)=COLUMNS(Metadata!B622:D622)</f>
        <v>0</v>
      </c>
      <c r="M622">
        <v>0</v>
      </c>
      <c r="O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>
        <f>AND(IF(Metadata!C622="",FALSE,TRUE),exact(Metadata!C622,"rat metagenome"))</f>
        <v>0</v>
      </c>
      <c r="Q622">
        <f>AND(IF(Metadata!D622="",FALSE,TRUE),exact(Metadata!D622,"1427740"))</f>
        <v>0</v>
      </c>
    </row>
    <row r="623" spans="1:17">
      <c r="A623" s="4">
        <f>IF(B623=" "," ",HYPERLINK(CONCATENATE("#metadata!",ADDRESS(INDEX($J$2:$J$1001,MATCH(ROWS($H$2:H623),$H$2:$H$1001,0),0),1)),INDEX($M$2:$M$1001,MATCH(ROWS($H$2:H623),$H$2:$H$1001,0),0)))</f>
        <v>0</v>
      </c>
      <c r="B623" s="3">
        <f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>0</v>
      </c>
      <c r="C623" s="3">
        <f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>0</v>
      </c>
      <c r="D623" s="3">
        <f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>0</v>
      </c>
      <c r="H623">
        <v>0</v>
      </c>
      <c r="I623">
        <v>0</v>
      </c>
      <c r="J623">
        <v>0</v>
      </c>
      <c r="K623">
        <f>IF(L623,TRUE,AND(O623:Q623))</f>
        <v>0</v>
      </c>
      <c r="L623">
        <f>COUNTBLANK(Metadata!B623:D623)=COLUMNS(Metadata!B623:D623)</f>
        <v>0</v>
      </c>
      <c r="M623">
        <v>0</v>
      </c>
      <c r="O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>
        <f>AND(IF(Metadata!C623="",FALSE,TRUE),exact(Metadata!C623,"rat metagenome"))</f>
        <v>0</v>
      </c>
      <c r="Q623">
        <f>AND(IF(Metadata!D623="",FALSE,TRUE),exact(Metadata!D623,"1427740"))</f>
        <v>0</v>
      </c>
    </row>
    <row r="624" spans="1:17">
      <c r="A624" s="4">
        <f>IF(B624=" "," ",HYPERLINK(CONCATENATE("#metadata!",ADDRESS(INDEX($J$2:$J$1001,MATCH(ROWS($H$2:H624),$H$2:$H$1001,0),0),1)),INDEX($M$2:$M$1001,MATCH(ROWS($H$2:H624),$H$2:$H$1001,0),0)))</f>
        <v>0</v>
      </c>
      <c r="B624" s="3">
        <f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>0</v>
      </c>
      <c r="C624" s="3">
        <f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>0</v>
      </c>
      <c r="D624" s="3">
        <f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>0</v>
      </c>
      <c r="H624">
        <v>0</v>
      </c>
      <c r="I624">
        <v>0</v>
      </c>
      <c r="J624">
        <v>0</v>
      </c>
      <c r="K624">
        <f>IF(L624,TRUE,AND(O624:Q624))</f>
        <v>0</v>
      </c>
      <c r="L624">
        <f>COUNTBLANK(Metadata!B624:D624)=COLUMNS(Metadata!B624:D624)</f>
        <v>0</v>
      </c>
      <c r="M624">
        <v>0</v>
      </c>
      <c r="O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>
        <f>AND(IF(Metadata!C624="",FALSE,TRUE),exact(Metadata!C624,"rat metagenome"))</f>
        <v>0</v>
      </c>
      <c r="Q624">
        <f>AND(IF(Metadata!D624="",FALSE,TRUE),exact(Metadata!D624,"1427740"))</f>
        <v>0</v>
      </c>
    </row>
    <row r="625" spans="1:17">
      <c r="A625" s="4">
        <f>IF(B625=" "," ",HYPERLINK(CONCATENATE("#metadata!",ADDRESS(INDEX($J$2:$J$1001,MATCH(ROWS($H$2:H625),$H$2:$H$1001,0),0),1)),INDEX($M$2:$M$1001,MATCH(ROWS($H$2:H625),$H$2:$H$1001,0),0)))</f>
        <v>0</v>
      </c>
      <c r="B625" s="3">
        <f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>0</v>
      </c>
      <c r="C625" s="3">
        <f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>0</v>
      </c>
      <c r="D625" s="3">
        <f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>0</v>
      </c>
      <c r="H625">
        <v>0</v>
      </c>
      <c r="I625">
        <v>0</v>
      </c>
      <c r="J625">
        <v>0</v>
      </c>
      <c r="K625">
        <f>IF(L625,TRUE,AND(O625:Q625))</f>
        <v>0</v>
      </c>
      <c r="L625">
        <f>COUNTBLANK(Metadata!B625:D625)=COLUMNS(Metadata!B625:D625)</f>
        <v>0</v>
      </c>
      <c r="M625">
        <v>0</v>
      </c>
      <c r="O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>
        <f>AND(IF(Metadata!C625="",FALSE,TRUE),exact(Metadata!C625,"rat metagenome"))</f>
        <v>0</v>
      </c>
      <c r="Q625">
        <f>AND(IF(Metadata!D625="",FALSE,TRUE),exact(Metadata!D625,"1427740"))</f>
        <v>0</v>
      </c>
    </row>
    <row r="626" spans="1:17">
      <c r="A626" s="4">
        <f>IF(B626=" "," ",HYPERLINK(CONCATENATE("#metadata!",ADDRESS(INDEX($J$2:$J$1001,MATCH(ROWS($H$2:H626),$H$2:$H$1001,0),0),1)),INDEX($M$2:$M$1001,MATCH(ROWS($H$2:H626),$H$2:$H$1001,0),0)))</f>
        <v>0</v>
      </c>
      <c r="B626" s="3">
        <f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>0</v>
      </c>
      <c r="C626" s="3">
        <f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>0</v>
      </c>
      <c r="D626" s="3">
        <f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>0</v>
      </c>
      <c r="H626">
        <v>0</v>
      </c>
      <c r="I626">
        <v>0</v>
      </c>
      <c r="J626">
        <v>0</v>
      </c>
      <c r="K626">
        <f>IF(L626,TRUE,AND(O626:Q626))</f>
        <v>0</v>
      </c>
      <c r="L626">
        <f>COUNTBLANK(Metadata!B626:D626)=COLUMNS(Metadata!B626:D626)</f>
        <v>0</v>
      </c>
      <c r="M626">
        <v>0</v>
      </c>
      <c r="O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>
        <f>AND(IF(Metadata!C626="",FALSE,TRUE),exact(Metadata!C626,"rat metagenome"))</f>
        <v>0</v>
      </c>
      <c r="Q626">
        <f>AND(IF(Metadata!D626="",FALSE,TRUE),exact(Metadata!D626,"1427740"))</f>
        <v>0</v>
      </c>
    </row>
    <row r="627" spans="1:17">
      <c r="A627" s="4">
        <f>IF(B627=" "," ",HYPERLINK(CONCATENATE("#metadata!",ADDRESS(INDEX($J$2:$J$1001,MATCH(ROWS($H$2:H627),$H$2:$H$1001,0),0),1)),INDEX($M$2:$M$1001,MATCH(ROWS($H$2:H627),$H$2:$H$1001,0),0)))</f>
        <v>0</v>
      </c>
      <c r="B627" s="3">
        <f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>0</v>
      </c>
      <c r="C627" s="3">
        <f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>0</v>
      </c>
      <c r="D627" s="3">
        <f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>0</v>
      </c>
      <c r="H627">
        <v>0</v>
      </c>
      <c r="I627">
        <v>0</v>
      </c>
      <c r="J627">
        <v>0</v>
      </c>
      <c r="K627">
        <f>IF(L627,TRUE,AND(O627:Q627))</f>
        <v>0</v>
      </c>
      <c r="L627">
        <f>COUNTBLANK(Metadata!B627:D627)=COLUMNS(Metadata!B627:D627)</f>
        <v>0</v>
      </c>
      <c r="M627">
        <v>0</v>
      </c>
      <c r="O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>
        <f>AND(IF(Metadata!C627="",FALSE,TRUE),exact(Metadata!C627,"rat metagenome"))</f>
        <v>0</v>
      </c>
      <c r="Q627">
        <f>AND(IF(Metadata!D627="",FALSE,TRUE),exact(Metadata!D627,"1427740"))</f>
        <v>0</v>
      </c>
    </row>
    <row r="628" spans="1:17">
      <c r="A628" s="4">
        <f>IF(B628=" "," ",HYPERLINK(CONCATENATE("#metadata!",ADDRESS(INDEX($J$2:$J$1001,MATCH(ROWS($H$2:H628),$H$2:$H$1001,0),0),1)),INDEX($M$2:$M$1001,MATCH(ROWS($H$2:H628),$H$2:$H$1001,0),0)))</f>
        <v>0</v>
      </c>
      <c r="B628" s="3">
        <f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>0</v>
      </c>
      <c r="C628" s="3">
        <f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>0</v>
      </c>
      <c r="D628" s="3">
        <f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>0</v>
      </c>
      <c r="H628">
        <v>0</v>
      </c>
      <c r="I628">
        <v>0</v>
      </c>
      <c r="J628">
        <v>0</v>
      </c>
      <c r="K628">
        <f>IF(L628,TRUE,AND(O628:Q628))</f>
        <v>0</v>
      </c>
      <c r="L628">
        <f>COUNTBLANK(Metadata!B628:D628)=COLUMNS(Metadata!B628:D628)</f>
        <v>0</v>
      </c>
      <c r="M628">
        <v>0</v>
      </c>
      <c r="O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>
        <f>AND(IF(Metadata!C628="",FALSE,TRUE),exact(Metadata!C628,"rat metagenome"))</f>
        <v>0</v>
      </c>
      <c r="Q628">
        <f>AND(IF(Metadata!D628="",FALSE,TRUE),exact(Metadata!D628,"1427740"))</f>
        <v>0</v>
      </c>
    </row>
    <row r="629" spans="1:17">
      <c r="A629" s="4">
        <f>IF(B629=" "," ",HYPERLINK(CONCATENATE("#metadata!",ADDRESS(INDEX($J$2:$J$1001,MATCH(ROWS($H$2:H629),$H$2:$H$1001,0),0),1)),INDEX($M$2:$M$1001,MATCH(ROWS($H$2:H629),$H$2:$H$1001,0),0)))</f>
        <v>0</v>
      </c>
      <c r="B629" s="3">
        <f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>0</v>
      </c>
      <c r="C629" s="3">
        <f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>0</v>
      </c>
      <c r="D629" s="3">
        <f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>0</v>
      </c>
      <c r="H629">
        <v>0</v>
      </c>
      <c r="I629">
        <v>0</v>
      </c>
      <c r="J629">
        <v>0</v>
      </c>
      <c r="K629">
        <f>IF(L629,TRUE,AND(O629:Q629))</f>
        <v>0</v>
      </c>
      <c r="L629">
        <f>COUNTBLANK(Metadata!B629:D629)=COLUMNS(Metadata!B629:D629)</f>
        <v>0</v>
      </c>
      <c r="M629">
        <v>0</v>
      </c>
      <c r="O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>
        <f>AND(IF(Metadata!C629="",FALSE,TRUE),exact(Metadata!C629,"rat metagenome"))</f>
        <v>0</v>
      </c>
      <c r="Q629">
        <f>AND(IF(Metadata!D629="",FALSE,TRUE),exact(Metadata!D629,"1427740"))</f>
        <v>0</v>
      </c>
    </row>
    <row r="630" spans="1:17">
      <c r="A630" s="4">
        <f>IF(B630=" "," ",HYPERLINK(CONCATENATE("#metadata!",ADDRESS(INDEX($J$2:$J$1001,MATCH(ROWS($H$2:H630),$H$2:$H$1001,0),0),1)),INDEX($M$2:$M$1001,MATCH(ROWS($H$2:H630),$H$2:$H$1001,0),0)))</f>
        <v>0</v>
      </c>
      <c r="B630" s="3">
        <f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>0</v>
      </c>
      <c r="C630" s="3">
        <f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>0</v>
      </c>
      <c r="D630" s="3">
        <f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>0</v>
      </c>
      <c r="H630">
        <v>0</v>
      </c>
      <c r="I630">
        <v>0</v>
      </c>
      <c r="J630">
        <v>0</v>
      </c>
      <c r="K630">
        <f>IF(L630,TRUE,AND(O630:Q630))</f>
        <v>0</v>
      </c>
      <c r="L630">
        <f>COUNTBLANK(Metadata!B630:D630)=COLUMNS(Metadata!B630:D630)</f>
        <v>0</v>
      </c>
      <c r="M630">
        <v>0</v>
      </c>
      <c r="O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>
        <f>AND(IF(Metadata!C630="",FALSE,TRUE),exact(Metadata!C630,"rat metagenome"))</f>
        <v>0</v>
      </c>
      <c r="Q630">
        <f>AND(IF(Metadata!D630="",FALSE,TRUE),exact(Metadata!D630,"1427740"))</f>
        <v>0</v>
      </c>
    </row>
    <row r="631" spans="1:17">
      <c r="A631" s="4">
        <f>IF(B631=" "," ",HYPERLINK(CONCATENATE("#metadata!",ADDRESS(INDEX($J$2:$J$1001,MATCH(ROWS($H$2:H631),$H$2:$H$1001,0),0),1)),INDEX($M$2:$M$1001,MATCH(ROWS($H$2:H631),$H$2:$H$1001,0),0)))</f>
        <v>0</v>
      </c>
      <c r="B631" s="3">
        <f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>0</v>
      </c>
      <c r="C631" s="3">
        <f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>0</v>
      </c>
      <c r="D631" s="3">
        <f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>0</v>
      </c>
      <c r="H631">
        <v>0</v>
      </c>
      <c r="I631">
        <v>0</v>
      </c>
      <c r="J631">
        <v>0</v>
      </c>
      <c r="K631">
        <f>IF(L631,TRUE,AND(O631:Q631))</f>
        <v>0</v>
      </c>
      <c r="L631">
        <f>COUNTBLANK(Metadata!B631:D631)=COLUMNS(Metadata!B631:D631)</f>
        <v>0</v>
      </c>
      <c r="M631">
        <v>0</v>
      </c>
      <c r="O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>
        <f>AND(IF(Metadata!C631="",FALSE,TRUE),exact(Metadata!C631,"rat metagenome"))</f>
        <v>0</v>
      </c>
      <c r="Q631">
        <f>AND(IF(Metadata!D631="",FALSE,TRUE),exact(Metadata!D631,"1427740"))</f>
        <v>0</v>
      </c>
    </row>
    <row r="632" spans="1:17">
      <c r="A632" s="4">
        <f>IF(B632=" "," ",HYPERLINK(CONCATENATE("#metadata!",ADDRESS(INDEX($J$2:$J$1001,MATCH(ROWS($H$2:H632),$H$2:$H$1001,0),0),1)),INDEX($M$2:$M$1001,MATCH(ROWS($H$2:H632),$H$2:$H$1001,0),0)))</f>
        <v>0</v>
      </c>
      <c r="B632" s="3">
        <f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>0</v>
      </c>
      <c r="C632" s="3">
        <f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>0</v>
      </c>
      <c r="D632" s="3">
        <f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>0</v>
      </c>
      <c r="H632">
        <v>0</v>
      </c>
      <c r="I632">
        <v>0</v>
      </c>
      <c r="J632">
        <v>0</v>
      </c>
      <c r="K632">
        <f>IF(L632,TRUE,AND(O632:Q632))</f>
        <v>0</v>
      </c>
      <c r="L632">
        <f>COUNTBLANK(Metadata!B632:D632)=COLUMNS(Metadata!B632:D632)</f>
        <v>0</v>
      </c>
      <c r="M632">
        <v>0</v>
      </c>
      <c r="O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>
        <f>AND(IF(Metadata!C632="",FALSE,TRUE),exact(Metadata!C632,"rat metagenome"))</f>
        <v>0</v>
      </c>
      <c r="Q632">
        <f>AND(IF(Metadata!D632="",FALSE,TRUE),exact(Metadata!D632,"1427740"))</f>
        <v>0</v>
      </c>
    </row>
    <row r="633" spans="1:17">
      <c r="A633" s="4">
        <f>IF(B633=" "," ",HYPERLINK(CONCATENATE("#metadata!",ADDRESS(INDEX($J$2:$J$1001,MATCH(ROWS($H$2:H633),$H$2:$H$1001,0),0),1)),INDEX($M$2:$M$1001,MATCH(ROWS($H$2:H633),$H$2:$H$1001,0),0)))</f>
        <v>0</v>
      </c>
      <c r="B633" s="3">
        <f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>0</v>
      </c>
      <c r="C633" s="3">
        <f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>0</v>
      </c>
      <c r="D633" s="3">
        <f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>0</v>
      </c>
      <c r="H633">
        <v>0</v>
      </c>
      <c r="I633">
        <v>0</v>
      </c>
      <c r="J633">
        <v>0</v>
      </c>
      <c r="K633">
        <f>IF(L633,TRUE,AND(O633:Q633))</f>
        <v>0</v>
      </c>
      <c r="L633">
        <f>COUNTBLANK(Metadata!B633:D633)=COLUMNS(Metadata!B633:D633)</f>
        <v>0</v>
      </c>
      <c r="M633">
        <v>0</v>
      </c>
      <c r="O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>
        <f>AND(IF(Metadata!C633="",FALSE,TRUE),exact(Metadata!C633,"rat metagenome"))</f>
        <v>0</v>
      </c>
      <c r="Q633">
        <f>AND(IF(Metadata!D633="",FALSE,TRUE),exact(Metadata!D633,"1427740"))</f>
        <v>0</v>
      </c>
    </row>
    <row r="634" spans="1:17">
      <c r="A634" s="4">
        <f>IF(B634=" "," ",HYPERLINK(CONCATENATE("#metadata!",ADDRESS(INDEX($J$2:$J$1001,MATCH(ROWS($H$2:H634),$H$2:$H$1001,0),0),1)),INDEX($M$2:$M$1001,MATCH(ROWS($H$2:H634),$H$2:$H$1001,0),0)))</f>
        <v>0</v>
      </c>
      <c r="B634" s="3">
        <f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>0</v>
      </c>
      <c r="C634" s="3">
        <f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>0</v>
      </c>
      <c r="D634" s="3">
        <f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>0</v>
      </c>
      <c r="H634">
        <v>0</v>
      </c>
      <c r="I634">
        <v>0</v>
      </c>
      <c r="J634">
        <v>0</v>
      </c>
      <c r="K634">
        <f>IF(L634,TRUE,AND(O634:Q634))</f>
        <v>0</v>
      </c>
      <c r="L634">
        <f>COUNTBLANK(Metadata!B634:D634)=COLUMNS(Metadata!B634:D634)</f>
        <v>0</v>
      </c>
      <c r="M634">
        <v>0</v>
      </c>
      <c r="O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>
        <f>AND(IF(Metadata!C634="",FALSE,TRUE),exact(Metadata!C634,"rat metagenome"))</f>
        <v>0</v>
      </c>
      <c r="Q634">
        <f>AND(IF(Metadata!D634="",FALSE,TRUE),exact(Metadata!D634,"1427740"))</f>
        <v>0</v>
      </c>
    </row>
    <row r="635" spans="1:17">
      <c r="A635" s="4">
        <f>IF(B635=" "," ",HYPERLINK(CONCATENATE("#metadata!",ADDRESS(INDEX($J$2:$J$1001,MATCH(ROWS($H$2:H635),$H$2:$H$1001,0),0),1)),INDEX($M$2:$M$1001,MATCH(ROWS($H$2:H635),$H$2:$H$1001,0),0)))</f>
        <v>0</v>
      </c>
      <c r="B635" s="3">
        <f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>0</v>
      </c>
      <c r="C635" s="3">
        <f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>0</v>
      </c>
      <c r="D635" s="3">
        <f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>0</v>
      </c>
      <c r="H635">
        <v>0</v>
      </c>
      <c r="I635">
        <v>0</v>
      </c>
      <c r="J635">
        <v>0</v>
      </c>
      <c r="K635">
        <f>IF(L635,TRUE,AND(O635:Q635))</f>
        <v>0</v>
      </c>
      <c r="L635">
        <f>COUNTBLANK(Metadata!B635:D635)=COLUMNS(Metadata!B635:D635)</f>
        <v>0</v>
      </c>
      <c r="M635">
        <v>0</v>
      </c>
      <c r="O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>
        <f>AND(IF(Metadata!C635="",FALSE,TRUE),exact(Metadata!C635,"rat metagenome"))</f>
        <v>0</v>
      </c>
      <c r="Q635">
        <f>AND(IF(Metadata!D635="",FALSE,TRUE),exact(Metadata!D635,"1427740"))</f>
        <v>0</v>
      </c>
    </row>
    <row r="636" spans="1:17">
      <c r="A636" s="4">
        <f>IF(B636=" "," ",HYPERLINK(CONCATENATE("#metadata!",ADDRESS(INDEX($J$2:$J$1001,MATCH(ROWS($H$2:H636),$H$2:$H$1001,0),0),1)),INDEX($M$2:$M$1001,MATCH(ROWS($H$2:H636),$H$2:$H$1001,0),0)))</f>
        <v>0</v>
      </c>
      <c r="B636" s="3">
        <f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>0</v>
      </c>
      <c r="C636" s="3">
        <f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>0</v>
      </c>
      <c r="D636" s="3">
        <f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>0</v>
      </c>
      <c r="H636">
        <v>0</v>
      </c>
      <c r="I636">
        <v>0</v>
      </c>
      <c r="J636">
        <v>0</v>
      </c>
      <c r="K636">
        <f>IF(L636,TRUE,AND(O636:Q636))</f>
        <v>0</v>
      </c>
      <c r="L636">
        <f>COUNTBLANK(Metadata!B636:D636)=COLUMNS(Metadata!B636:D636)</f>
        <v>0</v>
      </c>
      <c r="M636">
        <v>0</v>
      </c>
      <c r="O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>
        <f>AND(IF(Metadata!C636="",FALSE,TRUE),exact(Metadata!C636,"rat metagenome"))</f>
        <v>0</v>
      </c>
      <c r="Q636">
        <f>AND(IF(Metadata!D636="",FALSE,TRUE),exact(Metadata!D636,"1427740"))</f>
        <v>0</v>
      </c>
    </row>
    <row r="637" spans="1:17">
      <c r="A637" s="4">
        <f>IF(B637=" "," ",HYPERLINK(CONCATENATE("#metadata!",ADDRESS(INDEX($J$2:$J$1001,MATCH(ROWS($H$2:H637),$H$2:$H$1001,0),0),1)),INDEX($M$2:$M$1001,MATCH(ROWS($H$2:H637),$H$2:$H$1001,0),0)))</f>
        <v>0</v>
      </c>
      <c r="B637" s="3">
        <f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>0</v>
      </c>
      <c r="C637" s="3">
        <f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>0</v>
      </c>
      <c r="D637" s="3">
        <f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>0</v>
      </c>
      <c r="H637">
        <v>0</v>
      </c>
      <c r="I637">
        <v>0</v>
      </c>
      <c r="J637">
        <v>0</v>
      </c>
      <c r="K637">
        <f>IF(L637,TRUE,AND(O637:Q637))</f>
        <v>0</v>
      </c>
      <c r="L637">
        <f>COUNTBLANK(Metadata!B637:D637)=COLUMNS(Metadata!B637:D637)</f>
        <v>0</v>
      </c>
      <c r="M637">
        <v>0</v>
      </c>
      <c r="O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>
        <f>AND(IF(Metadata!C637="",FALSE,TRUE),exact(Metadata!C637,"rat metagenome"))</f>
        <v>0</v>
      </c>
      <c r="Q637">
        <f>AND(IF(Metadata!D637="",FALSE,TRUE),exact(Metadata!D637,"1427740"))</f>
        <v>0</v>
      </c>
    </row>
    <row r="638" spans="1:17">
      <c r="A638" s="4">
        <f>IF(B638=" "," ",HYPERLINK(CONCATENATE("#metadata!",ADDRESS(INDEX($J$2:$J$1001,MATCH(ROWS($H$2:H638),$H$2:$H$1001,0),0),1)),INDEX($M$2:$M$1001,MATCH(ROWS($H$2:H638),$H$2:$H$1001,0),0)))</f>
        <v>0</v>
      </c>
      <c r="B638" s="3">
        <f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>0</v>
      </c>
      <c r="C638" s="3">
        <f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>0</v>
      </c>
      <c r="D638" s="3">
        <f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>0</v>
      </c>
      <c r="H638">
        <v>0</v>
      </c>
      <c r="I638">
        <v>0</v>
      </c>
      <c r="J638">
        <v>0</v>
      </c>
      <c r="K638">
        <f>IF(L638,TRUE,AND(O638:Q638))</f>
        <v>0</v>
      </c>
      <c r="L638">
        <f>COUNTBLANK(Metadata!B638:D638)=COLUMNS(Metadata!B638:D638)</f>
        <v>0</v>
      </c>
      <c r="M638">
        <v>0</v>
      </c>
      <c r="O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>
        <f>AND(IF(Metadata!C638="",FALSE,TRUE),exact(Metadata!C638,"rat metagenome"))</f>
        <v>0</v>
      </c>
      <c r="Q638">
        <f>AND(IF(Metadata!D638="",FALSE,TRUE),exact(Metadata!D638,"1427740"))</f>
        <v>0</v>
      </c>
    </row>
    <row r="639" spans="1:17">
      <c r="A639" s="4">
        <f>IF(B639=" "," ",HYPERLINK(CONCATENATE("#metadata!",ADDRESS(INDEX($J$2:$J$1001,MATCH(ROWS($H$2:H639),$H$2:$H$1001,0),0),1)),INDEX($M$2:$M$1001,MATCH(ROWS($H$2:H639),$H$2:$H$1001,0),0)))</f>
        <v>0</v>
      </c>
      <c r="B639" s="3">
        <f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>0</v>
      </c>
      <c r="C639" s="3">
        <f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>0</v>
      </c>
      <c r="D639" s="3">
        <f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>0</v>
      </c>
      <c r="H639">
        <v>0</v>
      </c>
      <c r="I639">
        <v>0</v>
      </c>
      <c r="J639">
        <v>0</v>
      </c>
      <c r="K639">
        <f>IF(L639,TRUE,AND(O639:Q639))</f>
        <v>0</v>
      </c>
      <c r="L639">
        <f>COUNTBLANK(Metadata!B639:D639)=COLUMNS(Metadata!B639:D639)</f>
        <v>0</v>
      </c>
      <c r="M639">
        <v>0</v>
      </c>
      <c r="O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>
        <f>AND(IF(Metadata!C639="",FALSE,TRUE),exact(Metadata!C639,"rat metagenome"))</f>
        <v>0</v>
      </c>
      <c r="Q639">
        <f>AND(IF(Metadata!D639="",FALSE,TRUE),exact(Metadata!D639,"1427740"))</f>
        <v>0</v>
      </c>
    </row>
    <row r="640" spans="1:17">
      <c r="A640" s="4">
        <f>IF(B640=" "," ",HYPERLINK(CONCATENATE("#metadata!",ADDRESS(INDEX($J$2:$J$1001,MATCH(ROWS($H$2:H640),$H$2:$H$1001,0),0),1)),INDEX($M$2:$M$1001,MATCH(ROWS($H$2:H640),$H$2:$H$1001,0),0)))</f>
        <v>0</v>
      </c>
      <c r="B640" s="3">
        <f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>0</v>
      </c>
      <c r="C640" s="3">
        <f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>0</v>
      </c>
      <c r="D640" s="3">
        <f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>0</v>
      </c>
      <c r="H640">
        <v>0</v>
      </c>
      <c r="I640">
        <v>0</v>
      </c>
      <c r="J640">
        <v>0</v>
      </c>
      <c r="K640">
        <f>IF(L640,TRUE,AND(O640:Q640))</f>
        <v>0</v>
      </c>
      <c r="L640">
        <f>COUNTBLANK(Metadata!B640:D640)=COLUMNS(Metadata!B640:D640)</f>
        <v>0</v>
      </c>
      <c r="M640">
        <v>0</v>
      </c>
      <c r="O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>
        <f>AND(IF(Metadata!C640="",FALSE,TRUE),exact(Metadata!C640,"rat metagenome"))</f>
        <v>0</v>
      </c>
      <c r="Q640">
        <f>AND(IF(Metadata!D640="",FALSE,TRUE),exact(Metadata!D640,"1427740"))</f>
        <v>0</v>
      </c>
    </row>
    <row r="641" spans="1:17">
      <c r="A641" s="4">
        <f>IF(B641=" "," ",HYPERLINK(CONCATENATE("#metadata!",ADDRESS(INDEX($J$2:$J$1001,MATCH(ROWS($H$2:H641),$H$2:$H$1001,0),0),1)),INDEX($M$2:$M$1001,MATCH(ROWS($H$2:H641),$H$2:$H$1001,0),0)))</f>
        <v>0</v>
      </c>
      <c r="B641" s="3">
        <f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>0</v>
      </c>
      <c r="C641" s="3">
        <f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>0</v>
      </c>
      <c r="D641" s="3">
        <f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>0</v>
      </c>
      <c r="H641">
        <v>0</v>
      </c>
      <c r="I641">
        <v>0</v>
      </c>
      <c r="J641">
        <v>0</v>
      </c>
      <c r="K641">
        <f>IF(L641,TRUE,AND(O641:Q641))</f>
        <v>0</v>
      </c>
      <c r="L641">
        <f>COUNTBLANK(Metadata!B641:D641)=COLUMNS(Metadata!B641:D641)</f>
        <v>0</v>
      </c>
      <c r="M641">
        <v>0</v>
      </c>
      <c r="O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>
        <f>AND(IF(Metadata!C641="",FALSE,TRUE),exact(Metadata!C641,"rat metagenome"))</f>
        <v>0</v>
      </c>
      <c r="Q641">
        <f>AND(IF(Metadata!D641="",FALSE,TRUE),exact(Metadata!D641,"1427740"))</f>
        <v>0</v>
      </c>
    </row>
    <row r="642" spans="1:17">
      <c r="A642" s="4">
        <f>IF(B642=" "," ",HYPERLINK(CONCATENATE("#metadata!",ADDRESS(INDEX($J$2:$J$1001,MATCH(ROWS($H$2:H642),$H$2:$H$1001,0),0),1)),INDEX($M$2:$M$1001,MATCH(ROWS($H$2:H642),$H$2:$H$1001,0),0)))</f>
        <v>0</v>
      </c>
      <c r="B642" s="3">
        <f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>0</v>
      </c>
      <c r="C642" s="3">
        <f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>0</v>
      </c>
      <c r="D642" s="3">
        <f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>0</v>
      </c>
      <c r="H642">
        <v>0</v>
      </c>
      <c r="I642">
        <v>0</v>
      </c>
      <c r="J642">
        <v>0</v>
      </c>
      <c r="K642">
        <f>IF(L642,TRUE,AND(O642:Q642))</f>
        <v>0</v>
      </c>
      <c r="L642">
        <f>COUNTBLANK(Metadata!B642:D642)=COLUMNS(Metadata!B642:D642)</f>
        <v>0</v>
      </c>
      <c r="M642">
        <v>0</v>
      </c>
      <c r="O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>
        <f>AND(IF(Metadata!C642="",FALSE,TRUE),exact(Metadata!C642,"rat metagenome"))</f>
        <v>0</v>
      </c>
      <c r="Q642">
        <f>AND(IF(Metadata!D642="",FALSE,TRUE),exact(Metadata!D642,"1427740"))</f>
        <v>0</v>
      </c>
    </row>
    <row r="643" spans="1:17">
      <c r="A643" s="4">
        <f>IF(B643=" "," ",HYPERLINK(CONCATENATE("#metadata!",ADDRESS(INDEX($J$2:$J$1001,MATCH(ROWS($H$2:H643),$H$2:$H$1001,0),0),1)),INDEX($M$2:$M$1001,MATCH(ROWS($H$2:H643),$H$2:$H$1001,0),0)))</f>
        <v>0</v>
      </c>
      <c r="B643" s="3">
        <f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>0</v>
      </c>
      <c r="C643" s="3">
        <f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>0</v>
      </c>
      <c r="D643" s="3">
        <f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>0</v>
      </c>
      <c r="H643">
        <v>0</v>
      </c>
      <c r="I643">
        <v>0</v>
      </c>
      <c r="J643">
        <v>0</v>
      </c>
      <c r="K643">
        <f>IF(L643,TRUE,AND(O643:Q643))</f>
        <v>0</v>
      </c>
      <c r="L643">
        <f>COUNTBLANK(Metadata!B643:D643)=COLUMNS(Metadata!B643:D643)</f>
        <v>0</v>
      </c>
      <c r="M643">
        <v>0</v>
      </c>
      <c r="O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>
        <f>AND(IF(Metadata!C643="",FALSE,TRUE),exact(Metadata!C643,"rat metagenome"))</f>
        <v>0</v>
      </c>
      <c r="Q643">
        <f>AND(IF(Metadata!D643="",FALSE,TRUE),exact(Metadata!D643,"1427740"))</f>
        <v>0</v>
      </c>
    </row>
    <row r="644" spans="1:17">
      <c r="A644" s="4">
        <f>IF(B644=" "," ",HYPERLINK(CONCATENATE("#metadata!",ADDRESS(INDEX($J$2:$J$1001,MATCH(ROWS($H$2:H644),$H$2:$H$1001,0),0),1)),INDEX($M$2:$M$1001,MATCH(ROWS($H$2:H644),$H$2:$H$1001,0),0)))</f>
        <v>0</v>
      </c>
      <c r="B644" s="3">
        <f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>0</v>
      </c>
      <c r="C644" s="3">
        <f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>0</v>
      </c>
      <c r="D644" s="3">
        <f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>0</v>
      </c>
      <c r="H644">
        <v>0</v>
      </c>
      <c r="I644">
        <v>0</v>
      </c>
      <c r="J644">
        <v>0</v>
      </c>
      <c r="K644">
        <f>IF(L644,TRUE,AND(O644:Q644))</f>
        <v>0</v>
      </c>
      <c r="L644">
        <f>COUNTBLANK(Metadata!B644:D644)=COLUMNS(Metadata!B644:D644)</f>
        <v>0</v>
      </c>
      <c r="M644">
        <v>0</v>
      </c>
      <c r="O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>
        <f>AND(IF(Metadata!C644="",FALSE,TRUE),exact(Metadata!C644,"rat metagenome"))</f>
        <v>0</v>
      </c>
      <c r="Q644">
        <f>AND(IF(Metadata!D644="",FALSE,TRUE),exact(Metadata!D644,"1427740"))</f>
        <v>0</v>
      </c>
    </row>
    <row r="645" spans="1:17">
      <c r="A645" s="4">
        <f>IF(B645=" "," ",HYPERLINK(CONCATENATE("#metadata!",ADDRESS(INDEX($J$2:$J$1001,MATCH(ROWS($H$2:H645),$H$2:$H$1001,0),0),1)),INDEX($M$2:$M$1001,MATCH(ROWS($H$2:H645),$H$2:$H$1001,0),0)))</f>
        <v>0</v>
      </c>
      <c r="B645" s="3">
        <f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>0</v>
      </c>
      <c r="C645" s="3">
        <f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>0</v>
      </c>
      <c r="D645" s="3">
        <f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>0</v>
      </c>
      <c r="H645">
        <v>0</v>
      </c>
      <c r="I645">
        <v>0</v>
      </c>
      <c r="J645">
        <v>0</v>
      </c>
      <c r="K645">
        <f>IF(L645,TRUE,AND(O645:Q645))</f>
        <v>0</v>
      </c>
      <c r="L645">
        <f>COUNTBLANK(Metadata!B645:D645)=COLUMNS(Metadata!B645:D645)</f>
        <v>0</v>
      </c>
      <c r="M645">
        <v>0</v>
      </c>
      <c r="O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>
        <f>AND(IF(Metadata!C645="",FALSE,TRUE),exact(Metadata!C645,"rat metagenome"))</f>
        <v>0</v>
      </c>
      <c r="Q645">
        <f>AND(IF(Metadata!D645="",FALSE,TRUE),exact(Metadata!D645,"1427740"))</f>
        <v>0</v>
      </c>
    </row>
    <row r="646" spans="1:17">
      <c r="A646" s="4">
        <f>IF(B646=" "," ",HYPERLINK(CONCATENATE("#metadata!",ADDRESS(INDEX($J$2:$J$1001,MATCH(ROWS($H$2:H646),$H$2:$H$1001,0),0),1)),INDEX($M$2:$M$1001,MATCH(ROWS($H$2:H646),$H$2:$H$1001,0),0)))</f>
        <v>0</v>
      </c>
      <c r="B646" s="3">
        <f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>0</v>
      </c>
      <c r="C646" s="3">
        <f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>0</v>
      </c>
      <c r="D646" s="3">
        <f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>0</v>
      </c>
      <c r="H646">
        <v>0</v>
      </c>
      <c r="I646">
        <v>0</v>
      </c>
      <c r="J646">
        <v>0</v>
      </c>
      <c r="K646">
        <f>IF(L646,TRUE,AND(O646:Q646))</f>
        <v>0</v>
      </c>
      <c r="L646">
        <f>COUNTBLANK(Metadata!B646:D646)=COLUMNS(Metadata!B646:D646)</f>
        <v>0</v>
      </c>
      <c r="M646">
        <v>0</v>
      </c>
      <c r="O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>
        <f>AND(IF(Metadata!C646="",FALSE,TRUE),exact(Metadata!C646,"rat metagenome"))</f>
        <v>0</v>
      </c>
      <c r="Q646">
        <f>AND(IF(Metadata!D646="",FALSE,TRUE),exact(Metadata!D646,"1427740"))</f>
        <v>0</v>
      </c>
    </row>
    <row r="647" spans="1:17">
      <c r="A647" s="4">
        <f>IF(B647=" "," ",HYPERLINK(CONCATENATE("#metadata!",ADDRESS(INDEX($J$2:$J$1001,MATCH(ROWS($H$2:H647),$H$2:$H$1001,0),0),1)),INDEX($M$2:$M$1001,MATCH(ROWS($H$2:H647),$H$2:$H$1001,0),0)))</f>
        <v>0</v>
      </c>
      <c r="B647" s="3">
        <f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>0</v>
      </c>
      <c r="C647" s="3">
        <f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>0</v>
      </c>
      <c r="D647" s="3">
        <f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>0</v>
      </c>
      <c r="H647">
        <v>0</v>
      </c>
      <c r="I647">
        <v>0</v>
      </c>
      <c r="J647">
        <v>0</v>
      </c>
      <c r="K647">
        <f>IF(L647,TRUE,AND(O647:Q647))</f>
        <v>0</v>
      </c>
      <c r="L647">
        <f>COUNTBLANK(Metadata!B647:D647)=COLUMNS(Metadata!B647:D647)</f>
        <v>0</v>
      </c>
      <c r="M647">
        <v>0</v>
      </c>
      <c r="O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>
        <f>AND(IF(Metadata!C647="",FALSE,TRUE),exact(Metadata!C647,"rat metagenome"))</f>
        <v>0</v>
      </c>
      <c r="Q647">
        <f>AND(IF(Metadata!D647="",FALSE,TRUE),exact(Metadata!D647,"1427740"))</f>
        <v>0</v>
      </c>
    </row>
    <row r="648" spans="1:17">
      <c r="A648" s="4">
        <f>IF(B648=" "," ",HYPERLINK(CONCATENATE("#metadata!",ADDRESS(INDEX($J$2:$J$1001,MATCH(ROWS($H$2:H648),$H$2:$H$1001,0),0),1)),INDEX($M$2:$M$1001,MATCH(ROWS($H$2:H648),$H$2:$H$1001,0),0)))</f>
        <v>0</v>
      </c>
      <c r="B648" s="3">
        <f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>0</v>
      </c>
      <c r="C648" s="3">
        <f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>0</v>
      </c>
      <c r="D648" s="3">
        <f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>0</v>
      </c>
      <c r="H648">
        <v>0</v>
      </c>
      <c r="I648">
        <v>0</v>
      </c>
      <c r="J648">
        <v>0</v>
      </c>
      <c r="K648">
        <f>IF(L648,TRUE,AND(O648:Q648))</f>
        <v>0</v>
      </c>
      <c r="L648">
        <f>COUNTBLANK(Metadata!B648:D648)=COLUMNS(Metadata!B648:D648)</f>
        <v>0</v>
      </c>
      <c r="M648">
        <v>0</v>
      </c>
      <c r="O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>
        <f>AND(IF(Metadata!C648="",FALSE,TRUE),exact(Metadata!C648,"rat metagenome"))</f>
        <v>0</v>
      </c>
      <c r="Q648">
        <f>AND(IF(Metadata!D648="",FALSE,TRUE),exact(Metadata!D648,"1427740"))</f>
        <v>0</v>
      </c>
    </row>
    <row r="649" spans="1:17">
      <c r="A649" s="4">
        <f>IF(B649=" "," ",HYPERLINK(CONCATENATE("#metadata!",ADDRESS(INDEX($J$2:$J$1001,MATCH(ROWS($H$2:H649),$H$2:$H$1001,0),0),1)),INDEX($M$2:$M$1001,MATCH(ROWS($H$2:H649),$H$2:$H$1001,0),0)))</f>
        <v>0</v>
      </c>
      <c r="B649" s="3">
        <f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>0</v>
      </c>
      <c r="C649" s="3">
        <f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>0</v>
      </c>
      <c r="D649" s="3">
        <f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>0</v>
      </c>
      <c r="H649">
        <v>0</v>
      </c>
      <c r="I649">
        <v>0</v>
      </c>
      <c r="J649">
        <v>0</v>
      </c>
      <c r="K649">
        <f>IF(L649,TRUE,AND(O649:Q649))</f>
        <v>0</v>
      </c>
      <c r="L649">
        <f>COUNTBLANK(Metadata!B649:D649)=COLUMNS(Metadata!B649:D649)</f>
        <v>0</v>
      </c>
      <c r="M649">
        <v>0</v>
      </c>
      <c r="O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>
        <f>AND(IF(Metadata!C649="",FALSE,TRUE),exact(Metadata!C649,"rat metagenome"))</f>
        <v>0</v>
      </c>
      <c r="Q649">
        <f>AND(IF(Metadata!D649="",FALSE,TRUE),exact(Metadata!D649,"1427740"))</f>
        <v>0</v>
      </c>
    </row>
    <row r="650" spans="1:17">
      <c r="A650" s="4">
        <f>IF(B650=" "," ",HYPERLINK(CONCATENATE("#metadata!",ADDRESS(INDEX($J$2:$J$1001,MATCH(ROWS($H$2:H650),$H$2:$H$1001,0),0),1)),INDEX($M$2:$M$1001,MATCH(ROWS($H$2:H650),$H$2:$H$1001,0),0)))</f>
        <v>0</v>
      </c>
      <c r="B650" s="3">
        <f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>0</v>
      </c>
      <c r="C650" s="3">
        <f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>0</v>
      </c>
      <c r="D650" s="3">
        <f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>0</v>
      </c>
      <c r="H650">
        <v>0</v>
      </c>
      <c r="I650">
        <v>0</v>
      </c>
      <c r="J650">
        <v>0</v>
      </c>
      <c r="K650">
        <f>IF(L650,TRUE,AND(O650:Q650))</f>
        <v>0</v>
      </c>
      <c r="L650">
        <f>COUNTBLANK(Metadata!B650:D650)=COLUMNS(Metadata!B650:D650)</f>
        <v>0</v>
      </c>
      <c r="M650">
        <v>0</v>
      </c>
      <c r="O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>
        <f>AND(IF(Metadata!C650="",FALSE,TRUE),exact(Metadata!C650,"rat metagenome"))</f>
        <v>0</v>
      </c>
      <c r="Q650">
        <f>AND(IF(Metadata!D650="",FALSE,TRUE),exact(Metadata!D650,"1427740"))</f>
        <v>0</v>
      </c>
    </row>
    <row r="651" spans="1:17">
      <c r="A651" s="4">
        <f>IF(B651=" "," ",HYPERLINK(CONCATENATE("#metadata!",ADDRESS(INDEX($J$2:$J$1001,MATCH(ROWS($H$2:H651),$H$2:$H$1001,0),0),1)),INDEX($M$2:$M$1001,MATCH(ROWS($H$2:H651),$H$2:$H$1001,0),0)))</f>
        <v>0</v>
      </c>
      <c r="B651" s="3">
        <f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>0</v>
      </c>
      <c r="C651" s="3">
        <f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>0</v>
      </c>
      <c r="D651" s="3">
        <f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>0</v>
      </c>
      <c r="H651">
        <v>0</v>
      </c>
      <c r="I651">
        <v>0</v>
      </c>
      <c r="J651">
        <v>0</v>
      </c>
      <c r="K651">
        <f>IF(L651,TRUE,AND(O651:Q651))</f>
        <v>0</v>
      </c>
      <c r="L651">
        <f>COUNTBLANK(Metadata!B651:D651)=COLUMNS(Metadata!B651:D651)</f>
        <v>0</v>
      </c>
      <c r="M651">
        <v>0</v>
      </c>
      <c r="O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>
        <f>AND(IF(Metadata!C651="",FALSE,TRUE),exact(Metadata!C651,"rat metagenome"))</f>
        <v>0</v>
      </c>
      <c r="Q651">
        <f>AND(IF(Metadata!D651="",FALSE,TRUE),exact(Metadata!D651,"1427740"))</f>
        <v>0</v>
      </c>
    </row>
    <row r="652" spans="1:17">
      <c r="A652" s="4">
        <f>IF(B652=" "," ",HYPERLINK(CONCATENATE("#metadata!",ADDRESS(INDEX($J$2:$J$1001,MATCH(ROWS($H$2:H652),$H$2:$H$1001,0),0),1)),INDEX($M$2:$M$1001,MATCH(ROWS($H$2:H652),$H$2:$H$1001,0),0)))</f>
        <v>0</v>
      </c>
      <c r="B652" s="3">
        <f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>0</v>
      </c>
      <c r="C652" s="3">
        <f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>0</v>
      </c>
      <c r="D652" s="3">
        <f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>0</v>
      </c>
      <c r="H652">
        <v>0</v>
      </c>
      <c r="I652">
        <v>0</v>
      </c>
      <c r="J652">
        <v>0</v>
      </c>
      <c r="K652">
        <f>IF(L652,TRUE,AND(O652:Q652))</f>
        <v>0</v>
      </c>
      <c r="L652">
        <f>COUNTBLANK(Metadata!B652:D652)=COLUMNS(Metadata!B652:D652)</f>
        <v>0</v>
      </c>
      <c r="M652">
        <v>0</v>
      </c>
      <c r="O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>
        <f>AND(IF(Metadata!C652="",FALSE,TRUE),exact(Metadata!C652,"rat metagenome"))</f>
        <v>0</v>
      </c>
      <c r="Q652">
        <f>AND(IF(Metadata!D652="",FALSE,TRUE),exact(Metadata!D652,"1427740"))</f>
        <v>0</v>
      </c>
    </row>
    <row r="653" spans="1:17">
      <c r="A653" s="4">
        <f>IF(B653=" "," ",HYPERLINK(CONCATENATE("#metadata!",ADDRESS(INDEX($J$2:$J$1001,MATCH(ROWS($H$2:H653),$H$2:$H$1001,0),0),1)),INDEX($M$2:$M$1001,MATCH(ROWS($H$2:H653),$H$2:$H$1001,0),0)))</f>
        <v>0</v>
      </c>
      <c r="B653" s="3">
        <f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>0</v>
      </c>
      <c r="C653" s="3">
        <f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>0</v>
      </c>
      <c r="D653" s="3">
        <f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>0</v>
      </c>
      <c r="H653">
        <v>0</v>
      </c>
      <c r="I653">
        <v>0</v>
      </c>
      <c r="J653">
        <v>0</v>
      </c>
      <c r="K653">
        <f>IF(L653,TRUE,AND(O653:Q653))</f>
        <v>0</v>
      </c>
      <c r="L653">
        <f>COUNTBLANK(Metadata!B653:D653)=COLUMNS(Metadata!B653:D653)</f>
        <v>0</v>
      </c>
      <c r="M653">
        <v>0</v>
      </c>
      <c r="O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>
        <f>AND(IF(Metadata!C653="",FALSE,TRUE),exact(Metadata!C653,"rat metagenome"))</f>
        <v>0</v>
      </c>
      <c r="Q653">
        <f>AND(IF(Metadata!D653="",FALSE,TRUE),exact(Metadata!D653,"1427740"))</f>
        <v>0</v>
      </c>
    </row>
    <row r="654" spans="1:17">
      <c r="A654" s="4">
        <f>IF(B654=" "," ",HYPERLINK(CONCATENATE("#metadata!",ADDRESS(INDEX($J$2:$J$1001,MATCH(ROWS($H$2:H654),$H$2:$H$1001,0),0),1)),INDEX($M$2:$M$1001,MATCH(ROWS($H$2:H654),$H$2:$H$1001,0),0)))</f>
        <v>0</v>
      </c>
      <c r="B654" s="3">
        <f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>0</v>
      </c>
      <c r="C654" s="3">
        <f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>0</v>
      </c>
      <c r="D654" s="3">
        <f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>0</v>
      </c>
      <c r="H654">
        <v>0</v>
      </c>
      <c r="I654">
        <v>0</v>
      </c>
      <c r="J654">
        <v>0</v>
      </c>
      <c r="K654">
        <f>IF(L654,TRUE,AND(O654:Q654))</f>
        <v>0</v>
      </c>
      <c r="L654">
        <f>COUNTBLANK(Metadata!B654:D654)=COLUMNS(Metadata!B654:D654)</f>
        <v>0</v>
      </c>
      <c r="M654">
        <v>0</v>
      </c>
      <c r="O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>
        <f>AND(IF(Metadata!C654="",FALSE,TRUE),exact(Metadata!C654,"rat metagenome"))</f>
        <v>0</v>
      </c>
      <c r="Q654">
        <f>AND(IF(Metadata!D654="",FALSE,TRUE),exact(Metadata!D654,"1427740"))</f>
        <v>0</v>
      </c>
    </row>
    <row r="655" spans="1:17">
      <c r="A655" s="4">
        <f>IF(B655=" "," ",HYPERLINK(CONCATENATE("#metadata!",ADDRESS(INDEX($J$2:$J$1001,MATCH(ROWS($H$2:H655),$H$2:$H$1001,0),0),1)),INDEX($M$2:$M$1001,MATCH(ROWS($H$2:H655),$H$2:$H$1001,0),0)))</f>
        <v>0</v>
      </c>
      <c r="B655" s="3">
        <f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>0</v>
      </c>
      <c r="C655" s="3">
        <f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>0</v>
      </c>
      <c r="D655" s="3">
        <f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>0</v>
      </c>
      <c r="H655">
        <v>0</v>
      </c>
      <c r="I655">
        <v>0</v>
      </c>
      <c r="J655">
        <v>0</v>
      </c>
      <c r="K655">
        <f>IF(L655,TRUE,AND(O655:Q655))</f>
        <v>0</v>
      </c>
      <c r="L655">
        <f>COUNTBLANK(Metadata!B655:D655)=COLUMNS(Metadata!B655:D655)</f>
        <v>0</v>
      </c>
      <c r="M655">
        <v>0</v>
      </c>
      <c r="O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>
        <f>AND(IF(Metadata!C655="",FALSE,TRUE),exact(Metadata!C655,"rat metagenome"))</f>
        <v>0</v>
      </c>
      <c r="Q655">
        <f>AND(IF(Metadata!D655="",FALSE,TRUE),exact(Metadata!D655,"1427740"))</f>
        <v>0</v>
      </c>
    </row>
    <row r="656" spans="1:17">
      <c r="A656" s="4">
        <f>IF(B656=" "," ",HYPERLINK(CONCATENATE("#metadata!",ADDRESS(INDEX($J$2:$J$1001,MATCH(ROWS($H$2:H656),$H$2:$H$1001,0),0),1)),INDEX($M$2:$M$1001,MATCH(ROWS($H$2:H656),$H$2:$H$1001,0),0)))</f>
        <v>0</v>
      </c>
      <c r="B656" s="3">
        <f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>0</v>
      </c>
      <c r="C656" s="3">
        <f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>0</v>
      </c>
      <c r="D656" s="3">
        <f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>0</v>
      </c>
      <c r="H656">
        <v>0</v>
      </c>
      <c r="I656">
        <v>0</v>
      </c>
      <c r="J656">
        <v>0</v>
      </c>
      <c r="K656">
        <f>IF(L656,TRUE,AND(O656:Q656))</f>
        <v>0</v>
      </c>
      <c r="L656">
        <f>COUNTBLANK(Metadata!B656:D656)=COLUMNS(Metadata!B656:D656)</f>
        <v>0</v>
      </c>
      <c r="M656">
        <v>0</v>
      </c>
      <c r="O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>
        <f>AND(IF(Metadata!C656="",FALSE,TRUE),exact(Metadata!C656,"rat metagenome"))</f>
        <v>0</v>
      </c>
      <c r="Q656">
        <f>AND(IF(Metadata!D656="",FALSE,TRUE),exact(Metadata!D656,"1427740"))</f>
        <v>0</v>
      </c>
    </row>
    <row r="657" spans="1:17">
      <c r="A657" s="4">
        <f>IF(B657=" "," ",HYPERLINK(CONCATENATE("#metadata!",ADDRESS(INDEX($J$2:$J$1001,MATCH(ROWS($H$2:H657),$H$2:$H$1001,0),0),1)),INDEX($M$2:$M$1001,MATCH(ROWS($H$2:H657),$H$2:$H$1001,0),0)))</f>
        <v>0</v>
      </c>
      <c r="B657" s="3">
        <f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>0</v>
      </c>
      <c r="C657" s="3">
        <f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>0</v>
      </c>
      <c r="D657" s="3">
        <f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>0</v>
      </c>
      <c r="H657">
        <v>0</v>
      </c>
      <c r="I657">
        <v>0</v>
      </c>
      <c r="J657">
        <v>0</v>
      </c>
      <c r="K657">
        <f>IF(L657,TRUE,AND(O657:Q657))</f>
        <v>0</v>
      </c>
      <c r="L657">
        <f>COUNTBLANK(Metadata!B657:D657)=COLUMNS(Metadata!B657:D657)</f>
        <v>0</v>
      </c>
      <c r="M657">
        <v>0</v>
      </c>
      <c r="O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>
        <f>AND(IF(Metadata!C657="",FALSE,TRUE),exact(Metadata!C657,"rat metagenome"))</f>
        <v>0</v>
      </c>
      <c r="Q657">
        <f>AND(IF(Metadata!D657="",FALSE,TRUE),exact(Metadata!D657,"1427740"))</f>
        <v>0</v>
      </c>
    </row>
    <row r="658" spans="1:17">
      <c r="A658" s="4">
        <f>IF(B658=" "," ",HYPERLINK(CONCATENATE("#metadata!",ADDRESS(INDEX($J$2:$J$1001,MATCH(ROWS($H$2:H658),$H$2:$H$1001,0),0),1)),INDEX($M$2:$M$1001,MATCH(ROWS($H$2:H658),$H$2:$H$1001,0),0)))</f>
        <v>0</v>
      </c>
      <c r="B658" s="3">
        <f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>0</v>
      </c>
      <c r="C658" s="3">
        <f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>0</v>
      </c>
      <c r="D658" s="3">
        <f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>0</v>
      </c>
      <c r="H658">
        <v>0</v>
      </c>
      <c r="I658">
        <v>0</v>
      </c>
      <c r="J658">
        <v>0</v>
      </c>
      <c r="K658">
        <f>IF(L658,TRUE,AND(O658:Q658))</f>
        <v>0</v>
      </c>
      <c r="L658">
        <f>COUNTBLANK(Metadata!B658:D658)=COLUMNS(Metadata!B658:D658)</f>
        <v>0</v>
      </c>
      <c r="M658">
        <v>0</v>
      </c>
      <c r="O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>
        <f>AND(IF(Metadata!C658="",FALSE,TRUE),exact(Metadata!C658,"rat metagenome"))</f>
        <v>0</v>
      </c>
      <c r="Q658">
        <f>AND(IF(Metadata!D658="",FALSE,TRUE),exact(Metadata!D658,"1427740"))</f>
        <v>0</v>
      </c>
    </row>
    <row r="659" spans="1:17">
      <c r="A659" s="4">
        <f>IF(B659=" "," ",HYPERLINK(CONCATENATE("#metadata!",ADDRESS(INDEX($J$2:$J$1001,MATCH(ROWS($H$2:H659),$H$2:$H$1001,0),0),1)),INDEX($M$2:$M$1001,MATCH(ROWS($H$2:H659),$H$2:$H$1001,0),0)))</f>
        <v>0</v>
      </c>
      <c r="B659" s="3">
        <f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>0</v>
      </c>
      <c r="C659" s="3">
        <f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>0</v>
      </c>
      <c r="D659" s="3">
        <f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>0</v>
      </c>
      <c r="H659">
        <v>0</v>
      </c>
      <c r="I659">
        <v>0</v>
      </c>
      <c r="J659">
        <v>0</v>
      </c>
      <c r="K659">
        <f>IF(L659,TRUE,AND(O659:Q659))</f>
        <v>0</v>
      </c>
      <c r="L659">
        <f>COUNTBLANK(Metadata!B659:D659)=COLUMNS(Metadata!B659:D659)</f>
        <v>0</v>
      </c>
      <c r="M659">
        <v>0</v>
      </c>
      <c r="O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>
        <f>AND(IF(Metadata!C659="",FALSE,TRUE),exact(Metadata!C659,"rat metagenome"))</f>
        <v>0</v>
      </c>
      <c r="Q659">
        <f>AND(IF(Metadata!D659="",FALSE,TRUE),exact(Metadata!D659,"1427740"))</f>
        <v>0</v>
      </c>
    </row>
    <row r="660" spans="1:17">
      <c r="A660" s="4">
        <f>IF(B660=" "," ",HYPERLINK(CONCATENATE("#metadata!",ADDRESS(INDEX($J$2:$J$1001,MATCH(ROWS($H$2:H660),$H$2:$H$1001,0),0),1)),INDEX($M$2:$M$1001,MATCH(ROWS($H$2:H660),$H$2:$H$1001,0),0)))</f>
        <v>0</v>
      </c>
      <c r="B660" s="3">
        <f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>0</v>
      </c>
      <c r="C660" s="3">
        <f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>0</v>
      </c>
      <c r="D660" s="3">
        <f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>0</v>
      </c>
      <c r="H660">
        <v>0</v>
      </c>
      <c r="I660">
        <v>0</v>
      </c>
      <c r="J660">
        <v>0</v>
      </c>
      <c r="K660">
        <f>IF(L660,TRUE,AND(O660:Q660))</f>
        <v>0</v>
      </c>
      <c r="L660">
        <f>COUNTBLANK(Metadata!B660:D660)=COLUMNS(Metadata!B660:D660)</f>
        <v>0</v>
      </c>
      <c r="M660">
        <v>0</v>
      </c>
      <c r="O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>
        <f>AND(IF(Metadata!C660="",FALSE,TRUE),exact(Metadata!C660,"rat metagenome"))</f>
        <v>0</v>
      </c>
      <c r="Q660">
        <f>AND(IF(Metadata!D660="",FALSE,TRUE),exact(Metadata!D660,"1427740"))</f>
        <v>0</v>
      </c>
    </row>
    <row r="661" spans="1:17">
      <c r="A661" s="4">
        <f>IF(B661=" "," ",HYPERLINK(CONCATENATE("#metadata!",ADDRESS(INDEX($J$2:$J$1001,MATCH(ROWS($H$2:H661),$H$2:$H$1001,0),0),1)),INDEX($M$2:$M$1001,MATCH(ROWS($H$2:H661),$H$2:$H$1001,0),0)))</f>
        <v>0</v>
      </c>
      <c r="B661" s="3">
        <f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>0</v>
      </c>
      <c r="C661" s="3">
        <f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>0</v>
      </c>
      <c r="D661" s="3">
        <f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>0</v>
      </c>
      <c r="H661">
        <v>0</v>
      </c>
      <c r="I661">
        <v>0</v>
      </c>
      <c r="J661">
        <v>0</v>
      </c>
      <c r="K661">
        <f>IF(L661,TRUE,AND(O661:Q661))</f>
        <v>0</v>
      </c>
      <c r="L661">
        <f>COUNTBLANK(Metadata!B661:D661)=COLUMNS(Metadata!B661:D661)</f>
        <v>0</v>
      </c>
      <c r="M661">
        <v>0</v>
      </c>
      <c r="O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>
        <f>AND(IF(Metadata!C661="",FALSE,TRUE),exact(Metadata!C661,"rat metagenome"))</f>
        <v>0</v>
      </c>
      <c r="Q661">
        <f>AND(IF(Metadata!D661="",FALSE,TRUE),exact(Metadata!D661,"1427740"))</f>
        <v>0</v>
      </c>
    </row>
    <row r="662" spans="1:17">
      <c r="A662" s="4">
        <f>IF(B662=" "," ",HYPERLINK(CONCATENATE("#metadata!",ADDRESS(INDEX($J$2:$J$1001,MATCH(ROWS($H$2:H662),$H$2:$H$1001,0),0),1)),INDEX($M$2:$M$1001,MATCH(ROWS($H$2:H662),$H$2:$H$1001,0),0)))</f>
        <v>0</v>
      </c>
      <c r="B662" s="3">
        <f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>0</v>
      </c>
      <c r="C662" s="3">
        <f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>0</v>
      </c>
      <c r="D662" s="3">
        <f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>0</v>
      </c>
      <c r="H662">
        <v>0</v>
      </c>
      <c r="I662">
        <v>0</v>
      </c>
      <c r="J662">
        <v>0</v>
      </c>
      <c r="K662">
        <f>IF(L662,TRUE,AND(O662:Q662))</f>
        <v>0</v>
      </c>
      <c r="L662">
        <f>COUNTBLANK(Metadata!B662:D662)=COLUMNS(Metadata!B662:D662)</f>
        <v>0</v>
      </c>
      <c r="M662">
        <v>0</v>
      </c>
      <c r="O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>
        <f>AND(IF(Metadata!C662="",FALSE,TRUE),exact(Metadata!C662,"rat metagenome"))</f>
        <v>0</v>
      </c>
      <c r="Q662">
        <f>AND(IF(Metadata!D662="",FALSE,TRUE),exact(Metadata!D662,"1427740"))</f>
        <v>0</v>
      </c>
    </row>
    <row r="663" spans="1:17">
      <c r="A663" s="4">
        <f>IF(B663=" "," ",HYPERLINK(CONCATENATE("#metadata!",ADDRESS(INDEX($J$2:$J$1001,MATCH(ROWS($H$2:H663),$H$2:$H$1001,0),0),1)),INDEX($M$2:$M$1001,MATCH(ROWS($H$2:H663),$H$2:$H$1001,0),0)))</f>
        <v>0</v>
      </c>
      <c r="B663" s="3">
        <f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>0</v>
      </c>
      <c r="C663" s="3">
        <f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>0</v>
      </c>
      <c r="D663" s="3">
        <f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>0</v>
      </c>
      <c r="H663">
        <v>0</v>
      </c>
      <c r="I663">
        <v>0</v>
      </c>
      <c r="J663">
        <v>0</v>
      </c>
      <c r="K663">
        <f>IF(L663,TRUE,AND(O663:Q663))</f>
        <v>0</v>
      </c>
      <c r="L663">
        <f>COUNTBLANK(Metadata!B663:D663)=COLUMNS(Metadata!B663:D663)</f>
        <v>0</v>
      </c>
      <c r="M663">
        <v>0</v>
      </c>
      <c r="O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>
        <f>AND(IF(Metadata!C663="",FALSE,TRUE),exact(Metadata!C663,"rat metagenome"))</f>
        <v>0</v>
      </c>
      <c r="Q663">
        <f>AND(IF(Metadata!D663="",FALSE,TRUE),exact(Metadata!D663,"1427740"))</f>
        <v>0</v>
      </c>
    </row>
    <row r="664" spans="1:17">
      <c r="A664" s="4">
        <f>IF(B664=" "," ",HYPERLINK(CONCATENATE("#metadata!",ADDRESS(INDEX($J$2:$J$1001,MATCH(ROWS($H$2:H664),$H$2:$H$1001,0),0),1)),INDEX($M$2:$M$1001,MATCH(ROWS($H$2:H664),$H$2:$H$1001,0),0)))</f>
        <v>0</v>
      </c>
      <c r="B664" s="3">
        <f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>0</v>
      </c>
      <c r="C664" s="3">
        <f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>0</v>
      </c>
      <c r="D664" s="3">
        <f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>0</v>
      </c>
      <c r="H664">
        <v>0</v>
      </c>
      <c r="I664">
        <v>0</v>
      </c>
      <c r="J664">
        <v>0</v>
      </c>
      <c r="K664">
        <f>IF(L664,TRUE,AND(O664:Q664))</f>
        <v>0</v>
      </c>
      <c r="L664">
        <f>COUNTBLANK(Metadata!B664:D664)=COLUMNS(Metadata!B664:D664)</f>
        <v>0</v>
      </c>
      <c r="M664">
        <v>0</v>
      </c>
      <c r="O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>
        <f>AND(IF(Metadata!C664="",FALSE,TRUE),exact(Metadata!C664,"rat metagenome"))</f>
        <v>0</v>
      </c>
      <c r="Q664">
        <f>AND(IF(Metadata!D664="",FALSE,TRUE),exact(Metadata!D664,"1427740"))</f>
        <v>0</v>
      </c>
    </row>
    <row r="665" spans="1:17">
      <c r="A665" s="4">
        <f>IF(B665=" "," ",HYPERLINK(CONCATENATE("#metadata!",ADDRESS(INDEX($J$2:$J$1001,MATCH(ROWS($H$2:H665),$H$2:$H$1001,0),0),1)),INDEX($M$2:$M$1001,MATCH(ROWS($H$2:H665),$H$2:$H$1001,0),0)))</f>
        <v>0</v>
      </c>
      <c r="B665" s="3">
        <f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>0</v>
      </c>
      <c r="C665" s="3">
        <f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>0</v>
      </c>
      <c r="D665" s="3">
        <f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>0</v>
      </c>
      <c r="H665">
        <v>0</v>
      </c>
      <c r="I665">
        <v>0</v>
      </c>
      <c r="J665">
        <v>0</v>
      </c>
      <c r="K665">
        <f>IF(L665,TRUE,AND(O665:Q665))</f>
        <v>0</v>
      </c>
      <c r="L665">
        <f>COUNTBLANK(Metadata!B665:D665)=COLUMNS(Metadata!B665:D665)</f>
        <v>0</v>
      </c>
      <c r="M665">
        <v>0</v>
      </c>
      <c r="O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>
        <f>AND(IF(Metadata!C665="",FALSE,TRUE),exact(Metadata!C665,"rat metagenome"))</f>
        <v>0</v>
      </c>
      <c r="Q665">
        <f>AND(IF(Metadata!D665="",FALSE,TRUE),exact(Metadata!D665,"1427740"))</f>
        <v>0</v>
      </c>
    </row>
    <row r="666" spans="1:17">
      <c r="A666" s="4">
        <f>IF(B666=" "," ",HYPERLINK(CONCATENATE("#metadata!",ADDRESS(INDEX($J$2:$J$1001,MATCH(ROWS($H$2:H666),$H$2:$H$1001,0),0),1)),INDEX($M$2:$M$1001,MATCH(ROWS($H$2:H666),$H$2:$H$1001,0),0)))</f>
        <v>0</v>
      </c>
      <c r="B666" s="3">
        <f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>0</v>
      </c>
      <c r="C666" s="3">
        <f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>0</v>
      </c>
      <c r="D666" s="3">
        <f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>0</v>
      </c>
      <c r="H666">
        <v>0</v>
      </c>
      <c r="I666">
        <v>0</v>
      </c>
      <c r="J666">
        <v>0</v>
      </c>
      <c r="K666">
        <f>IF(L666,TRUE,AND(O666:Q666))</f>
        <v>0</v>
      </c>
      <c r="L666">
        <f>COUNTBLANK(Metadata!B666:D666)=COLUMNS(Metadata!B666:D666)</f>
        <v>0</v>
      </c>
      <c r="M666">
        <v>0</v>
      </c>
      <c r="O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>
        <f>AND(IF(Metadata!C666="",FALSE,TRUE),exact(Metadata!C666,"rat metagenome"))</f>
        <v>0</v>
      </c>
      <c r="Q666">
        <f>AND(IF(Metadata!D666="",FALSE,TRUE),exact(Metadata!D666,"1427740"))</f>
        <v>0</v>
      </c>
    </row>
    <row r="667" spans="1:17">
      <c r="A667" s="4">
        <f>IF(B667=" "," ",HYPERLINK(CONCATENATE("#metadata!",ADDRESS(INDEX($J$2:$J$1001,MATCH(ROWS($H$2:H667),$H$2:$H$1001,0),0),1)),INDEX($M$2:$M$1001,MATCH(ROWS($H$2:H667),$H$2:$H$1001,0),0)))</f>
        <v>0</v>
      </c>
      <c r="B667" s="3">
        <f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>0</v>
      </c>
      <c r="C667" s="3">
        <f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>0</v>
      </c>
      <c r="D667" s="3">
        <f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>0</v>
      </c>
      <c r="H667">
        <v>0</v>
      </c>
      <c r="I667">
        <v>0</v>
      </c>
      <c r="J667">
        <v>0</v>
      </c>
      <c r="K667">
        <f>IF(L667,TRUE,AND(O667:Q667))</f>
        <v>0</v>
      </c>
      <c r="L667">
        <f>COUNTBLANK(Metadata!B667:D667)=COLUMNS(Metadata!B667:D667)</f>
        <v>0</v>
      </c>
      <c r="M667">
        <v>0</v>
      </c>
      <c r="O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>
        <f>AND(IF(Metadata!C667="",FALSE,TRUE),exact(Metadata!C667,"rat metagenome"))</f>
        <v>0</v>
      </c>
      <c r="Q667">
        <f>AND(IF(Metadata!D667="",FALSE,TRUE),exact(Metadata!D667,"1427740"))</f>
        <v>0</v>
      </c>
    </row>
    <row r="668" spans="1:17">
      <c r="A668" s="4">
        <f>IF(B668=" "," ",HYPERLINK(CONCATENATE("#metadata!",ADDRESS(INDEX($J$2:$J$1001,MATCH(ROWS($H$2:H668),$H$2:$H$1001,0),0),1)),INDEX($M$2:$M$1001,MATCH(ROWS($H$2:H668),$H$2:$H$1001,0),0)))</f>
        <v>0</v>
      </c>
      <c r="B668" s="3">
        <f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>0</v>
      </c>
      <c r="C668" s="3">
        <f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>0</v>
      </c>
      <c r="D668" s="3">
        <f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>0</v>
      </c>
      <c r="H668">
        <v>0</v>
      </c>
      <c r="I668">
        <v>0</v>
      </c>
      <c r="J668">
        <v>0</v>
      </c>
      <c r="K668">
        <f>IF(L668,TRUE,AND(O668:Q668))</f>
        <v>0</v>
      </c>
      <c r="L668">
        <f>COUNTBLANK(Metadata!B668:D668)=COLUMNS(Metadata!B668:D668)</f>
        <v>0</v>
      </c>
      <c r="M668">
        <v>0</v>
      </c>
      <c r="O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>
        <f>AND(IF(Metadata!C668="",FALSE,TRUE),exact(Metadata!C668,"rat metagenome"))</f>
        <v>0</v>
      </c>
      <c r="Q668">
        <f>AND(IF(Metadata!D668="",FALSE,TRUE),exact(Metadata!D668,"1427740"))</f>
        <v>0</v>
      </c>
    </row>
    <row r="669" spans="1:17">
      <c r="A669" s="4">
        <f>IF(B669=" "," ",HYPERLINK(CONCATENATE("#metadata!",ADDRESS(INDEX($J$2:$J$1001,MATCH(ROWS($H$2:H669),$H$2:$H$1001,0),0),1)),INDEX($M$2:$M$1001,MATCH(ROWS($H$2:H669),$H$2:$H$1001,0),0)))</f>
        <v>0</v>
      </c>
      <c r="B669" s="3">
        <f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>0</v>
      </c>
      <c r="C669" s="3">
        <f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>0</v>
      </c>
      <c r="D669" s="3">
        <f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>0</v>
      </c>
      <c r="H669">
        <v>0</v>
      </c>
      <c r="I669">
        <v>0</v>
      </c>
      <c r="J669">
        <v>0</v>
      </c>
      <c r="K669">
        <f>IF(L669,TRUE,AND(O669:Q669))</f>
        <v>0</v>
      </c>
      <c r="L669">
        <f>COUNTBLANK(Metadata!B669:D669)=COLUMNS(Metadata!B669:D669)</f>
        <v>0</v>
      </c>
      <c r="M669">
        <v>0</v>
      </c>
      <c r="O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>
        <f>AND(IF(Metadata!C669="",FALSE,TRUE),exact(Metadata!C669,"rat metagenome"))</f>
        <v>0</v>
      </c>
      <c r="Q669">
        <f>AND(IF(Metadata!D669="",FALSE,TRUE),exact(Metadata!D669,"1427740"))</f>
        <v>0</v>
      </c>
    </row>
    <row r="670" spans="1:17">
      <c r="A670" s="4">
        <f>IF(B670=" "," ",HYPERLINK(CONCATENATE("#metadata!",ADDRESS(INDEX($J$2:$J$1001,MATCH(ROWS($H$2:H670),$H$2:$H$1001,0),0),1)),INDEX($M$2:$M$1001,MATCH(ROWS($H$2:H670),$H$2:$H$1001,0),0)))</f>
        <v>0</v>
      </c>
      <c r="B670" s="3">
        <f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>0</v>
      </c>
      <c r="C670" s="3">
        <f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>0</v>
      </c>
      <c r="D670" s="3">
        <f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>0</v>
      </c>
      <c r="H670">
        <v>0</v>
      </c>
      <c r="I670">
        <v>0</v>
      </c>
      <c r="J670">
        <v>0</v>
      </c>
      <c r="K670">
        <f>IF(L670,TRUE,AND(O670:Q670))</f>
        <v>0</v>
      </c>
      <c r="L670">
        <f>COUNTBLANK(Metadata!B670:D670)=COLUMNS(Metadata!B670:D670)</f>
        <v>0</v>
      </c>
      <c r="M670">
        <v>0</v>
      </c>
      <c r="O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>
        <f>AND(IF(Metadata!C670="",FALSE,TRUE),exact(Metadata!C670,"rat metagenome"))</f>
        <v>0</v>
      </c>
      <c r="Q670">
        <f>AND(IF(Metadata!D670="",FALSE,TRUE),exact(Metadata!D670,"1427740"))</f>
        <v>0</v>
      </c>
    </row>
    <row r="671" spans="1:17">
      <c r="A671" s="4">
        <f>IF(B671=" "," ",HYPERLINK(CONCATENATE("#metadata!",ADDRESS(INDEX($J$2:$J$1001,MATCH(ROWS($H$2:H671),$H$2:$H$1001,0),0),1)),INDEX($M$2:$M$1001,MATCH(ROWS($H$2:H671),$H$2:$H$1001,0),0)))</f>
        <v>0</v>
      </c>
      <c r="B671" s="3">
        <f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>0</v>
      </c>
      <c r="C671" s="3">
        <f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>0</v>
      </c>
      <c r="D671" s="3">
        <f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>0</v>
      </c>
      <c r="H671">
        <v>0</v>
      </c>
      <c r="I671">
        <v>0</v>
      </c>
      <c r="J671">
        <v>0</v>
      </c>
      <c r="K671">
        <f>IF(L671,TRUE,AND(O671:Q671))</f>
        <v>0</v>
      </c>
      <c r="L671">
        <f>COUNTBLANK(Metadata!B671:D671)=COLUMNS(Metadata!B671:D671)</f>
        <v>0</v>
      </c>
      <c r="M671">
        <v>0</v>
      </c>
      <c r="O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>
        <f>AND(IF(Metadata!C671="",FALSE,TRUE),exact(Metadata!C671,"rat metagenome"))</f>
        <v>0</v>
      </c>
      <c r="Q671">
        <f>AND(IF(Metadata!D671="",FALSE,TRUE),exact(Metadata!D671,"1427740"))</f>
        <v>0</v>
      </c>
    </row>
    <row r="672" spans="1:17">
      <c r="A672" s="4">
        <f>IF(B672=" "," ",HYPERLINK(CONCATENATE("#metadata!",ADDRESS(INDEX($J$2:$J$1001,MATCH(ROWS($H$2:H672),$H$2:$H$1001,0),0),1)),INDEX($M$2:$M$1001,MATCH(ROWS($H$2:H672),$H$2:$H$1001,0),0)))</f>
        <v>0</v>
      </c>
      <c r="B672" s="3">
        <f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>0</v>
      </c>
      <c r="C672" s="3">
        <f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>0</v>
      </c>
      <c r="D672" s="3">
        <f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>0</v>
      </c>
      <c r="H672">
        <v>0</v>
      </c>
      <c r="I672">
        <v>0</v>
      </c>
      <c r="J672">
        <v>0</v>
      </c>
      <c r="K672">
        <f>IF(L672,TRUE,AND(O672:Q672))</f>
        <v>0</v>
      </c>
      <c r="L672">
        <f>COUNTBLANK(Metadata!B672:D672)=COLUMNS(Metadata!B672:D672)</f>
        <v>0</v>
      </c>
      <c r="M672">
        <v>0</v>
      </c>
      <c r="O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>
        <f>AND(IF(Metadata!C672="",FALSE,TRUE),exact(Metadata!C672,"rat metagenome"))</f>
        <v>0</v>
      </c>
      <c r="Q672">
        <f>AND(IF(Metadata!D672="",FALSE,TRUE),exact(Metadata!D672,"1427740"))</f>
        <v>0</v>
      </c>
    </row>
    <row r="673" spans="1:17">
      <c r="A673" s="4">
        <f>IF(B673=" "," ",HYPERLINK(CONCATENATE("#metadata!",ADDRESS(INDEX($J$2:$J$1001,MATCH(ROWS($H$2:H673),$H$2:$H$1001,0),0),1)),INDEX($M$2:$M$1001,MATCH(ROWS($H$2:H673),$H$2:$H$1001,0),0)))</f>
        <v>0</v>
      </c>
      <c r="B673" s="3">
        <f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>0</v>
      </c>
      <c r="C673" s="3">
        <f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>0</v>
      </c>
      <c r="D673" s="3">
        <f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>0</v>
      </c>
      <c r="H673">
        <v>0</v>
      </c>
      <c r="I673">
        <v>0</v>
      </c>
      <c r="J673">
        <v>0</v>
      </c>
      <c r="K673">
        <f>IF(L673,TRUE,AND(O673:Q673))</f>
        <v>0</v>
      </c>
      <c r="L673">
        <f>COUNTBLANK(Metadata!B673:D673)=COLUMNS(Metadata!B673:D673)</f>
        <v>0</v>
      </c>
      <c r="M673">
        <v>0</v>
      </c>
      <c r="O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>
        <f>AND(IF(Metadata!C673="",FALSE,TRUE),exact(Metadata!C673,"rat metagenome"))</f>
        <v>0</v>
      </c>
      <c r="Q673">
        <f>AND(IF(Metadata!D673="",FALSE,TRUE),exact(Metadata!D673,"1427740"))</f>
        <v>0</v>
      </c>
    </row>
    <row r="674" spans="1:17">
      <c r="A674" s="4">
        <f>IF(B674=" "," ",HYPERLINK(CONCATENATE("#metadata!",ADDRESS(INDEX($J$2:$J$1001,MATCH(ROWS($H$2:H674),$H$2:$H$1001,0),0),1)),INDEX($M$2:$M$1001,MATCH(ROWS($H$2:H674),$H$2:$H$1001,0),0)))</f>
        <v>0</v>
      </c>
      <c r="B674" s="3">
        <f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>0</v>
      </c>
      <c r="C674" s="3">
        <f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>0</v>
      </c>
      <c r="D674" s="3">
        <f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>0</v>
      </c>
      <c r="H674">
        <v>0</v>
      </c>
      <c r="I674">
        <v>0</v>
      </c>
      <c r="J674">
        <v>0</v>
      </c>
      <c r="K674">
        <f>IF(L674,TRUE,AND(O674:Q674))</f>
        <v>0</v>
      </c>
      <c r="L674">
        <f>COUNTBLANK(Metadata!B674:D674)=COLUMNS(Metadata!B674:D674)</f>
        <v>0</v>
      </c>
      <c r="M674">
        <v>0</v>
      </c>
      <c r="O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>
        <f>AND(IF(Metadata!C674="",FALSE,TRUE),exact(Metadata!C674,"rat metagenome"))</f>
        <v>0</v>
      </c>
      <c r="Q674">
        <f>AND(IF(Metadata!D674="",FALSE,TRUE),exact(Metadata!D674,"1427740"))</f>
        <v>0</v>
      </c>
    </row>
    <row r="675" spans="1:17">
      <c r="A675" s="4">
        <f>IF(B675=" "," ",HYPERLINK(CONCATENATE("#metadata!",ADDRESS(INDEX($J$2:$J$1001,MATCH(ROWS($H$2:H675),$H$2:$H$1001,0),0),1)),INDEX($M$2:$M$1001,MATCH(ROWS($H$2:H675),$H$2:$H$1001,0),0)))</f>
        <v>0</v>
      </c>
      <c r="B675" s="3">
        <f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>0</v>
      </c>
      <c r="C675" s="3">
        <f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>0</v>
      </c>
      <c r="D675" s="3">
        <f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>0</v>
      </c>
      <c r="H675">
        <v>0</v>
      </c>
      <c r="I675">
        <v>0</v>
      </c>
      <c r="J675">
        <v>0</v>
      </c>
      <c r="K675">
        <f>IF(L675,TRUE,AND(O675:Q675))</f>
        <v>0</v>
      </c>
      <c r="L675">
        <f>COUNTBLANK(Metadata!B675:D675)=COLUMNS(Metadata!B675:D675)</f>
        <v>0</v>
      </c>
      <c r="M675">
        <v>0</v>
      </c>
      <c r="O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>
        <f>AND(IF(Metadata!C675="",FALSE,TRUE),exact(Metadata!C675,"rat metagenome"))</f>
        <v>0</v>
      </c>
      <c r="Q675">
        <f>AND(IF(Metadata!D675="",FALSE,TRUE),exact(Metadata!D675,"1427740"))</f>
        <v>0</v>
      </c>
    </row>
    <row r="676" spans="1:17">
      <c r="A676" s="4">
        <f>IF(B676=" "," ",HYPERLINK(CONCATENATE("#metadata!",ADDRESS(INDEX($J$2:$J$1001,MATCH(ROWS($H$2:H676),$H$2:$H$1001,0),0),1)),INDEX($M$2:$M$1001,MATCH(ROWS($H$2:H676),$H$2:$H$1001,0),0)))</f>
        <v>0</v>
      </c>
      <c r="B676" s="3">
        <f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>0</v>
      </c>
      <c r="C676" s="3">
        <f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>0</v>
      </c>
      <c r="D676" s="3">
        <f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>0</v>
      </c>
      <c r="H676">
        <v>0</v>
      </c>
      <c r="I676">
        <v>0</v>
      </c>
      <c r="J676">
        <v>0</v>
      </c>
      <c r="K676">
        <f>IF(L676,TRUE,AND(O676:Q676))</f>
        <v>0</v>
      </c>
      <c r="L676">
        <f>COUNTBLANK(Metadata!B676:D676)=COLUMNS(Metadata!B676:D676)</f>
        <v>0</v>
      </c>
      <c r="M676">
        <v>0</v>
      </c>
      <c r="O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>
        <f>AND(IF(Metadata!C676="",FALSE,TRUE),exact(Metadata!C676,"rat metagenome"))</f>
        <v>0</v>
      </c>
      <c r="Q676">
        <f>AND(IF(Metadata!D676="",FALSE,TRUE),exact(Metadata!D676,"1427740"))</f>
        <v>0</v>
      </c>
    </row>
    <row r="677" spans="1:17">
      <c r="A677" s="4">
        <f>IF(B677=" "," ",HYPERLINK(CONCATENATE("#metadata!",ADDRESS(INDEX($J$2:$J$1001,MATCH(ROWS($H$2:H677),$H$2:$H$1001,0),0),1)),INDEX($M$2:$M$1001,MATCH(ROWS($H$2:H677),$H$2:$H$1001,0),0)))</f>
        <v>0</v>
      </c>
      <c r="B677" s="3">
        <f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>0</v>
      </c>
      <c r="C677" s="3">
        <f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>0</v>
      </c>
      <c r="D677" s="3">
        <f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>0</v>
      </c>
      <c r="H677">
        <v>0</v>
      </c>
      <c r="I677">
        <v>0</v>
      </c>
      <c r="J677">
        <v>0</v>
      </c>
      <c r="K677">
        <f>IF(L677,TRUE,AND(O677:Q677))</f>
        <v>0</v>
      </c>
      <c r="L677">
        <f>COUNTBLANK(Metadata!B677:D677)=COLUMNS(Metadata!B677:D677)</f>
        <v>0</v>
      </c>
      <c r="M677">
        <v>0</v>
      </c>
      <c r="O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>
        <f>AND(IF(Metadata!C677="",FALSE,TRUE),exact(Metadata!C677,"rat metagenome"))</f>
        <v>0</v>
      </c>
      <c r="Q677">
        <f>AND(IF(Metadata!D677="",FALSE,TRUE),exact(Metadata!D677,"1427740"))</f>
        <v>0</v>
      </c>
    </row>
    <row r="678" spans="1:17">
      <c r="A678" s="4">
        <f>IF(B678=" "," ",HYPERLINK(CONCATENATE("#metadata!",ADDRESS(INDEX($J$2:$J$1001,MATCH(ROWS($H$2:H678),$H$2:$H$1001,0),0),1)),INDEX($M$2:$M$1001,MATCH(ROWS($H$2:H678),$H$2:$H$1001,0),0)))</f>
        <v>0</v>
      </c>
      <c r="B678" s="3">
        <f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>0</v>
      </c>
      <c r="C678" s="3">
        <f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>0</v>
      </c>
      <c r="D678" s="3">
        <f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>0</v>
      </c>
      <c r="H678">
        <v>0</v>
      </c>
      <c r="I678">
        <v>0</v>
      </c>
      <c r="J678">
        <v>0</v>
      </c>
      <c r="K678">
        <f>IF(L678,TRUE,AND(O678:Q678))</f>
        <v>0</v>
      </c>
      <c r="L678">
        <f>COUNTBLANK(Metadata!B678:D678)=COLUMNS(Metadata!B678:D678)</f>
        <v>0</v>
      </c>
      <c r="M678">
        <v>0</v>
      </c>
      <c r="O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>
        <f>AND(IF(Metadata!C678="",FALSE,TRUE),exact(Metadata!C678,"rat metagenome"))</f>
        <v>0</v>
      </c>
      <c r="Q678">
        <f>AND(IF(Metadata!D678="",FALSE,TRUE),exact(Metadata!D678,"1427740"))</f>
        <v>0</v>
      </c>
    </row>
    <row r="679" spans="1:17">
      <c r="A679" s="4">
        <f>IF(B679=" "," ",HYPERLINK(CONCATENATE("#metadata!",ADDRESS(INDEX($J$2:$J$1001,MATCH(ROWS($H$2:H679),$H$2:$H$1001,0),0),1)),INDEX($M$2:$M$1001,MATCH(ROWS($H$2:H679),$H$2:$H$1001,0),0)))</f>
        <v>0</v>
      </c>
      <c r="B679" s="3">
        <f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>0</v>
      </c>
      <c r="C679" s="3">
        <f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>0</v>
      </c>
      <c r="D679" s="3">
        <f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>0</v>
      </c>
      <c r="H679">
        <v>0</v>
      </c>
      <c r="I679">
        <v>0</v>
      </c>
      <c r="J679">
        <v>0</v>
      </c>
      <c r="K679">
        <f>IF(L679,TRUE,AND(O679:Q679))</f>
        <v>0</v>
      </c>
      <c r="L679">
        <f>COUNTBLANK(Metadata!B679:D679)=COLUMNS(Metadata!B679:D679)</f>
        <v>0</v>
      </c>
      <c r="M679">
        <v>0</v>
      </c>
      <c r="O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>
        <f>AND(IF(Metadata!C679="",FALSE,TRUE),exact(Metadata!C679,"rat metagenome"))</f>
        <v>0</v>
      </c>
      <c r="Q679">
        <f>AND(IF(Metadata!D679="",FALSE,TRUE),exact(Metadata!D679,"1427740"))</f>
        <v>0</v>
      </c>
    </row>
    <row r="680" spans="1:17">
      <c r="A680" s="4">
        <f>IF(B680=" "," ",HYPERLINK(CONCATENATE("#metadata!",ADDRESS(INDEX($J$2:$J$1001,MATCH(ROWS($H$2:H680),$H$2:$H$1001,0),0),1)),INDEX($M$2:$M$1001,MATCH(ROWS($H$2:H680),$H$2:$H$1001,0),0)))</f>
        <v>0</v>
      </c>
      <c r="B680" s="3">
        <f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>0</v>
      </c>
      <c r="C680" s="3">
        <f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>0</v>
      </c>
      <c r="D680" s="3">
        <f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>0</v>
      </c>
      <c r="H680">
        <v>0</v>
      </c>
      <c r="I680">
        <v>0</v>
      </c>
      <c r="J680">
        <v>0</v>
      </c>
      <c r="K680">
        <f>IF(L680,TRUE,AND(O680:Q680))</f>
        <v>0</v>
      </c>
      <c r="L680">
        <f>COUNTBLANK(Metadata!B680:D680)=COLUMNS(Metadata!B680:D680)</f>
        <v>0</v>
      </c>
      <c r="M680">
        <v>0</v>
      </c>
      <c r="O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>
        <f>AND(IF(Metadata!C680="",FALSE,TRUE),exact(Metadata!C680,"rat metagenome"))</f>
        <v>0</v>
      </c>
      <c r="Q680">
        <f>AND(IF(Metadata!D680="",FALSE,TRUE),exact(Metadata!D680,"1427740"))</f>
        <v>0</v>
      </c>
    </row>
    <row r="681" spans="1:17">
      <c r="A681" s="4">
        <f>IF(B681=" "," ",HYPERLINK(CONCATENATE("#metadata!",ADDRESS(INDEX($J$2:$J$1001,MATCH(ROWS($H$2:H681),$H$2:$H$1001,0),0),1)),INDEX($M$2:$M$1001,MATCH(ROWS($H$2:H681),$H$2:$H$1001,0),0)))</f>
        <v>0</v>
      </c>
      <c r="B681" s="3">
        <f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>0</v>
      </c>
      <c r="C681" s="3">
        <f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>0</v>
      </c>
      <c r="D681" s="3">
        <f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>0</v>
      </c>
      <c r="H681">
        <v>0</v>
      </c>
      <c r="I681">
        <v>0</v>
      </c>
      <c r="J681">
        <v>0</v>
      </c>
      <c r="K681">
        <f>IF(L681,TRUE,AND(O681:Q681))</f>
        <v>0</v>
      </c>
      <c r="L681">
        <f>COUNTBLANK(Metadata!B681:D681)=COLUMNS(Metadata!B681:D681)</f>
        <v>0</v>
      </c>
      <c r="M681">
        <v>0</v>
      </c>
      <c r="O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>
        <f>AND(IF(Metadata!C681="",FALSE,TRUE),exact(Metadata!C681,"rat metagenome"))</f>
        <v>0</v>
      </c>
      <c r="Q681">
        <f>AND(IF(Metadata!D681="",FALSE,TRUE),exact(Metadata!D681,"1427740"))</f>
        <v>0</v>
      </c>
    </row>
    <row r="682" spans="1:17">
      <c r="A682" s="4">
        <f>IF(B682=" "," ",HYPERLINK(CONCATENATE("#metadata!",ADDRESS(INDEX($J$2:$J$1001,MATCH(ROWS($H$2:H682),$H$2:$H$1001,0),0),1)),INDEX($M$2:$M$1001,MATCH(ROWS($H$2:H682),$H$2:$H$1001,0),0)))</f>
        <v>0</v>
      </c>
      <c r="B682" s="3">
        <f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>0</v>
      </c>
      <c r="C682" s="3">
        <f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>0</v>
      </c>
      <c r="D682" s="3">
        <f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>0</v>
      </c>
      <c r="H682">
        <v>0</v>
      </c>
      <c r="I682">
        <v>0</v>
      </c>
      <c r="J682">
        <v>0</v>
      </c>
      <c r="K682">
        <f>IF(L682,TRUE,AND(O682:Q682))</f>
        <v>0</v>
      </c>
      <c r="L682">
        <f>COUNTBLANK(Metadata!B682:D682)=COLUMNS(Metadata!B682:D682)</f>
        <v>0</v>
      </c>
      <c r="M682">
        <v>0</v>
      </c>
      <c r="O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>
        <f>AND(IF(Metadata!C682="",FALSE,TRUE),exact(Metadata!C682,"rat metagenome"))</f>
        <v>0</v>
      </c>
      <c r="Q682">
        <f>AND(IF(Metadata!D682="",FALSE,TRUE),exact(Metadata!D682,"1427740"))</f>
        <v>0</v>
      </c>
    </row>
    <row r="683" spans="1:17">
      <c r="A683" s="4">
        <f>IF(B683=" "," ",HYPERLINK(CONCATENATE("#metadata!",ADDRESS(INDEX($J$2:$J$1001,MATCH(ROWS($H$2:H683),$H$2:$H$1001,0),0),1)),INDEX($M$2:$M$1001,MATCH(ROWS($H$2:H683),$H$2:$H$1001,0),0)))</f>
        <v>0</v>
      </c>
      <c r="B683" s="3">
        <f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>0</v>
      </c>
      <c r="C683" s="3">
        <f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>0</v>
      </c>
      <c r="D683" s="3">
        <f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>0</v>
      </c>
      <c r="H683">
        <v>0</v>
      </c>
      <c r="I683">
        <v>0</v>
      </c>
      <c r="J683">
        <v>0</v>
      </c>
      <c r="K683">
        <f>IF(L683,TRUE,AND(O683:Q683))</f>
        <v>0</v>
      </c>
      <c r="L683">
        <f>COUNTBLANK(Metadata!B683:D683)=COLUMNS(Metadata!B683:D683)</f>
        <v>0</v>
      </c>
      <c r="M683">
        <v>0</v>
      </c>
      <c r="O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>
        <f>AND(IF(Metadata!C683="",FALSE,TRUE),exact(Metadata!C683,"rat metagenome"))</f>
        <v>0</v>
      </c>
      <c r="Q683">
        <f>AND(IF(Metadata!D683="",FALSE,TRUE),exact(Metadata!D683,"1427740"))</f>
        <v>0</v>
      </c>
    </row>
    <row r="684" spans="1:17">
      <c r="A684" s="4">
        <f>IF(B684=" "," ",HYPERLINK(CONCATENATE("#metadata!",ADDRESS(INDEX($J$2:$J$1001,MATCH(ROWS($H$2:H684),$H$2:$H$1001,0),0),1)),INDEX($M$2:$M$1001,MATCH(ROWS($H$2:H684),$H$2:$H$1001,0),0)))</f>
        <v>0</v>
      </c>
      <c r="B684" s="3">
        <f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>0</v>
      </c>
      <c r="C684" s="3">
        <f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>0</v>
      </c>
      <c r="D684" s="3">
        <f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>0</v>
      </c>
      <c r="H684">
        <v>0</v>
      </c>
      <c r="I684">
        <v>0</v>
      </c>
      <c r="J684">
        <v>0</v>
      </c>
      <c r="K684">
        <f>IF(L684,TRUE,AND(O684:Q684))</f>
        <v>0</v>
      </c>
      <c r="L684">
        <f>COUNTBLANK(Metadata!B684:D684)=COLUMNS(Metadata!B684:D684)</f>
        <v>0</v>
      </c>
      <c r="M684">
        <v>0</v>
      </c>
      <c r="O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>
        <f>AND(IF(Metadata!C684="",FALSE,TRUE),exact(Metadata!C684,"rat metagenome"))</f>
        <v>0</v>
      </c>
      <c r="Q684">
        <f>AND(IF(Metadata!D684="",FALSE,TRUE),exact(Metadata!D684,"1427740"))</f>
        <v>0</v>
      </c>
    </row>
    <row r="685" spans="1:17">
      <c r="A685" s="4">
        <f>IF(B685=" "," ",HYPERLINK(CONCATENATE("#metadata!",ADDRESS(INDEX($J$2:$J$1001,MATCH(ROWS($H$2:H685),$H$2:$H$1001,0),0),1)),INDEX($M$2:$M$1001,MATCH(ROWS($H$2:H685),$H$2:$H$1001,0),0)))</f>
        <v>0</v>
      </c>
      <c r="B685" s="3">
        <f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>0</v>
      </c>
      <c r="C685" s="3">
        <f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>0</v>
      </c>
      <c r="D685" s="3">
        <f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>0</v>
      </c>
      <c r="H685">
        <v>0</v>
      </c>
      <c r="I685">
        <v>0</v>
      </c>
      <c r="J685">
        <v>0</v>
      </c>
      <c r="K685">
        <f>IF(L685,TRUE,AND(O685:Q685))</f>
        <v>0</v>
      </c>
      <c r="L685">
        <f>COUNTBLANK(Metadata!B685:D685)=COLUMNS(Metadata!B685:D685)</f>
        <v>0</v>
      </c>
      <c r="M685">
        <v>0</v>
      </c>
      <c r="O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>
        <f>AND(IF(Metadata!C685="",FALSE,TRUE),exact(Metadata!C685,"rat metagenome"))</f>
        <v>0</v>
      </c>
      <c r="Q685">
        <f>AND(IF(Metadata!D685="",FALSE,TRUE),exact(Metadata!D685,"1427740"))</f>
        <v>0</v>
      </c>
    </row>
    <row r="686" spans="1:17">
      <c r="A686" s="4">
        <f>IF(B686=" "," ",HYPERLINK(CONCATENATE("#metadata!",ADDRESS(INDEX($J$2:$J$1001,MATCH(ROWS($H$2:H686),$H$2:$H$1001,0),0),1)),INDEX($M$2:$M$1001,MATCH(ROWS($H$2:H686),$H$2:$H$1001,0),0)))</f>
        <v>0</v>
      </c>
      <c r="B686" s="3">
        <f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>0</v>
      </c>
      <c r="C686" s="3">
        <f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>0</v>
      </c>
      <c r="D686" s="3">
        <f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>0</v>
      </c>
      <c r="H686">
        <v>0</v>
      </c>
      <c r="I686">
        <v>0</v>
      </c>
      <c r="J686">
        <v>0</v>
      </c>
      <c r="K686">
        <f>IF(L686,TRUE,AND(O686:Q686))</f>
        <v>0</v>
      </c>
      <c r="L686">
        <f>COUNTBLANK(Metadata!B686:D686)=COLUMNS(Metadata!B686:D686)</f>
        <v>0</v>
      </c>
      <c r="M686">
        <v>0</v>
      </c>
      <c r="O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>
        <f>AND(IF(Metadata!C686="",FALSE,TRUE),exact(Metadata!C686,"rat metagenome"))</f>
        <v>0</v>
      </c>
      <c r="Q686">
        <f>AND(IF(Metadata!D686="",FALSE,TRUE),exact(Metadata!D686,"1427740"))</f>
        <v>0</v>
      </c>
    </row>
    <row r="687" spans="1:17">
      <c r="A687" s="4">
        <f>IF(B687=" "," ",HYPERLINK(CONCATENATE("#metadata!",ADDRESS(INDEX($J$2:$J$1001,MATCH(ROWS($H$2:H687),$H$2:$H$1001,0),0),1)),INDEX($M$2:$M$1001,MATCH(ROWS($H$2:H687),$H$2:$H$1001,0),0)))</f>
        <v>0</v>
      </c>
      <c r="B687" s="3">
        <f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>0</v>
      </c>
      <c r="C687" s="3">
        <f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>0</v>
      </c>
      <c r="D687" s="3">
        <f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>0</v>
      </c>
      <c r="H687">
        <v>0</v>
      </c>
      <c r="I687">
        <v>0</v>
      </c>
      <c r="J687">
        <v>0</v>
      </c>
      <c r="K687">
        <f>IF(L687,TRUE,AND(O687:Q687))</f>
        <v>0</v>
      </c>
      <c r="L687">
        <f>COUNTBLANK(Metadata!B687:D687)=COLUMNS(Metadata!B687:D687)</f>
        <v>0</v>
      </c>
      <c r="M687">
        <v>0</v>
      </c>
      <c r="O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>
        <f>AND(IF(Metadata!C687="",FALSE,TRUE),exact(Metadata!C687,"rat metagenome"))</f>
        <v>0</v>
      </c>
      <c r="Q687">
        <f>AND(IF(Metadata!D687="",FALSE,TRUE),exact(Metadata!D687,"1427740"))</f>
        <v>0</v>
      </c>
    </row>
    <row r="688" spans="1:17">
      <c r="A688" s="4">
        <f>IF(B688=" "," ",HYPERLINK(CONCATENATE("#metadata!",ADDRESS(INDEX($J$2:$J$1001,MATCH(ROWS($H$2:H688),$H$2:$H$1001,0),0),1)),INDEX($M$2:$M$1001,MATCH(ROWS($H$2:H688),$H$2:$H$1001,0),0)))</f>
        <v>0</v>
      </c>
      <c r="B688" s="3">
        <f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>0</v>
      </c>
      <c r="C688" s="3">
        <f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>0</v>
      </c>
      <c r="D688" s="3">
        <f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>0</v>
      </c>
      <c r="H688">
        <v>0</v>
      </c>
      <c r="I688">
        <v>0</v>
      </c>
      <c r="J688">
        <v>0</v>
      </c>
      <c r="K688">
        <f>IF(L688,TRUE,AND(O688:Q688))</f>
        <v>0</v>
      </c>
      <c r="L688">
        <f>COUNTBLANK(Metadata!B688:D688)=COLUMNS(Metadata!B688:D688)</f>
        <v>0</v>
      </c>
      <c r="M688">
        <v>0</v>
      </c>
      <c r="O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>
        <f>AND(IF(Metadata!C688="",FALSE,TRUE),exact(Metadata!C688,"rat metagenome"))</f>
        <v>0</v>
      </c>
      <c r="Q688">
        <f>AND(IF(Metadata!D688="",FALSE,TRUE),exact(Metadata!D688,"1427740"))</f>
        <v>0</v>
      </c>
    </row>
    <row r="689" spans="1:17">
      <c r="A689" s="4">
        <f>IF(B689=" "," ",HYPERLINK(CONCATENATE("#metadata!",ADDRESS(INDEX($J$2:$J$1001,MATCH(ROWS($H$2:H689),$H$2:$H$1001,0),0),1)),INDEX($M$2:$M$1001,MATCH(ROWS($H$2:H689),$H$2:$H$1001,0),0)))</f>
        <v>0</v>
      </c>
      <c r="B689" s="3">
        <f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>0</v>
      </c>
      <c r="C689" s="3">
        <f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>0</v>
      </c>
      <c r="D689" s="3">
        <f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>0</v>
      </c>
      <c r="H689">
        <v>0</v>
      </c>
      <c r="I689">
        <v>0</v>
      </c>
      <c r="J689">
        <v>0</v>
      </c>
      <c r="K689">
        <f>IF(L689,TRUE,AND(O689:Q689))</f>
        <v>0</v>
      </c>
      <c r="L689">
        <f>COUNTBLANK(Metadata!B689:D689)=COLUMNS(Metadata!B689:D689)</f>
        <v>0</v>
      </c>
      <c r="M689">
        <v>0</v>
      </c>
      <c r="O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>
        <f>AND(IF(Metadata!C689="",FALSE,TRUE),exact(Metadata!C689,"rat metagenome"))</f>
        <v>0</v>
      </c>
      <c r="Q689">
        <f>AND(IF(Metadata!D689="",FALSE,TRUE),exact(Metadata!D689,"1427740"))</f>
        <v>0</v>
      </c>
    </row>
    <row r="690" spans="1:17">
      <c r="A690" s="4">
        <f>IF(B690=" "," ",HYPERLINK(CONCATENATE("#metadata!",ADDRESS(INDEX($J$2:$J$1001,MATCH(ROWS($H$2:H690),$H$2:$H$1001,0),0),1)),INDEX($M$2:$M$1001,MATCH(ROWS($H$2:H690),$H$2:$H$1001,0),0)))</f>
        <v>0</v>
      </c>
      <c r="B690" s="3">
        <f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>0</v>
      </c>
      <c r="C690" s="3">
        <f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>0</v>
      </c>
      <c r="D690" s="3">
        <f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>0</v>
      </c>
      <c r="H690">
        <v>0</v>
      </c>
      <c r="I690">
        <v>0</v>
      </c>
      <c r="J690">
        <v>0</v>
      </c>
      <c r="K690">
        <f>IF(L690,TRUE,AND(O690:Q690))</f>
        <v>0</v>
      </c>
      <c r="L690">
        <f>COUNTBLANK(Metadata!B690:D690)=COLUMNS(Metadata!B690:D690)</f>
        <v>0</v>
      </c>
      <c r="M690">
        <v>0</v>
      </c>
      <c r="O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>
        <f>AND(IF(Metadata!C690="",FALSE,TRUE),exact(Metadata!C690,"rat metagenome"))</f>
        <v>0</v>
      </c>
      <c r="Q690">
        <f>AND(IF(Metadata!D690="",FALSE,TRUE),exact(Metadata!D690,"1427740"))</f>
        <v>0</v>
      </c>
    </row>
    <row r="691" spans="1:17">
      <c r="A691" s="4">
        <f>IF(B691=" "," ",HYPERLINK(CONCATENATE("#metadata!",ADDRESS(INDEX($J$2:$J$1001,MATCH(ROWS($H$2:H691),$H$2:$H$1001,0),0),1)),INDEX($M$2:$M$1001,MATCH(ROWS($H$2:H691),$H$2:$H$1001,0),0)))</f>
        <v>0</v>
      </c>
      <c r="B691" s="3">
        <f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>0</v>
      </c>
      <c r="C691" s="3">
        <f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>0</v>
      </c>
      <c r="D691" s="3">
        <f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>0</v>
      </c>
      <c r="H691">
        <v>0</v>
      </c>
      <c r="I691">
        <v>0</v>
      </c>
      <c r="J691">
        <v>0</v>
      </c>
      <c r="K691">
        <f>IF(L691,TRUE,AND(O691:Q691))</f>
        <v>0</v>
      </c>
      <c r="L691">
        <f>COUNTBLANK(Metadata!B691:D691)=COLUMNS(Metadata!B691:D691)</f>
        <v>0</v>
      </c>
      <c r="M691">
        <v>0</v>
      </c>
      <c r="O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>
        <f>AND(IF(Metadata!C691="",FALSE,TRUE),exact(Metadata!C691,"rat metagenome"))</f>
        <v>0</v>
      </c>
      <c r="Q691">
        <f>AND(IF(Metadata!D691="",FALSE,TRUE),exact(Metadata!D691,"1427740"))</f>
        <v>0</v>
      </c>
    </row>
    <row r="692" spans="1:17">
      <c r="A692" s="4">
        <f>IF(B692=" "," ",HYPERLINK(CONCATENATE("#metadata!",ADDRESS(INDEX($J$2:$J$1001,MATCH(ROWS($H$2:H692),$H$2:$H$1001,0),0),1)),INDEX($M$2:$M$1001,MATCH(ROWS($H$2:H692),$H$2:$H$1001,0),0)))</f>
        <v>0</v>
      </c>
      <c r="B692" s="3">
        <f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>0</v>
      </c>
      <c r="C692" s="3">
        <f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>0</v>
      </c>
      <c r="D692" s="3">
        <f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>0</v>
      </c>
      <c r="H692">
        <v>0</v>
      </c>
      <c r="I692">
        <v>0</v>
      </c>
      <c r="J692">
        <v>0</v>
      </c>
      <c r="K692">
        <f>IF(L692,TRUE,AND(O692:Q692))</f>
        <v>0</v>
      </c>
      <c r="L692">
        <f>COUNTBLANK(Metadata!B692:D692)=COLUMNS(Metadata!B692:D692)</f>
        <v>0</v>
      </c>
      <c r="M692">
        <v>0</v>
      </c>
      <c r="O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>
        <f>AND(IF(Metadata!C692="",FALSE,TRUE),exact(Metadata!C692,"rat metagenome"))</f>
        <v>0</v>
      </c>
      <c r="Q692">
        <f>AND(IF(Metadata!D692="",FALSE,TRUE),exact(Metadata!D692,"1427740"))</f>
        <v>0</v>
      </c>
    </row>
    <row r="693" spans="1:17">
      <c r="A693" s="4">
        <f>IF(B693=" "," ",HYPERLINK(CONCATENATE("#metadata!",ADDRESS(INDEX($J$2:$J$1001,MATCH(ROWS($H$2:H693),$H$2:$H$1001,0),0),1)),INDEX($M$2:$M$1001,MATCH(ROWS($H$2:H693),$H$2:$H$1001,0),0)))</f>
        <v>0</v>
      </c>
      <c r="B693" s="3">
        <f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>0</v>
      </c>
      <c r="C693" s="3">
        <f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>0</v>
      </c>
      <c r="D693" s="3">
        <f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>0</v>
      </c>
      <c r="H693">
        <v>0</v>
      </c>
      <c r="I693">
        <v>0</v>
      </c>
      <c r="J693">
        <v>0</v>
      </c>
      <c r="K693">
        <f>IF(L693,TRUE,AND(O693:Q693))</f>
        <v>0</v>
      </c>
      <c r="L693">
        <f>COUNTBLANK(Metadata!B693:D693)=COLUMNS(Metadata!B693:D693)</f>
        <v>0</v>
      </c>
      <c r="M693">
        <v>0</v>
      </c>
      <c r="O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>
        <f>AND(IF(Metadata!C693="",FALSE,TRUE),exact(Metadata!C693,"rat metagenome"))</f>
        <v>0</v>
      </c>
      <c r="Q693">
        <f>AND(IF(Metadata!D693="",FALSE,TRUE),exact(Metadata!D693,"1427740"))</f>
        <v>0</v>
      </c>
    </row>
    <row r="694" spans="1:17">
      <c r="A694" s="4">
        <f>IF(B694=" "," ",HYPERLINK(CONCATENATE("#metadata!",ADDRESS(INDEX($J$2:$J$1001,MATCH(ROWS($H$2:H694),$H$2:$H$1001,0),0),1)),INDEX($M$2:$M$1001,MATCH(ROWS($H$2:H694),$H$2:$H$1001,0),0)))</f>
        <v>0</v>
      </c>
      <c r="B694" s="3">
        <f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>0</v>
      </c>
      <c r="C694" s="3">
        <f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>0</v>
      </c>
      <c r="D694" s="3">
        <f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>0</v>
      </c>
      <c r="H694">
        <v>0</v>
      </c>
      <c r="I694">
        <v>0</v>
      </c>
      <c r="J694">
        <v>0</v>
      </c>
      <c r="K694">
        <f>IF(L694,TRUE,AND(O694:Q694))</f>
        <v>0</v>
      </c>
      <c r="L694">
        <f>COUNTBLANK(Metadata!B694:D694)=COLUMNS(Metadata!B694:D694)</f>
        <v>0</v>
      </c>
      <c r="M694">
        <v>0</v>
      </c>
      <c r="O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>
        <f>AND(IF(Metadata!C694="",FALSE,TRUE),exact(Metadata!C694,"rat metagenome"))</f>
        <v>0</v>
      </c>
      <c r="Q694">
        <f>AND(IF(Metadata!D694="",FALSE,TRUE),exact(Metadata!D694,"1427740"))</f>
        <v>0</v>
      </c>
    </row>
    <row r="695" spans="1:17">
      <c r="A695" s="4">
        <f>IF(B695=" "," ",HYPERLINK(CONCATENATE("#metadata!",ADDRESS(INDEX($J$2:$J$1001,MATCH(ROWS($H$2:H695),$H$2:$H$1001,0),0),1)),INDEX($M$2:$M$1001,MATCH(ROWS($H$2:H695),$H$2:$H$1001,0),0)))</f>
        <v>0</v>
      </c>
      <c r="B695" s="3">
        <f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>0</v>
      </c>
      <c r="C695" s="3">
        <f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>0</v>
      </c>
      <c r="D695" s="3">
        <f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>0</v>
      </c>
      <c r="H695">
        <v>0</v>
      </c>
      <c r="I695">
        <v>0</v>
      </c>
      <c r="J695">
        <v>0</v>
      </c>
      <c r="K695">
        <f>IF(L695,TRUE,AND(O695:Q695))</f>
        <v>0</v>
      </c>
      <c r="L695">
        <f>COUNTBLANK(Metadata!B695:D695)=COLUMNS(Metadata!B695:D695)</f>
        <v>0</v>
      </c>
      <c r="M695">
        <v>0</v>
      </c>
      <c r="O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>
        <f>AND(IF(Metadata!C695="",FALSE,TRUE),exact(Metadata!C695,"rat metagenome"))</f>
        <v>0</v>
      </c>
      <c r="Q695">
        <f>AND(IF(Metadata!D695="",FALSE,TRUE),exact(Metadata!D695,"1427740"))</f>
        <v>0</v>
      </c>
    </row>
    <row r="696" spans="1:17">
      <c r="A696" s="4">
        <f>IF(B696=" "," ",HYPERLINK(CONCATENATE("#metadata!",ADDRESS(INDEX($J$2:$J$1001,MATCH(ROWS($H$2:H696),$H$2:$H$1001,0),0),1)),INDEX($M$2:$M$1001,MATCH(ROWS($H$2:H696),$H$2:$H$1001,0),0)))</f>
        <v>0</v>
      </c>
      <c r="B696" s="3">
        <f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>0</v>
      </c>
      <c r="C696" s="3">
        <f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>0</v>
      </c>
      <c r="D696" s="3">
        <f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>0</v>
      </c>
      <c r="H696">
        <v>0</v>
      </c>
      <c r="I696">
        <v>0</v>
      </c>
      <c r="J696">
        <v>0</v>
      </c>
      <c r="K696">
        <f>IF(L696,TRUE,AND(O696:Q696))</f>
        <v>0</v>
      </c>
      <c r="L696">
        <f>COUNTBLANK(Metadata!B696:D696)=COLUMNS(Metadata!B696:D696)</f>
        <v>0</v>
      </c>
      <c r="M696">
        <v>0</v>
      </c>
      <c r="O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>
        <f>AND(IF(Metadata!C696="",FALSE,TRUE),exact(Metadata!C696,"rat metagenome"))</f>
        <v>0</v>
      </c>
      <c r="Q696">
        <f>AND(IF(Metadata!D696="",FALSE,TRUE),exact(Metadata!D696,"1427740"))</f>
        <v>0</v>
      </c>
    </row>
    <row r="697" spans="1:17">
      <c r="A697" s="4">
        <f>IF(B697=" "," ",HYPERLINK(CONCATENATE("#metadata!",ADDRESS(INDEX($J$2:$J$1001,MATCH(ROWS($H$2:H697),$H$2:$H$1001,0),0),1)),INDEX($M$2:$M$1001,MATCH(ROWS($H$2:H697),$H$2:$H$1001,0),0)))</f>
        <v>0</v>
      </c>
      <c r="B697" s="3">
        <f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>0</v>
      </c>
      <c r="C697" s="3">
        <f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>0</v>
      </c>
      <c r="D697" s="3">
        <f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>0</v>
      </c>
      <c r="H697">
        <v>0</v>
      </c>
      <c r="I697">
        <v>0</v>
      </c>
      <c r="J697">
        <v>0</v>
      </c>
      <c r="K697">
        <f>IF(L697,TRUE,AND(O697:Q697))</f>
        <v>0</v>
      </c>
      <c r="L697">
        <f>COUNTBLANK(Metadata!B697:D697)=COLUMNS(Metadata!B697:D697)</f>
        <v>0</v>
      </c>
      <c r="M697">
        <v>0</v>
      </c>
      <c r="O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>
        <f>AND(IF(Metadata!C697="",FALSE,TRUE),exact(Metadata!C697,"rat metagenome"))</f>
        <v>0</v>
      </c>
      <c r="Q697">
        <f>AND(IF(Metadata!D697="",FALSE,TRUE),exact(Metadata!D697,"1427740"))</f>
        <v>0</v>
      </c>
    </row>
    <row r="698" spans="1:17">
      <c r="A698" s="4">
        <f>IF(B698=" "," ",HYPERLINK(CONCATENATE("#metadata!",ADDRESS(INDEX($J$2:$J$1001,MATCH(ROWS($H$2:H698),$H$2:$H$1001,0),0),1)),INDEX($M$2:$M$1001,MATCH(ROWS($H$2:H698),$H$2:$H$1001,0),0)))</f>
        <v>0</v>
      </c>
      <c r="B698" s="3">
        <f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>0</v>
      </c>
      <c r="C698" s="3">
        <f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>0</v>
      </c>
      <c r="D698" s="3">
        <f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>0</v>
      </c>
      <c r="H698">
        <v>0</v>
      </c>
      <c r="I698">
        <v>0</v>
      </c>
      <c r="J698">
        <v>0</v>
      </c>
      <c r="K698">
        <f>IF(L698,TRUE,AND(O698:Q698))</f>
        <v>0</v>
      </c>
      <c r="L698">
        <f>COUNTBLANK(Metadata!B698:D698)=COLUMNS(Metadata!B698:D698)</f>
        <v>0</v>
      </c>
      <c r="M698">
        <v>0</v>
      </c>
      <c r="O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>
        <f>AND(IF(Metadata!C698="",FALSE,TRUE),exact(Metadata!C698,"rat metagenome"))</f>
        <v>0</v>
      </c>
      <c r="Q698">
        <f>AND(IF(Metadata!D698="",FALSE,TRUE),exact(Metadata!D698,"1427740"))</f>
        <v>0</v>
      </c>
    </row>
    <row r="699" spans="1:17">
      <c r="A699" s="4">
        <f>IF(B699=" "," ",HYPERLINK(CONCATENATE("#metadata!",ADDRESS(INDEX($J$2:$J$1001,MATCH(ROWS($H$2:H699),$H$2:$H$1001,0),0),1)),INDEX($M$2:$M$1001,MATCH(ROWS($H$2:H699),$H$2:$H$1001,0),0)))</f>
        <v>0</v>
      </c>
      <c r="B699" s="3">
        <f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>0</v>
      </c>
      <c r="C699" s="3">
        <f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>0</v>
      </c>
      <c r="D699" s="3">
        <f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>0</v>
      </c>
      <c r="H699">
        <v>0</v>
      </c>
      <c r="I699">
        <v>0</v>
      </c>
      <c r="J699">
        <v>0</v>
      </c>
      <c r="K699">
        <f>IF(L699,TRUE,AND(O699:Q699))</f>
        <v>0</v>
      </c>
      <c r="L699">
        <f>COUNTBLANK(Metadata!B699:D699)=COLUMNS(Metadata!B699:D699)</f>
        <v>0</v>
      </c>
      <c r="M699">
        <v>0</v>
      </c>
      <c r="O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>
        <f>AND(IF(Metadata!C699="",FALSE,TRUE),exact(Metadata!C699,"rat metagenome"))</f>
        <v>0</v>
      </c>
      <c r="Q699">
        <f>AND(IF(Metadata!D699="",FALSE,TRUE),exact(Metadata!D699,"1427740"))</f>
        <v>0</v>
      </c>
    </row>
    <row r="700" spans="1:17">
      <c r="A700" s="4">
        <f>IF(B700=" "," ",HYPERLINK(CONCATENATE("#metadata!",ADDRESS(INDEX($J$2:$J$1001,MATCH(ROWS($H$2:H700),$H$2:$H$1001,0),0),1)),INDEX($M$2:$M$1001,MATCH(ROWS($H$2:H700),$H$2:$H$1001,0),0)))</f>
        <v>0</v>
      </c>
      <c r="B700" s="3">
        <f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>0</v>
      </c>
      <c r="C700" s="3">
        <f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>0</v>
      </c>
      <c r="D700" s="3">
        <f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>0</v>
      </c>
      <c r="H700">
        <v>0</v>
      </c>
      <c r="I700">
        <v>0</v>
      </c>
      <c r="J700">
        <v>0</v>
      </c>
      <c r="K700">
        <f>IF(L700,TRUE,AND(O700:Q700))</f>
        <v>0</v>
      </c>
      <c r="L700">
        <f>COUNTBLANK(Metadata!B700:D700)=COLUMNS(Metadata!B700:D700)</f>
        <v>0</v>
      </c>
      <c r="M700">
        <v>0</v>
      </c>
      <c r="O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>
        <f>AND(IF(Metadata!C700="",FALSE,TRUE),exact(Metadata!C700,"rat metagenome"))</f>
        <v>0</v>
      </c>
      <c r="Q700">
        <f>AND(IF(Metadata!D700="",FALSE,TRUE),exact(Metadata!D700,"1427740"))</f>
        <v>0</v>
      </c>
    </row>
    <row r="701" spans="1:17">
      <c r="A701" s="4">
        <f>IF(B701=" "," ",HYPERLINK(CONCATENATE("#metadata!",ADDRESS(INDEX($J$2:$J$1001,MATCH(ROWS($H$2:H701),$H$2:$H$1001,0),0),1)),INDEX($M$2:$M$1001,MATCH(ROWS($H$2:H701),$H$2:$H$1001,0),0)))</f>
        <v>0</v>
      </c>
      <c r="B701" s="3">
        <f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>0</v>
      </c>
      <c r="C701" s="3">
        <f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>0</v>
      </c>
      <c r="D701" s="3">
        <f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>0</v>
      </c>
      <c r="H701">
        <v>0</v>
      </c>
      <c r="I701">
        <v>0</v>
      </c>
      <c r="J701">
        <v>0</v>
      </c>
      <c r="K701">
        <f>IF(L701,TRUE,AND(O701:Q701))</f>
        <v>0</v>
      </c>
      <c r="L701">
        <f>COUNTBLANK(Metadata!B701:D701)=COLUMNS(Metadata!B701:D701)</f>
        <v>0</v>
      </c>
      <c r="M701">
        <v>0</v>
      </c>
      <c r="O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>
        <f>AND(IF(Metadata!C701="",FALSE,TRUE),exact(Metadata!C701,"rat metagenome"))</f>
        <v>0</v>
      </c>
      <c r="Q701">
        <f>AND(IF(Metadata!D701="",FALSE,TRUE),exact(Metadata!D701,"1427740"))</f>
        <v>0</v>
      </c>
    </row>
    <row r="702" spans="1:17">
      <c r="A702" s="4">
        <f>IF(B702=" "," ",HYPERLINK(CONCATENATE("#metadata!",ADDRESS(INDEX($J$2:$J$1001,MATCH(ROWS($H$2:H702),$H$2:$H$1001,0),0),1)),INDEX($M$2:$M$1001,MATCH(ROWS($H$2:H702),$H$2:$H$1001,0),0)))</f>
        <v>0</v>
      </c>
      <c r="B702" s="3">
        <f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>0</v>
      </c>
      <c r="C702" s="3">
        <f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>0</v>
      </c>
      <c r="D702" s="3">
        <f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>0</v>
      </c>
      <c r="H702">
        <v>0</v>
      </c>
      <c r="I702">
        <v>0</v>
      </c>
      <c r="J702">
        <v>0</v>
      </c>
      <c r="K702">
        <f>IF(L702,TRUE,AND(O702:Q702))</f>
        <v>0</v>
      </c>
      <c r="L702">
        <f>COUNTBLANK(Metadata!B702:D702)=COLUMNS(Metadata!B702:D702)</f>
        <v>0</v>
      </c>
      <c r="M702">
        <v>0</v>
      </c>
      <c r="O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>
        <f>AND(IF(Metadata!C702="",FALSE,TRUE),exact(Metadata!C702,"rat metagenome"))</f>
        <v>0</v>
      </c>
      <c r="Q702">
        <f>AND(IF(Metadata!D702="",FALSE,TRUE),exact(Metadata!D702,"1427740"))</f>
        <v>0</v>
      </c>
    </row>
    <row r="703" spans="1:17">
      <c r="A703" s="4">
        <f>IF(B703=" "," ",HYPERLINK(CONCATENATE("#metadata!",ADDRESS(INDEX($J$2:$J$1001,MATCH(ROWS($H$2:H703),$H$2:$H$1001,0),0),1)),INDEX($M$2:$M$1001,MATCH(ROWS($H$2:H703),$H$2:$H$1001,0),0)))</f>
        <v>0</v>
      </c>
      <c r="B703" s="3">
        <f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>0</v>
      </c>
      <c r="C703" s="3">
        <f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>0</v>
      </c>
      <c r="D703" s="3">
        <f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>0</v>
      </c>
      <c r="H703">
        <v>0</v>
      </c>
      <c r="I703">
        <v>0</v>
      </c>
      <c r="J703">
        <v>0</v>
      </c>
      <c r="K703">
        <f>IF(L703,TRUE,AND(O703:Q703))</f>
        <v>0</v>
      </c>
      <c r="L703">
        <f>COUNTBLANK(Metadata!B703:D703)=COLUMNS(Metadata!B703:D703)</f>
        <v>0</v>
      </c>
      <c r="M703">
        <v>0</v>
      </c>
      <c r="O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>
        <f>AND(IF(Metadata!C703="",FALSE,TRUE),exact(Metadata!C703,"rat metagenome"))</f>
        <v>0</v>
      </c>
      <c r="Q703">
        <f>AND(IF(Metadata!D703="",FALSE,TRUE),exact(Metadata!D703,"1427740"))</f>
        <v>0</v>
      </c>
    </row>
    <row r="704" spans="1:17">
      <c r="A704" s="4">
        <f>IF(B704=" "," ",HYPERLINK(CONCATENATE("#metadata!",ADDRESS(INDEX($J$2:$J$1001,MATCH(ROWS($H$2:H704),$H$2:$H$1001,0),0),1)),INDEX($M$2:$M$1001,MATCH(ROWS($H$2:H704),$H$2:$H$1001,0),0)))</f>
        <v>0</v>
      </c>
      <c r="B704" s="3">
        <f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>0</v>
      </c>
      <c r="C704" s="3">
        <f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>0</v>
      </c>
      <c r="D704" s="3">
        <f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>0</v>
      </c>
      <c r="H704">
        <v>0</v>
      </c>
      <c r="I704">
        <v>0</v>
      </c>
      <c r="J704">
        <v>0</v>
      </c>
      <c r="K704">
        <f>IF(L704,TRUE,AND(O704:Q704))</f>
        <v>0</v>
      </c>
      <c r="L704">
        <f>COUNTBLANK(Metadata!B704:D704)=COLUMNS(Metadata!B704:D704)</f>
        <v>0</v>
      </c>
      <c r="M704">
        <v>0</v>
      </c>
      <c r="O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>
        <f>AND(IF(Metadata!C704="",FALSE,TRUE),exact(Metadata!C704,"rat metagenome"))</f>
        <v>0</v>
      </c>
      <c r="Q704">
        <f>AND(IF(Metadata!D704="",FALSE,TRUE),exact(Metadata!D704,"1427740"))</f>
        <v>0</v>
      </c>
    </row>
    <row r="705" spans="1:17">
      <c r="A705" s="4">
        <f>IF(B705=" "," ",HYPERLINK(CONCATENATE("#metadata!",ADDRESS(INDEX($J$2:$J$1001,MATCH(ROWS($H$2:H705),$H$2:$H$1001,0),0),1)),INDEX($M$2:$M$1001,MATCH(ROWS($H$2:H705),$H$2:$H$1001,0),0)))</f>
        <v>0</v>
      </c>
      <c r="B705" s="3">
        <f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>0</v>
      </c>
      <c r="C705" s="3">
        <f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>0</v>
      </c>
      <c r="D705" s="3">
        <f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>0</v>
      </c>
      <c r="H705">
        <v>0</v>
      </c>
      <c r="I705">
        <v>0</v>
      </c>
      <c r="J705">
        <v>0</v>
      </c>
      <c r="K705">
        <f>IF(L705,TRUE,AND(O705:Q705))</f>
        <v>0</v>
      </c>
      <c r="L705">
        <f>COUNTBLANK(Metadata!B705:D705)=COLUMNS(Metadata!B705:D705)</f>
        <v>0</v>
      </c>
      <c r="M705">
        <v>0</v>
      </c>
      <c r="O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>
        <f>AND(IF(Metadata!C705="",FALSE,TRUE),exact(Metadata!C705,"rat metagenome"))</f>
        <v>0</v>
      </c>
      <c r="Q705">
        <f>AND(IF(Metadata!D705="",FALSE,TRUE),exact(Metadata!D705,"1427740"))</f>
        <v>0</v>
      </c>
    </row>
    <row r="706" spans="1:17">
      <c r="A706" s="4">
        <f>IF(B706=" "," ",HYPERLINK(CONCATENATE("#metadata!",ADDRESS(INDEX($J$2:$J$1001,MATCH(ROWS($H$2:H706),$H$2:$H$1001,0),0),1)),INDEX($M$2:$M$1001,MATCH(ROWS($H$2:H706),$H$2:$H$1001,0),0)))</f>
        <v>0</v>
      </c>
      <c r="B706" s="3">
        <f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>0</v>
      </c>
      <c r="C706" s="3">
        <f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>0</v>
      </c>
      <c r="D706" s="3">
        <f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>0</v>
      </c>
      <c r="H706">
        <v>0</v>
      </c>
      <c r="I706">
        <v>0</v>
      </c>
      <c r="J706">
        <v>0</v>
      </c>
      <c r="K706">
        <f>IF(L706,TRUE,AND(O706:Q706))</f>
        <v>0</v>
      </c>
      <c r="L706">
        <f>COUNTBLANK(Metadata!B706:D706)=COLUMNS(Metadata!B706:D706)</f>
        <v>0</v>
      </c>
      <c r="M706">
        <v>0</v>
      </c>
      <c r="O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>
        <f>AND(IF(Metadata!C706="",FALSE,TRUE),exact(Metadata!C706,"rat metagenome"))</f>
        <v>0</v>
      </c>
      <c r="Q706">
        <f>AND(IF(Metadata!D706="",FALSE,TRUE),exact(Metadata!D706,"1427740"))</f>
        <v>0</v>
      </c>
    </row>
    <row r="707" spans="1:17">
      <c r="A707" s="4">
        <f>IF(B707=" "," ",HYPERLINK(CONCATENATE("#metadata!",ADDRESS(INDEX($J$2:$J$1001,MATCH(ROWS($H$2:H707),$H$2:$H$1001,0),0),1)),INDEX($M$2:$M$1001,MATCH(ROWS($H$2:H707),$H$2:$H$1001,0),0)))</f>
        <v>0</v>
      </c>
      <c r="B707" s="3">
        <f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>0</v>
      </c>
      <c r="C707" s="3">
        <f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>0</v>
      </c>
      <c r="D707" s="3">
        <f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>0</v>
      </c>
      <c r="H707">
        <v>0</v>
      </c>
      <c r="I707">
        <v>0</v>
      </c>
      <c r="J707">
        <v>0</v>
      </c>
      <c r="K707">
        <f>IF(L707,TRUE,AND(O707:Q707))</f>
        <v>0</v>
      </c>
      <c r="L707">
        <f>COUNTBLANK(Metadata!B707:D707)=COLUMNS(Metadata!B707:D707)</f>
        <v>0</v>
      </c>
      <c r="M707">
        <v>0</v>
      </c>
      <c r="O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>
        <f>AND(IF(Metadata!C707="",FALSE,TRUE),exact(Metadata!C707,"rat metagenome"))</f>
        <v>0</v>
      </c>
      <c r="Q707">
        <f>AND(IF(Metadata!D707="",FALSE,TRUE),exact(Metadata!D707,"1427740"))</f>
        <v>0</v>
      </c>
    </row>
    <row r="708" spans="1:17">
      <c r="A708" s="4">
        <f>IF(B708=" "," ",HYPERLINK(CONCATENATE("#metadata!",ADDRESS(INDEX($J$2:$J$1001,MATCH(ROWS($H$2:H708),$H$2:$H$1001,0),0),1)),INDEX($M$2:$M$1001,MATCH(ROWS($H$2:H708),$H$2:$H$1001,0),0)))</f>
        <v>0</v>
      </c>
      <c r="B708" s="3">
        <f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>0</v>
      </c>
      <c r="C708" s="3">
        <f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>0</v>
      </c>
      <c r="D708" s="3">
        <f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>0</v>
      </c>
      <c r="H708">
        <v>0</v>
      </c>
      <c r="I708">
        <v>0</v>
      </c>
      <c r="J708">
        <v>0</v>
      </c>
      <c r="K708">
        <f>IF(L708,TRUE,AND(O708:Q708))</f>
        <v>0</v>
      </c>
      <c r="L708">
        <f>COUNTBLANK(Metadata!B708:D708)=COLUMNS(Metadata!B708:D708)</f>
        <v>0</v>
      </c>
      <c r="M708">
        <v>0</v>
      </c>
      <c r="O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>
        <f>AND(IF(Metadata!C708="",FALSE,TRUE),exact(Metadata!C708,"rat metagenome"))</f>
        <v>0</v>
      </c>
      <c r="Q708">
        <f>AND(IF(Metadata!D708="",FALSE,TRUE),exact(Metadata!D708,"1427740"))</f>
        <v>0</v>
      </c>
    </row>
    <row r="709" spans="1:17">
      <c r="A709" s="4">
        <f>IF(B709=" "," ",HYPERLINK(CONCATENATE("#metadata!",ADDRESS(INDEX($J$2:$J$1001,MATCH(ROWS($H$2:H709),$H$2:$H$1001,0),0),1)),INDEX($M$2:$M$1001,MATCH(ROWS($H$2:H709),$H$2:$H$1001,0),0)))</f>
        <v>0</v>
      </c>
      <c r="B709" s="3">
        <f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>0</v>
      </c>
      <c r="C709" s="3">
        <f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>0</v>
      </c>
      <c r="D709" s="3">
        <f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>0</v>
      </c>
      <c r="H709">
        <v>0</v>
      </c>
      <c r="I709">
        <v>0</v>
      </c>
      <c r="J709">
        <v>0</v>
      </c>
      <c r="K709">
        <f>IF(L709,TRUE,AND(O709:Q709))</f>
        <v>0</v>
      </c>
      <c r="L709">
        <f>COUNTBLANK(Metadata!B709:D709)=COLUMNS(Metadata!B709:D709)</f>
        <v>0</v>
      </c>
      <c r="M709">
        <v>0</v>
      </c>
      <c r="O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>
        <f>AND(IF(Metadata!C709="",FALSE,TRUE),exact(Metadata!C709,"rat metagenome"))</f>
        <v>0</v>
      </c>
      <c r="Q709">
        <f>AND(IF(Metadata!D709="",FALSE,TRUE),exact(Metadata!D709,"1427740"))</f>
        <v>0</v>
      </c>
    </row>
    <row r="710" spans="1:17">
      <c r="A710" s="4">
        <f>IF(B710=" "," ",HYPERLINK(CONCATENATE("#metadata!",ADDRESS(INDEX($J$2:$J$1001,MATCH(ROWS($H$2:H710),$H$2:$H$1001,0),0),1)),INDEX($M$2:$M$1001,MATCH(ROWS($H$2:H710),$H$2:$H$1001,0),0)))</f>
        <v>0</v>
      </c>
      <c r="B710" s="3">
        <f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>0</v>
      </c>
      <c r="C710" s="3">
        <f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>0</v>
      </c>
      <c r="D710" s="3">
        <f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>0</v>
      </c>
      <c r="H710">
        <v>0</v>
      </c>
      <c r="I710">
        <v>0</v>
      </c>
      <c r="J710">
        <v>0</v>
      </c>
      <c r="K710">
        <f>IF(L710,TRUE,AND(O710:Q710))</f>
        <v>0</v>
      </c>
      <c r="L710">
        <f>COUNTBLANK(Metadata!B710:D710)=COLUMNS(Metadata!B710:D710)</f>
        <v>0</v>
      </c>
      <c r="M710">
        <v>0</v>
      </c>
      <c r="O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>
        <f>AND(IF(Metadata!C710="",FALSE,TRUE),exact(Metadata!C710,"rat metagenome"))</f>
        <v>0</v>
      </c>
      <c r="Q710">
        <f>AND(IF(Metadata!D710="",FALSE,TRUE),exact(Metadata!D710,"1427740"))</f>
        <v>0</v>
      </c>
    </row>
    <row r="711" spans="1:17">
      <c r="A711" s="4">
        <f>IF(B711=" "," ",HYPERLINK(CONCATENATE("#metadata!",ADDRESS(INDEX($J$2:$J$1001,MATCH(ROWS($H$2:H711),$H$2:$H$1001,0),0),1)),INDEX($M$2:$M$1001,MATCH(ROWS($H$2:H711),$H$2:$H$1001,0),0)))</f>
        <v>0</v>
      </c>
      <c r="B711" s="3">
        <f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>0</v>
      </c>
      <c r="C711" s="3">
        <f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>0</v>
      </c>
      <c r="D711" s="3">
        <f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>0</v>
      </c>
      <c r="H711">
        <v>0</v>
      </c>
      <c r="I711">
        <v>0</v>
      </c>
      <c r="J711">
        <v>0</v>
      </c>
      <c r="K711">
        <f>IF(L711,TRUE,AND(O711:Q711))</f>
        <v>0</v>
      </c>
      <c r="L711">
        <f>COUNTBLANK(Metadata!B711:D711)=COLUMNS(Metadata!B711:D711)</f>
        <v>0</v>
      </c>
      <c r="M711">
        <v>0</v>
      </c>
      <c r="O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>
        <f>AND(IF(Metadata!C711="",FALSE,TRUE),exact(Metadata!C711,"rat metagenome"))</f>
        <v>0</v>
      </c>
      <c r="Q711">
        <f>AND(IF(Metadata!D711="",FALSE,TRUE),exact(Metadata!D711,"1427740"))</f>
        <v>0</v>
      </c>
    </row>
    <row r="712" spans="1:17">
      <c r="A712" s="4">
        <f>IF(B712=" "," ",HYPERLINK(CONCATENATE("#metadata!",ADDRESS(INDEX($J$2:$J$1001,MATCH(ROWS($H$2:H712),$H$2:$H$1001,0),0),1)),INDEX($M$2:$M$1001,MATCH(ROWS($H$2:H712),$H$2:$H$1001,0),0)))</f>
        <v>0</v>
      </c>
      <c r="B712" s="3">
        <f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>0</v>
      </c>
      <c r="C712" s="3">
        <f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>0</v>
      </c>
      <c r="D712" s="3">
        <f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>0</v>
      </c>
      <c r="H712">
        <v>0</v>
      </c>
      <c r="I712">
        <v>0</v>
      </c>
      <c r="J712">
        <v>0</v>
      </c>
      <c r="K712">
        <f>IF(L712,TRUE,AND(O712:Q712))</f>
        <v>0</v>
      </c>
      <c r="L712">
        <f>COUNTBLANK(Metadata!B712:D712)=COLUMNS(Metadata!B712:D712)</f>
        <v>0</v>
      </c>
      <c r="M712">
        <v>0</v>
      </c>
      <c r="O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>
        <f>AND(IF(Metadata!C712="",FALSE,TRUE),exact(Metadata!C712,"rat metagenome"))</f>
        <v>0</v>
      </c>
      <c r="Q712">
        <f>AND(IF(Metadata!D712="",FALSE,TRUE),exact(Metadata!D712,"1427740"))</f>
        <v>0</v>
      </c>
    </row>
    <row r="713" spans="1:17">
      <c r="A713" s="4">
        <f>IF(B713=" "," ",HYPERLINK(CONCATENATE("#metadata!",ADDRESS(INDEX($J$2:$J$1001,MATCH(ROWS($H$2:H713),$H$2:$H$1001,0),0),1)),INDEX($M$2:$M$1001,MATCH(ROWS($H$2:H713),$H$2:$H$1001,0),0)))</f>
        <v>0</v>
      </c>
      <c r="B713" s="3">
        <f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>0</v>
      </c>
      <c r="C713" s="3">
        <f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>0</v>
      </c>
      <c r="D713" s="3">
        <f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>0</v>
      </c>
      <c r="H713">
        <v>0</v>
      </c>
      <c r="I713">
        <v>0</v>
      </c>
      <c r="J713">
        <v>0</v>
      </c>
      <c r="K713">
        <f>IF(L713,TRUE,AND(O713:Q713))</f>
        <v>0</v>
      </c>
      <c r="L713">
        <f>COUNTBLANK(Metadata!B713:D713)=COLUMNS(Metadata!B713:D713)</f>
        <v>0</v>
      </c>
      <c r="M713">
        <v>0</v>
      </c>
      <c r="O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>
        <f>AND(IF(Metadata!C713="",FALSE,TRUE),exact(Metadata!C713,"rat metagenome"))</f>
        <v>0</v>
      </c>
      <c r="Q713">
        <f>AND(IF(Metadata!D713="",FALSE,TRUE),exact(Metadata!D713,"1427740"))</f>
        <v>0</v>
      </c>
    </row>
    <row r="714" spans="1:17">
      <c r="A714" s="4">
        <f>IF(B714=" "," ",HYPERLINK(CONCATENATE("#metadata!",ADDRESS(INDEX($J$2:$J$1001,MATCH(ROWS($H$2:H714),$H$2:$H$1001,0),0),1)),INDEX($M$2:$M$1001,MATCH(ROWS($H$2:H714),$H$2:$H$1001,0),0)))</f>
        <v>0</v>
      </c>
      <c r="B714" s="3">
        <f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>0</v>
      </c>
      <c r="C714" s="3">
        <f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>0</v>
      </c>
      <c r="D714" s="3">
        <f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>0</v>
      </c>
      <c r="H714">
        <v>0</v>
      </c>
      <c r="I714">
        <v>0</v>
      </c>
      <c r="J714">
        <v>0</v>
      </c>
      <c r="K714">
        <f>IF(L714,TRUE,AND(O714:Q714))</f>
        <v>0</v>
      </c>
      <c r="L714">
        <f>COUNTBLANK(Metadata!B714:D714)=COLUMNS(Metadata!B714:D714)</f>
        <v>0</v>
      </c>
      <c r="M714">
        <v>0</v>
      </c>
      <c r="O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>
        <f>AND(IF(Metadata!C714="",FALSE,TRUE),exact(Metadata!C714,"rat metagenome"))</f>
        <v>0</v>
      </c>
      <c r="Q714">
        <f>AND(IF(Metadata!D714="",FALSE,TRUE),exact(Metadata!D714,"1427740"))</f>
        <v>0</v>
      </c>
    </row>
    <row r="715" spans="1:17">
      <c r="A715" s="4">
        <f>IF(B715=" "," ",HYPERLINK(CONCATENATE("#metadata!",ADDRESS(INDEX($J$2:$J$1001,MATCH(ROWS($H$2:H715),$H$2:$H$1001,0),0),1)),INDEX($M$2:$M$1001,MATCH(ROWS($H$2:H715),$H$2:$H$1001,0),0)))</f>
        <v>0</v>
      </c>
      <c r="B715" s="3">
        <f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>0</v>
      </c>
      <c r="C715" s="3">
        <f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>0</v>
      </c>
      <c r="D715" s="3">
        <f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>0</v>
      </c>
      <c r="H715">
        <v>0</v>
      </c>
      <c r="I715">
        <v>0</v>
      </c>
      <c r="J715">
        <v>0</v>
      </c>
      <c r="K715">
        <f>IF(L715,TRUE,AND(O715:Q715))</f>
        <v>0</v>
      </c>
      <c r="L715">
        <f>COUNTBLANK(Metadata!B715:D715)=COLUMNS(Metadata!B715:D715)</f>
        <v>0</v>
      </c>
      <c r="M715">
        <v>0</v>
      </c>
      <c r="O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>
        <f>AND(IF(Metadata!C715="",FALSE,TRUE),exact(Metadata!C715,"rat metagenome"))</f>
        <v>0</v>
      </c>
      <c r="Q715">
        <f>AND(IF(Metadata!D715="",FALSE,TRUE),exact(Metadata!D715,"1427740"))</f>
        <v>0</v>
      </c>
    </row>
    <row r="716" spans="1:17">
      <c r="A716" s="4">
        <f>IF(B716=" "," ",HYPERLINK(CONCATENATE("#metadata!",ADDRESS(INDEX($J$2:$J$1001,MATCH(ROWS($H$2:H716),$H$2:$H$1001,0),0),1)),INDEX($M$2:$M$1001,MATCH(ROWS($H$2:H716),$H$2:$H$1001,0),0)))</f>
        <v>0</v>
      </c>
      <c r="B716" s="3">
        <f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>0</v>
      </c>
      <c r="C716" s="3">
        <f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>0</v>
      </c>
      <c r="D716" s="3">
        <f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>0</v>
      </c>
      <c r="H716">
        <v>0</v>
      </c>
      <c r="I716">
        <v>0</v>
      </c>
      <c r="J716">
        <v>0</v>
      </c>
      <c r="K716">
        <f>IF(L716,TRUE,AND(O716:Q716))</f>
        <v>0</v>
      </c>
      <c r="L716">
        <f>COUNTBLANK(Metadata!B716:D716)=COLUMNS(Metadata!B716:D716)</f>
        <v>0</v>
      </c>
      <c r="M716">
        <v>0</v>
      </c>
      <c r="O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>
        <f>AND(IF(Metadata!C716="",FALSE,TRUE),exact(Metadata!C716,"rat metagenome"))</f>
        <v>0</v>
      </c>
      <c r="Q716">
        <f>AND(IF(Metadata!D716="",FALSE,TRUE),exact(Metadata!D716,"1427740"))</f>
        <v>0</v>
      </c>
    </row>
    <row r="717" spans="1:17">
      <c r="A717" s="4">
        <f>IF(B717=" "," ",HYPERLINK(CONCATENATE("#metadata!",ADDRESS(INDEX($J$2:$J$1001,MATCH(ROWS($H$2:H717),$H$2:$H$1001,0),0),1)),INDEX($M$2:$M$1001,MATCH(ROWS($H$2:H717),$H$2:$H$1001,0),0)))</f>
        <v>0</v>
      </c>
      <c r="B717" s="3">
        <f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>0</v>
      </c>
      <c r="C717" s="3">
        <f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>0</v>
      </c>
      <c r="D717" s="3">
        <f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>0</v>
      </c>
      <c r="H717">
        <v>0</v>
      </c>
      <c r="I717">
        <v>0</v>
      </c>
      <c r="J717">
        <v>0</v>
      </c>
      <c r="K717">
        <f>IF(L717,TRUE,AND(O717:Q717))</f>
        <v>0</v>
      </c>
      <c r="L717">
        <f>COUNTBLANK(Metadata!B717:D717)=COLUMNS(Metadata!B717:D717)</f>
        <v>0</v>
      </c>
      <c r="M717">
        <v>0</v>
      </c>
      <c r="O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>
        <f>AND(IF(Metadata!C717="",FALSE,TRUE),exact(Metadata!C717,"rat metagenome"))</f>
        <v>0</v>
      </c>
      <c r="Q717">
        <f>AND(IF(Metadata!D717="",FALSE,TRUE),exact(Metadata!D717,"1427740"))</f>
        <v>0</v>
      </c>
    </row>
    <row r="718" spans="1:17">
      <c r="A718" s="4">
        <f>IF(B718=" "," ",HYPERLINK(CONCATENATE("#metadata!",ADDRESS(INDEX($J$2:$J$1001,MATCH(ROWS($H$2:H718),$H$2:$H$1001,0),0),1)),INDEX($M$2:$M$1001,MATCH(ROWS($H$2:H718),$H$2:$H$1001,0),0)))</f>
        <v>0</v>
      </c>
      <c r="B718" s="3">
        <f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>0</v>
      </c>
      <c r="C718" s="3">
        <f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>0</v>
      </c>
      <c r="D718" s="3">
        <f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>0</v>
      </c>
      <c r="H718">
        <v>0</v>
      </c>
      <c r="I718">
        <v>0</v>
      </c>
      <c r="J718">
        <v>0</v>
      </c>
      <c r="K718">
        <f>IF(L718,TRUE,AND(O718:Q718))</f>
        <v>0</v>
      </c>
      <c r="L718">
        <f>COUNTBLANK(Metadata!B718:D718)=COLUMNS(Metadata!B718:D718)</f>
        <v>0</v>
      </c>
      <c r="M718">
        <v>0</v>
      </c>
      <c r="O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>
        <f>AND(IF(Metadata!C718="",FALSE,TRUE),exact(Metadata!C718,"rat metagenome"))</f>
        <v>0</v>
      </c>
      <c r="Q718">
        <f>AND(IF(Metadata!D718="",FALSE,TRUE),exact(Metadata!D718,"1427740"))</f>
        <v>0</v>
      </c>
    </row>
    <row r="719" spans="1:17">
      <c r="A719" s="4">
        <f>IF(B719=" "," ",HYPERLINK(CONCATENATE("#metadata!",ADDRESS(INDEX($J$2:$J$1001,MATCH(ROWS($H$2:H719),$H$2:$H$1001,0),0),1)),INDEX($M$2:$M$1001,MATCH(ROWS($H$2:H719),$H$2:$H$1001,0),0)))</f>
        <v>0</v>
      </c>
      <c r="B719" s="3">
        <f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>0</v>
      </c>
      <c r="C719" s="3">
        <f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>0</v>
      </c>
      <c r="D719" s="3">
        <f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>0</v>
      </c>
      <c r="H719">
        <v>0</v>
      </c>
      <c r="I719">
        <v>0</v>
      </c>
      <c r="J719">
        <v>0</v>
      </c>
      <c r="K719">
        <f>IF(L719,TRUE,AND(O719:Q719))</f>
        <v>0</v>
      </c>
      <c r="L719">
        <f>COUNTBLANK(Metadata!B719:D719)=COLUMNS(Metadata!B719:D719)</f>
        <v>0</v>
      </c>
      <c r="M719">
        <v>0</v>
      </c>
      <c r="O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>
        <f>AND(IF(Metadata!C719="",FALSE,TRUE),exact(Metadata!C719,"rat metagenome"))</f>
        <v>0</v>
      </c>
      <c r="Q719">
        <f>AND(IF(Metadata!D719="",FALSE,TRUE),exact(Metadata!D719,"1427740"))</f>
        <v>0</v>
      </c>
    </row>
    <row r="720" spans="1:17">
      <c r="A720" s="4">
        <f>IF(B720=" "," ",HYPERLINK(CONCATENATE("#metadata!",ADDRESS(INDEX($J$2:$J$1001,MATCH(ROWS($H$2:H720),$H$2:$H$1001,0),0),1)),INDEX($M$2:$M$1001,MATCH(ROWS($H$2:H720),$H$2:$H$1001,0),0)))</f>
        <v>0</v>
      </c>
      <c r="B720" s="3">
        <f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>0</v>
      </c>
      <c r="C720" s="3">
        <f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>0</v>
      </c>
      <c r="D720" s="3">
        <f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>0</v>
      </c>
      <c r="H720">
        <v>0</v>
      </c>
      <c r="I720">
        <v>0</v>
      </c>
      <c r="J720">
        <v>0</v>
      </c>
      <c r="K720">
        <f>IF(L720,TRUE,AND(O720:Q720))</f>
        <v>0</v>
      </c>
      <c r="L720">
        <f>COUNTBLANK(Metadata!B720:D720)=COLUMNS(Metadata!B720:D720)</f>
        <v>0</v>
      </c>
      <c r="M720">
        <v>0</v>
      </c>
      <c r="O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>
        <f>AND(IF(Metadata!C720="",FALSE,TRUE),exact(Metadata!C720,"rat metagenome"))</f>
        <v>0</v>
      </c>
      <c r="Q720">
        <f>AND(IF(Metadata!D720="",FALSE,TRUE),exact(Metadata!D720,"1427740"))</f>
        <v>0</v>
      </c>
    </row>
    <row r="721" spans="1:17">
      <c r="A721" s="4">
        <f>IF(B721=" "," ",HYPERLINK(CONCATENATE("#metadata!",ADDRESS(INDEX($J$2:$J$1001,MATCH(ROWS($H$2:H721),$H$2:$H$1001,0),0),1)),INDEX($M$2:$M$1001,MATCH(ROWS($H$2:H721),$H$2:$H$1001,0),0)))</f>
        <v>0</v>
      </c>
      <c r="B721" s="3">
        <f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>0</v>
      </c>
      <c r="C721" s="3">
        <f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>0</v>
      </c>
      <c r="D721" s="3">
        <f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>0</v>
      </c>
      <c r="H721">
        <v>0</v>
      </c>
      <c r="I721">
        <v>0</v>
      </c>
      <c r="J721">
        <v>0</v>
      </c>
      <c r="K721">
        <f>IF(L721,TRUE,AND(O721:Q721))</f>
        <v>0</v>
      </c>
      <c r="L721">
        <f>COUNTBLANK(Metadata!B721:D721)=COLUMNS(Metadata!B721:D721)</f>
        <v>0</v>
      </c>
      <c r="M721">
        <v>0</v>
      </c>
      <c r="O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>
        <f>AND(IF(Metadata!C721="",FALSE,TRUE),exact(Metadata!C721,"rat metagenome"))</f>
        <v>0</v>
      </c>
      <c r="Q721">
        <f>AND(IF(Metadata!D721="",FALSE,TRUE),exact(Metadata!D721,"1427740"))</f>
        <v>0</v>
      </c>
    </row>
    <row r="722" spans="1:17">
      <c r="A722" s="4">
        <f>IF(B722=" "," ",HYPERLINK(CONCATENATE("#metadata!",ADDRESS(INDEX($J$2:$J$1001,MATCH(ROWS($H$2:H722),$H$2:$H$1001,0),0),1)),INDEX($M$2:$M$1001,MATCH(ROWS($H$2:H722),$H$2:$H$1001,0),0)))</f>
        <v>0</v>
      </c>
      <c r="B722" s="3">
        <f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>0</v>
      </c>
      <c r="C722" s="3">
        <f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>0</v>
      </c>
      <c r="D722" s="3">
        <f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>0</v>
      </c>
      <c r="H722">
        <v>0</v>
      </c>
      <c r="I722">
        <v>0</v>
      </c>
      <c r="J722">
        <v>0</v>
      </c>
      <c r="K722">
        <f>IF(L722,TRUE,AND(O722:Q722))</f>
        <v>0</v>
      </c>
      <c r="L722">
        <f>COUNTBLANK(Metadata!B722:D722)=COLUMNS(Metadata!B722:D722)</f>
        <v>0</v>
      </c>
      <c r="M722">
        <v>0</v>
      </c>
      <c r="O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>
        <f>AND(IF(Metadata!C722="",FALSE,TRUE),exact(Metadata!C722,"rat metagenome"))</f>
        <v>0</v>
      </c>
      <c r="Q722">
        <f>AND(IF(Metadata!D722="",FALSE,TRUE),exact(Metadata!D722,"1427740"))</f>
        <v>0</v>
      </c>
    </row>
    <row r="723" spans="1:17">
      <c r="A723" s="4">
        <f>IF(B723=" "," ",HYPERLINK(CONCATENATE("#metadata!",ADDRESS(INDEX($J$2:$J$1001,MATCH(ROWS($H$2:H723),$H$2:$H$1001,0),0),1)),INDEX($M$2:$M$1001,MATCH(ROWS($H$2:H723),$H$2:$H$1001,0),0)))</f>
        <v>0</v>
      </c>
      <c r="B723" s="3">
        <f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>0</v>
      </c>
      <c r="C723" s="3">
        <f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>0</v>
      </c>
      <c r="D723" s="3">
        <f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>0</v>
      </c>
      <c r="H723">
        <v>0</v>
      </c>
      <c r="I723">
        <v>0</v>
      </c>
      <c r="J723">
        <v>0</v>
      </c>
      <c r="K723">
        <f>IF(L723,TRUE,AND(O723:Q723))</f>
        <v>0</v>
      </c>
      <c r="L723">
        <f>COUNTBLANK(Metadata!B723:D723)=COLUMNS(Metadata!B723:D723)</f>
        <v>0</v>
      </c>
      <c r="M723">
        <v>0</v>
      </c>
      <c r="O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>
        <f>AND(IF(Metadata!C723="",FALSE,TRUE),exact(Metadata!C723,"rat metagenome"))</f>
        <v>0</v>
      </c>
      <c r="Q723">
        <f>AND(IF(Metadata!D723="",FALSE,TRUE),exact(Metadata!D723,"1427740"))</f>
        <v>0</v>
      </c>
    </row>
    <row r="724" spans="1:17">
      <c r="A724" s="4">
        <f>IF(B724=" "," ",HYPERLINK(CONCATENATE("#metadata!",ADDRESS(INDEX($J$2:$J$1001,MATCH(ROWS($H$2:H724),$H$2:$H$1001,0),0),1)),INDEX($M$2:$M$1001,MATCH(ROWS($H$2:H724),$H$2:$H$1001,0),0)))</f>
        <v>0</v>
      </c>
      <c r="B724" s="3">
        <f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>0</v>
      </c>
      <c r="C724" s="3">
        <f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>0</v>
      </c>
      <c r="D724" s="3">
        <f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>0</v>
      </c>
      <c r="H724">
        <v>0</v>
      </c>
      <c r="I724">
        <v>0</v>
      </c>
      <c r="J724">
        <v>0</v>
      </c>
      <c r="K724">
        <f>IF(L724,TRUE,AND(O724:Q724))</f>
        <v>0</v>
      </c>
      <c r="L724">
        <f>COUNTBLANK(Metadata!B724:D724)=COLUMNS(Metadata!B724:D724)</f>
        <v>0</v>
      </c>
      <c r="M724">
        <v>0</v>
      </c>
      <c r="O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>
        <f>AND(IF(Metadata!C724="",FALSE,TRUE),exact(Metadata!C724,"rat metagenome"))</f>
        <v>0</v>
      </c>
      <c r="Q724">
        <f>AND(IF(Metadata!D724="",FALSE,TRUE),exact(Metadata!D724,"1427740"))</f>
        <v>0</v>
      </c>
    </row>
    <row r="725" spans="1:17">
      <c r="A725" s="4">
        <f>IF(B725=" "," ",HYPERLINK(CONCATENATE("#metadata!",ADDRESS(INDEX($J$2:$J$1001,MATCH(ROWS($H$2:H725),$H$2:$H$1001,0),0),1)),INDEX($M$2:$M$1001,MATCH(ROWS($H$2:H725),$H$2:$H$1001,0),0)))</f>
        <v>0</v>
      </c>
      <c r="B725" s="3">
        <f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>0</v>
      </c>
      <c r="C725" s="3">
        <f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>0</v>
      </c>
      <c r="D725" s="3">
        <f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>0</v>
      </c>
      <c r="H725">
        <v>0</v>
      </c>
      <c r="I725">
        <v>0</v>
      </c>
      <c r="J725">
        <v>0</v>
      </c>
      <c r="K725">
        <f>IF(L725,TRUE,AND(O725:Q725))</f>
        <v>0</v>
      </c>
      <c r="L725">
        <f>COUNTBLANK(Metadata!B725:D725)=COLUMNS(Metadata!B725:D725)</f>
        <v>0</v>
      </c>
      <c r="M725">
        <v>0</v>
      </c>
      <c r="O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>
        <f>AND(IF(Metadata!C725="",FALSE,TRUE),exact(Metadata!C725,"rat metagenome"))</f>
        <v>0</v>
      </c>
      <c r="Q725">
        <f>AND(IF(Metadata!D725="",FALSE,TRUE),exact(Metadata!D725,"1427740"))</f>
        <v>0</v>
      </c>
    </row>
    <row r="726" spans="1:17">
      <c r="A726" s="4">
        <f>IF(B726=" "," ",HYPERLINK(CONCATENATE("#metadata!",ADDRESS(INDEX($J$2:$J$1001,MATCH(ROWS($H$2:H726),$H$2:$H$1001,0),0),1)),INDEX($M$2:$M$1001,MATCH(ROWS($H$2:H726),$H$2:$H$1001,0),0)))</f>
        <v>0</v>
      </c>
      <c r="B726" s="3">
        <f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>0</v>
      </c>
      <c r="C726" s="3">
        <f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>0</v>
      </c>
      <c r="D726" s="3">
        <f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>0</v>
      </c>
      <c r="H726">
        <v>0</v>
      </c>
      <c r="I726">
        <v>0</v>
      </c>
      <c r="J726">
        <v>0</v>
      </c>
      <c r="K726">
        <f>IF(L726,TRUE,AND(O726:Q726))</f>
        <v>0</v>
      </c>
      <c r="L726">
        <f>COUNTBLANK(Metadata!B726:D726)=COLUMNS(Metadata!B726:D726)</f>
        <v>0</v>
      </c>
      <c r="M726">
        <v>0</v>
      </c>
      <c r="O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>
        <f>AND(IF(Metadata!C726="",FALSE,TRUE),exact(Metadata!C726,"rat metagenome"))</f>
        <v>0</v>
      </c>
      <c r="Q726">
        <f>AND(IF(Metadata!D726="",FALSE,TRUE),exact(Metadata!D726,"1427740"))</f>
        <v>0</v>
      </c>
    </row>
    <row r="727" spans="1:17">
      <c r="A727" s="4">
        <f>IF(B727=" "," ",HYPERLINK(CONCATENATE("#metadata!",ADDRESS(INDEX($J$2:$J$1001,MATCH(ROWS($H$2:H727),$H$2:$H$1001,0),0),1)),INDEX($M$2:$M$1001,MATCH(ROWS($H$2:H727),$H$2:$H$1001,0),0)))</f>
        <v>0</v>
      </c>
      <c r="B727" s="3">
        <f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>0</v>
      </c>
      <c r="C727" s="3">
        <f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>0</v>
      </c>
      <c r="D727" s="3">
        <f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>0</v>
      </c>
      <c r="H727">
        <v>0</v>
      </c>
      <c r="I727">
        <v>0</v>
      </c>
      <c r="J727">
        <v>0</v>
      </c>
      <c r="K727">
        <f>IF(L727,TRUE,AND(O727:Q727))</f>
        <v>0</v>
      </c>
      <c r="L727">
        <f>COUNTBLANK(Metadata!B727:D727)=COLUMNS(Metadata!B727:D727)</f>
        <v>0</v>
      </c>
      <c r="M727">
        <v>0</v>
      </c>
      <c r="O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>
        <f>AND(IF(Metadata!C727="",FALSE,TRUE),exact(Metadata!C727,"rat metagenome"))</f>
        <v>0</v>
      </c>
      <c r="Q727">
        <f>AND(IF(Metadata!D727="",FALSE,TRUE),exact(Metadata!D727,"1427740"))</f>
        <v>0</v>
      </c>
    </row>
    <row r="728" spans="1:17">
      <c r="A728" s="4">
        <f>IF(B728=" "," ",HYPERLINK(CONCATENATE("#metadata!",ADDRESS(INDEX($J$2:$J$1001,MATCH(ROWS($H$2:H728),$H$2:$H$1001,0),0),1)),INDEX($M$2:$M$1001,MATCH(ROWS($H$2:H728),$H$2:$H$1001,0),0)))</f>
        <v>0</v>
      </c>
      <c r="B728" s="3">
        <f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>0</v>
      </c>
      <c r="C728" s="3">
        <f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>0</v>
      </c>
      <c r="D728" s="3">
        <f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>0</v>
      </c>
      <c r="H728">
        <v>0</v>
      </c>
      <c r="I728">
        <v>0</v>
      </c>
      <c r="J728">
        <v>0</v>
      </c>
      <c r="K728">
        <f>IF(L728,TRUE,AND(O728:Q728))</f>
        <v>0</v>
      </c>
      <c r="L728">
        <f>COUNTBLANK(Metadata!B728:D728)=COLUMNS(Metadata!B728:D728)</f>
        <v>0</v>
      </c>
      <c r="M728">
        <v>0</v>
      </c>
      <c r="O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>
        <f>AND(IF(Metadata!C728="",FALSE,TRUE),exact(Metadata!C728,"rat metagenome"))</f>
        <v>0</v>
      </c>
      <c r="Q728">
        <f>AND(IF(Metadata!D728="",FALSE,TRUE),exact(Metadata!D728,"1427740"))</f>
        <v>0</v>
      </c>
    </row>
    <row r="729" spans="1:17">
      <c r="A729" s="4">
        <f>IF(B729=" "," ",HYPERLINK(CONCATENATE("#metadata!",ADDRESS(INDEX($J$2:$J$1001,MATCH(ROWS($H$2:H729),$H$2:$H$1001,0),0),1)),INDEX($M$2:$M$1001,MATCH(ROWS($H$2:H729),$H$2:$H$1001,0),0)))</f>
        <v>0</v>
      </c>
      <c r="B729" s="3">
        <f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>0</v>
      </c>
      <c r="C729" s="3">
        <f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>0</v>
      </c>
      <c r="D729" s="3">
        <f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>0</v>
      </c>
      <c r="H729">
        <v>0</v>
      </c>
      <c r="I729">
        <v>0</v>
      </c>
      <c r="J729">
        <v>0</v>
      </c>
      <c r="K729">
        <f>IF(L729,TRUE,AND(O729:Q729))</f>
        <v>0</v>
      </c>
      <c r="L729">
        <f>COUNTBLANK(Metadata!B729:D729)=COLUMNS(Metadata!B729:D729)</f>
        <v>0</v>
      </c>
      <c r="M729">
        <v>0</v>
      </c>
      <c r="O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>
        <f>AND(IF(Metadata!C729="",FALSE,TRUE),exact(Metadata!C729,"rat metagenome"))</f>
        <v>0</v>
      </c>
      <c r="Q729">
        <f>AND(IF(Metadata!D729="",FALSE,TRUE),exact(Metadata!D729,"1427740"))</f>
        <v>0</v>
      </c>
    </row>
    <row r="730" spans="1:17">
      <c r="A730" s="4">
        <f>IF(B730=" "," ",HYPERLINK(CONCATENATE("#metadata!",ADDRESS(INDEX($J$2:$J$1001,MATCH(ROWS($H$2:H730),$H$2:$H$1001,0),0),1)),INDEX($M$2:$M$1001,MATCH(ROWS($H$2:H730),$H$2:$H$1001,0),0)))</f>
        <v>0</v>
      </c>
      <c r="B730" s="3">
        <f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>0</v>
      </c>
      <c r="C730" s="3">
        <f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>0</v>
      </c>
      <c r="D730" s="3">
        <f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>0</v>
      </c>
      <c r="H730">
        <v>0</v>
      </c>
      <c r="I730">
        <v>0</v>
      </c>
      <c r="J730">
        <v>0</v>
      </c>
      <c r="K730">
        <f>IF(L730,TRUE,AND(O730:Q730))</f>
        <v>0</v>
      </c>
      <c r="L730">
        <f>COUNTBLANK(Metadata!B730:D730)=COLUMNS(Metadata!B730:D730)</f>
        <v>0</v>
      </c>
      <c r="M730">
        <v>0</v>
      </c>
      <c r="O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>
        <f>AND(IF(Metadata!C730="",FALSE,TRUE),exact(Metadata!C730,"rat metagenome"))</f>
        <v>0</v>
      </c>
      <c r="Q730">
        <f>AND(IF(Metadata!D730="",FALSE,TRUE),exact(Metadata!D730,"1427740"))</f>
        <v>0</v>
      </c>
    </row>
    <row r="731" spans="1:17">
      <c r="A731" s="4">
        <f>IF(B731=" "," ",HYPERLINK(CONCATENATE("#metadata!",ADDRESS(INDEX($J$2:$J$1001,MATCH(ROWS($H$2:H731),$H$2:$H$1001,0),0),1)),INDEX($M$2:$M$1001,MATCH(ROWS($H$2:H731),$H$2:$H$1001,0),0)))</f>
        <v>0</v>
      </c>
      <c r="B731" s="3">
        <f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>0</v>
      </c>
      <c r="C731" s="3">
        <f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>0</v>
      </c>
      <c r="D731" s="3">
        <f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>0</v>
      </c>
      <c r="H731">
        <v>0</v>
      </c>
      <c r="I731">
        <v>0</v>
      </c>
      <c r="J731">
        <v>0</v>
      </c>
      <c r="K731">
        <f>IF(L731,TRUE,AND(O731:Q731))</f>
        <v>0</v>
      </c>
      <c r="L731">
        <f>COUNTBLANK(Metadata!B731:D731)=COLUMNS(Metadata!B731:D731)</f>
        <v>0</v>
      </c>
      <c r="M731">
        <v>0</v>
      </c>
      <c r="O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>
        <f>AND(IF(Metadata!C731="",FALSE,TRUE),exact(Metadata!C731,"rat metagenome"))</f>
        <v>0</v>
      </c>
      <c r="Q731">
        <f>AND(IF(Metadata!D731="",FALSE,TRUE),exact(Metadata!D731,"1427740"))</f>
        <v>0</v>
      </c>
    </row>
    <row r="732" spans="1:17">
      <c r="A732" s="4">
        <f>IF(B732=" "," ",HYPERLINK(CONCATENATE("#metadata!",ADDRESS(INDEX($J$2:$J$1001,MATCH(ROWS($H$2:H732),$H$2:$H$1001,0),0),1)),INDEX($M$2:$M$1001,MATCH(ROWS($H$2:H732),$H$2:$H$1001,0),0)))</f>
        <v>0</v>
      </c>
      <c r="B732" s="3">
        <f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>0</v>
      </c>
      <c r="C732" s="3">
        <f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>0</v>
      </c>
      <c r="D732" s="3">
        <f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>0</v>
      </c>
      <c r="H732">
        <v>0</v>
      </c>
      <c r="I732">
        <v>0</v>
      </c>
      <c r="J732">
        <v>0</v>
      </c>
      <c r="K732">
        <f>IF(L732,TRUE,AND(O732:Q732))</f>
        <v>0</v>
      </c>
      <c r="L732">
        <f>COUNTBLANK(Metadata!B732:D732)=COLUMNS(Metadata!B732:D732)</f>
        <v>0</v>
      </c>
      <c r="M732">
        <v>0</v>
      </c>
      <c r="O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>
        <f>AND(IF(Metadata!C732="",FALSE,TRUE),exact(Metadata!C732,"rat metagenome"))</f>
        <v>0</v>
      </c>
      <c r="Q732">
        <f>AND(IF(Metadata!D732="",FALSE,TRUE),exact(Metadata!D732,"1427740"))</f>
        <v>0</v>
      </c>
    </row>
    <row r="733" spans="1:17">
      <c r="A733" s="4">
        <f>IF(B733=" "," ",HYPERLINK(CONCATENATE("#metadata!",ADDRESS(INDEX($J$2:$J$1001,MATCH(ROWS($H$2:H733),$H$2:$H$1001,0),0),1)),INDEX($M$2:$M$1001,MATCH(ROWS($H$2:H733),$H$2:$H$1001,0),0)))</f>
        <v>0</v>
      </c>
      <c r="B733" s="3">
        <f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>0</v>
      </c>
      <c r="C733" s="3">
        <f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>0</v>
      </c>
      <c r="D733" s="3">
        <f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>0</v>
      </c>
      <c r="H733">
        <v>0</v>
      </c>
      <c r="I733">
        <v>0</v>
      </c>
      <c r="J733">
        <v>0</v>
      </c>
      <c r="K733">
        <f>IF(L733,TRUE,AND(O733:Q733))</f>
        <v>0</v>
      </c>
      <c r="L733">
        <f>COUNTBLANK(Metadata!B733:D733)=COLUMNS(Metadata!B733:D733)</f>
        <v>0</v>
      </c>
      <c r="M733">
        <v>0</v>
      </c>
      <c r="O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>
        <f>AND(IF(Metadata!C733="",FALSE,TRUE),exact(Metadata!C733,"rat metagenome"))</f>
        <v>0</v>
      </c>
      <c r="Q733">
        <f>AND(IF(Metadata!D733="",FALSE,TRUE),exact(Metadata!D733,"1427740"))</f>
        <v>0</v>
      </c>
    </row>
    <row r="734" spans="1:17">
      <c r="A734" s="4">
        <f>IF(B734=" "," ",HYPERLINK(CONCATENATE("#metadata!",ADDRESS(INDEX($J$2:$J$1001,MATCH(ROWS($H$2:H734),$H$2:$H$1001,0),0),1)),INDEX($M$2:$M$1001,MATCH(ROWS($H$2:H734),$H$2:$H$1001,0),0)))</f>
        <v>0</v>
      </c>
      <c r="B734" s="3">
        <f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>0</v>
      </c>
      <c r="C734" s="3">
        <f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>0</v>
      </c>
      <c r="D734" s="3">
        <f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>0</v>
      </c>
      <c r="H734">
        <v>0</v>
      </c>
      <c r="I734">
        <v>0</v>
      </c>
      <c r="J734">
        <v>0</v>
      </c>
      <c r="K734">
        <f>IF(L734,TRUE,AND(O734:Q734))</f>
        <v>0</v>
      </c>
      <c r="L734">
        <f>COUNTBLANK(Metadata!B734:D734)=COLUMNS(Metadata!B734:D734)</f>
        <v>0</v>
      </c>
      <c r="M734">
        <v>0</v>
      </c>
      <c r="O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>
        <f>AND(IF(Metadata!C734="",FALSE,TRUE),exact(Metadata!C734,"rat metagenome"))</f>
        <v>0</v>
      </c>
      <c r="Q734">
        <f>AND(IF(Metadata!D734="",FALSE,TRUE),exact(Metadata!D734,"1427740"))</f>
        <v>0</v>
      </c>
    </row>
    <row r="735" spans="1:17">
      <c r="A735" s="4">
        <f>IF(B735=" "," ",HYPERLINK(CONCATENATE("#metadata!",ADDRESS(INDEX($J$2:$J$1001,MATCH(ROWS($H$2:H735),$H$2:$H$1001,0),0),1)),INDEX($M$2:$M$1001,MATCH(ROWS($H$2:H735),$H$2:$H$1001,0),0)))</f>
        <v>0</v>
      </c>
      <c r="B735" s="3">
        <f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>0</v>
      </c>
      <c r="C735" s="3">
        <f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>0</v>
      </c>
      <c r="D735" s="3">
        <f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>0</v>
      </c>
      <c r="H735">
        <v>0</v>
      </c>
      <c r="I735">
        <v>0</v>
      </c>
      <c r="J735">
        <v>0</v>
      </c>
      <c r="K735">
        <f>IF(L735,TRUE,AND(O735:Q735))</f>
        <v>0</v>
      </c>
      <c r="L735">
        <f>COUNTBLANK(Metadata!B735:D735)=COLUMNS(Metadata!B735:D735)</f>
        <v>0</v>
      </c>
      <c r="M735">
        <v>0</v>
      </c>
      <c r="O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>
        <f>AND(IF(Metadata!C735="",FALSE,TRUE),exact(Metadata!C735,"rat metagenome"))</f>
        <v>0</v>
      </c>
      <c r="Q735">
        <f>AND(IF(Metadata!D735="",FALSE,TRUE),exact(Metadata!D735,"1427740"))</f>
        <v>0</v>
      </c>
    </row>
    <row r="736" spans="1:17">
      <c r="A736" s="4">
        <f>IF(B736=" "," ",HYPERLINK(CONCATENATE("#metadata!",ADDRESS(INDEX($J$2:$J$1001,MATCH(ROWS($H$2:H736),$H$2:$H$1001,0),0),1)),INDEX($M$2:$M$1001,MATCH(ROWS($H$2:H736),$H$2:$H$1001,0),0)))</f>
        <v>0</v>
      </c>
      <c r="B736" s="3">
        <f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>0</v>
      </c>
      <c r="C736" s="3">
        <f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>0</v>
      </c>
      <c r="D736" s="3">
        <f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>0</v>
      </c>
      <c r="H736">
        <v>0</v>
      </c>
      <c r="I736">
        <v>0</v>
      </c>
      <c r="J736">
        <v>0</v>
      </c>
      <c r="K736">
        <f>IF(L736,TRUE,AND(O736:Q736))</f>
        <v>0</v>
      </c>
      <c r="L736">
        <f>COUNTBLANK(Metadata!B736:D736)=COLUMNS(Metadata!B736:D736)</f>
        <v>0</v>
      </c>
      <c r="M736">
        <v>0</v>
      </c>
      <c r="O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>
        <f>AND(IF(Metadata!C736="",FALSE,TRUE),exact(Metadata!C736,"rat metagenome"))</f>
        <v>0</v>
      </c>
      <c r="Q736">
        <f>AND(IF(Metadata!D736="",FALSE,TRUE),exact(Metadata!D736,"1427740"))</f>
        <v>0</v>
      </c>
    </row>
    <row r="737" spans="1:17">
      <c r="A737" s="4">
        <f>IF(B737=" "," ",HYPERLINK(CONCATENATE("#metadata!",ADDRESS(INDEX($J$2:$J$1001,MATCH(ROWS($H$2:H737),$H$2:$H$1001,0),0),1)),INDEX($M$2:$M$1001,MATCH(ROWS($H$2:H737),$H$2:$H$1001,0),0)))</f>
        <v>0</v>
      </c>
      <c r="B737" s="3">
        <f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>0</v>
      </c>
      <c r="C737" s="3">
        <f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>0</v>
      </c>
      <c r="D737" s="3">
        <f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>0</v>
      </c>
      <c r="H737">
        <v>0</v>
      </c>
      <c r="I737">
        <v>0</v>
      </c>
      <c r="J737">
        <v>0</v>
      </c>
      <c r="K737">
        <f>IF(L737,TRUE,AND(O737:Q737))</f>
        <v>0</v>
      </c>
      <c r="L737">
        <f>COUNTBLANK(Metadata!B737:D737)=COLUMNS(Metadata!B737:D737)</f>
        <v>0</v>
      </c>
      <c r="M737">
        <v>0</v>
      </c>
      <c r="O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>
        <f>AND(IF(Metadata!C737="",FALSE,TRUE),exact(Metadata!C737,"rat metagenome"))</f>
        <v>0</v>
      </c>
      <c r="Q737">
        <f>AND(IF(Metadata!D737="",FALSE,TRUE),exact(Metadata!D737,"1427740"))</f>
        <v>0</v>
      </c>
    </row>
    <row r="738" spans="1:17">
      <c r="A738" s="4">
        <f>IF(B738=" "," ",HYPERLINK(CONCATENATE("#metadata!",ADDRESS(INDEX($J$2:$J$1001,MATCH(ROWS($H$2:H738),$H$2:$H$1001,0),0),1)),INDEX($M$2:$M$1001,MATCH(ROWS($H$2:H738),$H$2:$H$1001,0),0)))</f>
        <v>0</v>
      </c>
      <c r="B738" s="3">
        <f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>0</v>
      </c>
      <c r="C738" s="3">
        <f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>0</v>
      </c>
      <c r="D738" s="3">
        <f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>0</v>
      </c>
      <c r="H738">
        <v>0</v>
      </c>
      <c r="I738">
        <v>0</v>
      </c>
      <c r="J738">
        <v>0</v>
      </c>
      <c r="K738">
        <f>IF(L738,TRUE,AND(O738:Q738))</f>
        <v>0</v>
      </c>
      <c r="L738">
        <f>COUNTBLANK(Metadata!B738:D738)=COLUMNS(Metadata!B738:D738)</f>
        <v>0</v>
      </c>
      <c r="M738">
        <v>0</v>
      </c>
      <c r="O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>
        <f>AND(IF(Metadata!C738="",FALSE,TRUE),exact(Metadata!C738,"rat metagenome"))</f>
        <v>0</v>
      </c>
      <c r="Q738">
        <f>AND(IF(Metadata!D738="",FALSE,TRUE),exact(Metadata!D738,"1427740"))</f>
        <v>0</v>
      </c>
    </row>
    <row r="739" spans="1:17">
      <c r="A739" s="4">
        <f>IF(B739=" "," ",HYPERLINK(CONCATENATE("#metadata!",ADDRESS(INDEX($J$2:$J$1001,MATCH(ROWS($H$2:H739),$H$2:$H$1001,0),0),1)),INDEX($M$2:$M$1001,MATCH(ROWS($H$2:H739),$H$2:$H$1001,0),0)))</f>
        <v>0</v>
      </c>
      <c r="B739" s="3">
        <f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>0</v>
      </c>
      <c r="C739" s="3">
        <f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>0</v>
      </c>
      <c r="D739" s="3">
        <f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>0</v>
      </c>
      <c r="H739">
        <v>0</v>
      </c>
      <c r="I739">
        <v>0</v>
      </c>
      <c r="J739">
        <v>0</v>
      </c>
      <c r="K739">
        <f>IF(L739,TRUE,AND(O739:Q739))</f>
        <v>0</v>
      </c>
      <c r="L739">
        <f>COUNTBLANK(Metadata!B739:D739)=COLUMNS(Metadata!B739:D739)</f>
        <v>0</v>
      </c>
      <c r="M739">
        <v>0</v>
      </c>
      <c r="O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>
        <f>AND(IF(Metadata!C739="",FALSE,TRUE),exact(Metadata!C739,"rat metagenome"))</f>
        <v>0</v>
      </c>
      <c r="Q739">
        <f>AND(IF(Metadata!D739="",FALSE,TRUE),exact(Metadata!D739,"1427740"))</f>
        <v>0</v>
      </c>
    </row>
    <row r="740" spans="1:17">
      <c r="A740" s="4">
        <f>IF(B740=" "," ",HYPERLINK(CONCATENATE("#metadata!",ADDRESS(INDEX($J$2:$J$1001,MATCH(ROWS($H$2:H740),$H$2:$H$1001,0),0),1)),INDEX($M$2:$M$1001,MATCH(ROWS($H$2:H740),$H$2:$H$1001,0),0)))</f>
        <v>0</v>
      </c>
      <c r="B740" s="3">
        <f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>0</v>
      </c>
      <c r="C740" s="3">
        <f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>0</v>
      </c>
      <c r="D740" s="3">
        <f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>0</v>
      </c>
      <c r="H740">
        <v>0</v>
      </c>
      <c r="I740">
        <v>0</v>
      </c>
      <c r="J740">
        <v>0</v>
      </c>
      <c r="K740">
        <f>IF(L740,TRUE,AND(O740:Q740))</f>
        <v>0</v>
      </c>
      <c r="L740">
        <f>COUNTBLANK(Metadata!B740:D740)=COLUMNS(Metadata!B740:D740)</f>
        <v>0</v>
      </c>
      <c r="M740">
        <v>0</v>
      </c>
      <c r="O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>
        <f>AND(IF(Metadata!C740="",FALSE,TRUE),exact(Metadata!C740,"rat metagenome"))</f>
        <v>0</v>
      </c>
      <c r="Q740">
        <f>AND(IF(Metadata!D740="",FALSE,TRUE),exact(Metadata!D740,"1427740"))</f>
        <v>0</v>
      </c>
    </row>
    <row r="741" spans="1:17">
      <c r="A741" s="4">
        <f>IF(B741=" "," ",HYPERLINK(CONCATENATE("#metadata!",ADDRESS(INDEX($J$2:$J$1001,MATCH(ROWS($H$2:H741),$H$2:$H$1001,0),0),1)),INDEX($M$2:$M$1001,MATCH(ROWS($H$2:H741),$H$2:$H$1001,0),0)))</f>
        <v>0</v>
      </c>
      <c r="B741" s="3">
        <f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>0</v>
      </c>
      <c r="C741" s="3">
        <f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>0</v>
      </c>
      <c r="D741" s="3">
        <f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>0</v>
      </c>
      <c r="H741">
        <v>0</v>
      </c>
      <c r="I741">
        <v>0</v>
      </c>
      <c r="J741">
        <v>0</v>
      </c>
      <c r="K741">
        <f>IF(L741,TRUE,AND(O741:Q741))</f>
        <v>0</v>
      </c>
      <c r="L741">
        <f>COUNTBLANK(Metadata!B741:D741)=COLUMNS(Metadata!B741:D741)</f>
        <v>0</v>
      </c>
      <c r="M741">
        <v>0</v>
      </c>
      <c r="O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>
        <f>AND(IF(Metadata!C741="",FALSE,TRUE),exact(Metadata!C741,"rat metagenome"))</f>
        <v>0</v>
      </c>
      <c r="Q741">
        <f>AND(IF(Metadata!D741="",FALSE,TRUE),exact(Metadata!D741,"1427740"))</f>
        <v>0</v>
      </c>
    </row>
    <row r="742" spans="1:17">
      <c r="A742" s="4">
        <f>IF(B742=" "," ",HYPERLINK(CONCATENATE("#metadata!",ADDRESS(INDEX($J$2:$J$1001,MATCH(ROWS($H$2:H742),$H$2:$H$1001,0),0),1)),INDEX($M$2:$M$1001,MATCH(ROWS($H$2:H742),$H$2:$H$1001,0),0)))</f>
        <v>0</v>
      </c>
      <c r="B742" s="3">
        <f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>0</v>
      </c>
      <c r="C742" s="3">
        <f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>0</v>
      </c>
      <c r="D742" s="3">
        <f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>0</v>
      </c>
      <c r="H742">
        <v>0</v>
      </c>
      <c r="I742">
        <v>0</v>
      </c>
      <c r="J742">
        <v>0</v>
      </c>
      <c r="K742">
        <f>IF(L742,TRUE,AND(O742:Q742))</f>
        <v>0</v>
      </c>
      <c r="L742">
        <f>COUNTBLANK(Metadata!B742:D742)=COLUMNS(Metadata!B742:D742)</f>
        <v>0</v>
      </c>
      <c r="M742">
        <v>0</v>
      </c>
      <c r="O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>
        <f>AND(IF(Metadata!C742="",FALSE,TRUE),exact(Metadata!C742,"rat metagenome"))</f>
        <v>0</v>
      </c>
      <c r="Q742">
        <f>AND(IF(Metadata!D742="",FALSE,TRUE),exact(Metadata!D742,"1427740"))</f>
        <v>0</v>
      </c>
    </row>
    <row r="743" spans="1:17">
      <c r="A743" s="4">
        <f>IF(B743=" "," ",HYPERLINK(CONCATENATE("#metadata!",ADDRESS(INDEX($J$2:$J$1001,MATCH(ROWS($H$2:H743),$H$2:$H$1001,0),0),1)),INDEX($M$2:$M$1001,MATCH(ROWS($H$2:H743),$H$2:$H$1001,0),0)))</f>
        <v>0</v>
      </c>
      <c r="B743" s="3">
        <f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>0</v>
      </c>
      <c r="C743" s="3">
        <f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>0</v>
      </c>
      <c r="D743" s="3">
        <f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>0</v>
      </c>
      <c r="H743">
        <v>0</v>
      </c>
      <c r="I743">
        <v>0</v>
      </c>
      <c r="J743">
        <v>0</v>
      </c>
      <c r="K743">
        <f>IF(L743,TRUE,AND(O743:Q743))</f>
        <v>0</v>
      </c>
      <c r="L743">
        <f>COUNTBLANK(Metadata!B743:D743)=COLUMNS(Metadata!B743:D743)</f>
        <v>0</v>
      </c>
      <c r="M743">
        <v>0</v>
      </c>
      <c r="O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>
        <f>AND(IF(Metadata!C743="",FALSE,TRUE),exact(Metadata!C743,"rat metagenome"))</f>
        <v>0</v>
      </c>
      <c r="Q743">
        <f>AND(IF(Metadata!D743="",FALSE,TRUE),exact(Metadata!D743,"1427740"))</f>
        <v>0</v>
      </c>
    </row>
    <row r="744" spans="1:17">
      <c r="A744" s="4">
        <f>IF(B744=" "," ",HYPERLINK(CONCATENATE("#metadata!",ADDRESS(INDEX($J$2:$J$1001,MATCH(ROWS($H$2:H744),$H$2:$H$1001,0),0),1)),INDEX($M$2:$M$1001,MATCH(ROWS($H$2:H744),$H$2:$H$1001,0),0)))</f>
        <v>0</v>
      </c>
      <c r="B744" s="3">
        <f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>0</v>
      </c>
      <c r="C744" s="3">
        <f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>0</v>
      </c>
      <c r="D744" s="3">
        <f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>0</v>
      </c>
      <c r="H744">
        <v>0</v>
      </c>
      <c r="I744">
        <v>0</v>
      </c>
      <c r="J744">
        <v>0</v>
      </c>
      <c r="K744">
        <f>IF(L744,TRUE,AND(O744:Q744))</f>
        <v>0</v>
      </c>
      <c r="L744">
        <f>COUNTBLANK(Metadata!B744:D744)=COLUMNS(Metadata!B744:D744)</f>
        <v>0</v>
      </c>
      <c r="M744">
        <v>0</v>
      </c>
      <c r="O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>
        <f>AND(IF(Metadata!C744="",FALSE,TRUE),exact(Metadata!C744,"rat metagenome"))</f>
        <v>0</v>
      </c>
      <c r="Q744">
        <f>AND(IF(Metadata!D744="",FALSE,TRUE),exact(Metadata!D744,"1427740"))</f>
        <v>0</v>
      </c>
    </row>
    <row r="745" spans="1:17">
      <c r="A745" s="4">
        <f>IF(B745=" "," ",HYPERLINK(CONCATENATE("#metadata!",ADDRESS(INDEX($J$2:$J$1001,MATCH(ROWS($H$2:H745),$H$2:$H$1001,0),0),1)),INDEX($M$2:$M$1001,MATCH(ROWS($H$2:H745),$H$2:$H$1001,0),0)))</f>
        <v>0</v>
      </c>
      <c r="B745" s="3">
        <f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>0</v>
      </c>
      <c r="C745" s="3">
        <f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>0</v>
      </c>
      <c r="D745" s="3">
        <f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>0</v>
      </c>
      <c r="H745">
        <v>0</v>
      </c>
      <c r="I745">
        <v>0</v>
      </c>
      <c r="J745">
        <v>0</v>
      </c>
      <c r="K745">
        <f>IF(L745,TRUE,AND(O745:Q745))</f>
        <v>0</v>
      </c>
      <c r="L745">
        <f>COUNTBLANK(Metadata!B745:D745)=COLUMNS(Metadata!B745:D745)</f>
        <v>0</v>
      </c>
      <c r="M745">
        <v>0</v>
      </c>
      <c r="O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>
        <f>AND(IF(Metadata!C745="",FALSE,TRUE),exact(Metadata!C745,"rat metagenome"))</f>
        <v>0</v>
      </c>
      <c r="Q745">
        <f>AND(IF(Metadata!D745="",FALSE,TRUE),exact(Metadata!D745,"1427740"))</f>
        <v>0</v>
      </c>
    </row>
    <row r="746" spans="1:17">
      <c r="A746" s="4">
        <f>IF(B746=" "," ",HYPERLINK(CONCATENATE("#metadata!",ADDRESS(INDEX($J$2:$J$1001,MATCH(ROWS($H$2:H746),$H$2:$H$1001,0),0),1)),INDEX($M$2:$M$1001,MATCH(ROWS($H$2:H746),$H$2:$H$1001,0),0)))</f>
        <v>0</v>
      </c>
      <c r="B746" s="3">
        <f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>0</v>
      </c>
      <c r="C746" s="3">
        <f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>0</v>
      </c>
      <c r="D746" s="3">
        <f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>0</v>
      </c>
      <c r="H746">
        <v>0</v>
      </c>
      <c r="I746">
        <v>0</v>
      </c>
      <c r="J746">
        <v>0</v>
      </c>
      <c r="K746">
        <f>IF(L746,TRUE,AND(O746:Q746))</f>
        <v>0</v>
      </c>
      <c r="L746">
        <f>COUNTBLANK(Metadata!B746:D746)=COLUMNS(Metadata!B746:D746)</f>
        <v>0</v>
      </c>
      <c r="M746">
        <v>0</v>
      </c>
      <c r="O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>
        <f>AND(IF(Metadata!C746="",FALSE,TRUE),exact(Metadata!C746,"rat metagenome"))</f>
        <v>0</v>
      </c>
      <c r="Q746">
        <f>AND(IF(Metadata!D746="",FALSE,TRUE),exact(Metadata!D746,"1427740"))</f>
        <v>0</v>
      </c>
    </row>
    <row r="747" spans="1:17">
      <c r="A747" s="4">
        <f>IF(B747=" "," ",HYPERLINK(CONCATENATE("#metadata!",ADDRESS(INDEX($J$2:$J$1001,MATCH(ROWS($H$2:H747),$H$2:$H$1001,0),0),1)),INDEX($M$2:$M$1001,MATCH(ROWS($H$2:H747),$H$2:$H$1001,0),0)))</f>
        <v>0</v>
      </c>
      <c r="B747" s="3">
        <f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>0</v>
      </c>
      <c r="C747" s="3">
        <f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>0</v>
      </c>
      <c r="D747" s="3">
        <f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>0</v>
      </c>
      <c r="H747">
        <v>0</v>
      </c>
      <c r="I747">
        <v>0</v>
      </c>
      <c r="J747">
        <v>0</v>
      </c>
      <c r="K747">
        <f>IF(L747,TRUE,AND(O747:Q747))</f>
        <v>0</v>
      </c>
      <c r="L747">
        <f>COUNTBLANK(Metadata!B747:D747)=COLUMNS(Metadata!B747:D747)</f>
        <v>0</v>
      </c>
      <c r="M747">
        <v>0</v>
      </c>
      <c r="O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>
        <f>AND(IF(Metadata!C747="",FALSE,TRUE),exact(Metadata!C747,"rat metagenome"))</f>
        <v>0</v>
      </c>
      <c r="Q747">
        <f>AND(IF(Metadata!D747="",FALSE,TRUE),exact(Metadata!D747,"1427740"))</f>
        <v>0</v>
      </c>
    </row>
    <row r="748" spans="1:17">
      <c r="A748" s="4">
        <f>IF(B748=" "," ",HYPERLINK(CONCATENATE("#metadata!",ADDRESS(INDEX($J$2:$J$1001,MATCH(ROWS($H$2:H748),$H$2:$H$1001,0),0),1)),INDEX($M$2:$M$1001,MATCH(ROWS($H$2:H748),$H$2:$H$1001,0),0)))</f>
        <v>0</v>
      </c>
      <c r="B748" s="3">
        <f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>0</v>
      </c>
      <c r="C748" s="3">
        <f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>0</v>
      </c>
      <c r="D748" s="3">
        <f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>0</v>
      </c>
      <c r="H748">
        <v>0</v>
      </c>
      <c r="I748">
        <v>0</v>
      </c>
      <c r="J748">
        <v>0</v>
      </c>
      <c r="K748">
        <f>IF(L748,TRUE,AND(O748:Q748))</f>
        <v>0</v>
      </c>
      <c r="L748">
        <f>COUNTBLANK(Metadata!B748:D748)=COLUMNS(Metadata!B748:D748)</f>
        <v>0</v>
      </c>
      <c r="M748">
        <v>0</v>
      </c>
      <c r="O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>
        <f>AND(IF(Metadata!C748="",FALSE,TRUE),exact(Metadata!C748,"rat metagenome"))</f>
        <v>0</v>
      </c>
      <c r="Q748">
        <f>AND(IF(Metadata!D748="",FALSE,TRUE),exact(Metadata!D748,"1427740"))</f>
        <v>0</v>
      </c>
    </row>
    <row r="749" spans="1:17">
      <c r="A749" s="4">
        <f>IF(B749=" "," ",HYPERLINK(CONCATENATE("#metadata!",ADDRESS(INDEX($J$2:$J$1001,MATCH(ROWS($H$2:H749),$H$2:$H$1001,0),0),1)),INDEX($M$2:$M$1001,MATCH(ROWS($H$2:H749),$H$2:$H$1001,0),0)))</f>
        <v>0</v>
      </c>
      <c r="B749" s="3">
        <f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>0</v>
      </c>
      <c r="C749" s="3">
        <f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>0</v>
      </c>
      <c r="D749" s="3">
        <f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>0</v>
      </c>
      <c r="H749">
        <v>0</v>
      </c>
      <c r="I749">
        <v>0</v>
      </c>
      <c r="J749">
        <v>0</v>
      </c>
      <c r="K749">
        <f>IF(L749,TRUE,AND(O749:Q749))</f>
        <v>0</v>
      </c>
      <c r="L749">
        <f>COUNTBLANK(Metadata!B749:D749)=COLUMNS(Metadata!B749:D749)</f>
        <v>0</v>
      </c>
      <c r="M749">
        <v>0</v>
      </c>
      <c r="O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>
        <f>AND(IF(Metadata!C749="",FALSE,TRUE),exact(Metadata!C749,"rat metagenome"))</f>
        <v>0</v>
      </c>
      <c r="Q749">
        <f>AND(IF(Metadata!D749="",FALSE,TRUE),exact(Metadata!D749,"1427740"))</f>
        <v>0</v>
      </c>
    </row>
    <row r="750" spans="1:17">
      <c r="A750" s="4">
        <f>IF(B750=" "," ",HYPERLINK(CONCATENATE("#metadata!",ADDRESS(INDEX($J$2:$J$1001,MATCH(ROWS($H$2:H750),$H$2:$H$1001,0),0),1)),INDEX($M$2:$M$1001,MATCH(ROWS($H$2:H750),$H$2:$H$1001,0),0)))</f>
        <v>0</v>
      </c>
      <c r="B750" s="3">
        <f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>0</v>
      </c>
      <c r="C750" s="3">
        <f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>0</v>
      </c>
      <c r="D750" s="3">
        <f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>0</v>
      </c>
      <c r="H750">
        <v>0</v>
      </c>
      <c r="I750">
        <v>0</v>
      </c>
      <c r="J750">
        <v>0</v>
      </c>
      <c r="K750">
        <f>IF(L750,TRUE,AND(O750:Q750))</f>
        <v>0</v>
      </c>
      <c r="L750">
        <f>COUNTBLANK(Metadata!B750:D750)=COLUMNS(Metadata!B750:D750)</f>
        <v>0</v>
      </c>
      <c r="M750">
        <v>0</v>
      </c>
      <c r="O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>
        <f>AND(IF(Metadata!C750="",FALSE,TRUE),exact(Metadata!C750,"rat metagenome"))</f>
        <v>0</v>
      </c>
      <c r="Q750">
        <f>AND(IF(Metadata!D750="",FALSE,TRUE),exact(Metadata!D750,"1427740"))</f>
        <v>0</v>
      </c>
    </row>
    <row r="751" spans="1:17">
      <c r="A751" s="4">
        <f>IF(B751=" "," ",HYPERLINK(CONCATENATE("#metadata!",ADDRESS(INDEX($J$2:$J$1001,MATCH(ROWS($H$2:H751),$H$2:$H$1001,0),0),1)),INDEX($M$2:$M$1001,MATCH(ROWS($H$2:H751),$H$2:$H$1001,0),0)))</f>
        <v>0</v>
      </c>
      <c r="B751" s="3">
        <f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>0</v>
      </c>
      <c r="C751" s="3">
        <f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>0</v>
      </c>
      <c r="D751" s="3">
        <f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>0</v>
      </c>
      <c r="H751">
        <v>0</v>
      </c>
      <c r="I751">
        <v>0</v>
      </c>
      <c r="J751">
        <v>0</v>
      </c>
      <c r="K751">
        <f>IF(L751,TRUE,AND(O751:Q751))</f>
        <v>0</v>
      </c>
      <c r="L751">
        <f>COUNTBLANK(Metadata!B751:D751)=COLUMNS(Metadata!B751:D751)</f>
        <v>0</v>
      </c>
      <c r="M751">
        <v>0</v>
      </c>
      <c r="O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>
        <f>AND(IF(Metadata!C751="",FALSE,TRUE),exact(Metadata!C751,"rat metagenome"))</f>
        <v>0</v>
      </c>
      <c r="Q751">
        <f>AND(IF(Metadata!D751="",FALSE,TRUE),exact(Metadata!D751,"1427740"))</f>
        <v>0</v>
      </c>
    </row>
    <row r="752" spans="1:17">
      <c r="A752" s="4">
        <f>IF(B752=" "," ",HYPERLINK(CONCATENATE("#metadata!",ADDRESS(INDEX($J$2:$J$1001,MATCH(ROWS($H$2:H752),$H$2:$H$1001,0),0),1)),INDEX($M$2:$M$1001,MATCH(ROWS($H$2:H752),$H$2:$H$1001,0),0)))</f>
        <v>0</v>
      </c>
      <c r="B752" s="3">
        <f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>0</v>
      </c>
      <c r="C752" s="3">
        <f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>0</v>
      </c>
      <c r="D752" s="3">
        <f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>0</v>
      </c>
      <c r="H752">
        <v>0</v>
      </c>
      <c r="I752">
        <v>0</v>
      </c>
      <c r="J752">
        <v>0</v>
      </c>
      <c r="K752">
        <f>IF(L752,TRUE,AND(O752:Q752))</f>
        <v>0</v>
      </c>
      <c r="L752">
        <f>COUNTBLANK(Metadata!B752:D752)=COLUMNS(Metadata!B752:D752)</f>
        <v>0</v>
      </c>
      <c r="M752">
        <v>0</v>
      </c>
      <c r="O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>
        <f>AND(IF(Metadata!C752="",FALSE,TRUE),exact(Metadata!C752,"rat metagenome"))</f>
        <v>0</v>
      </c>
      <c r="Q752">
        <f>AND(IF(Metadata!D752="",FALSE,TRUE),exact(Metadata!D752,"1427740"))</f>
        <v>0</v>
      </c>
    </row>
    <row r="753" spans="1:17">
      <c r="A753" s="4">
        <f>IF(B753=" "," ",HYPERLINK(CONCATENATE("#metadata!",ADDRESS(INDEX($J$2:$J$1001,MATCH(ROWS($H$2:H753),$H$2:$H$1001,0),0),1)),INDEX($M$2:$M$1001,MATCH(ROWS($H$2:H753),$H$2:$H$1001,0),0)))</f>
        <v>0</v>
      </c>
      <c r="B753" s="3">
        <f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>0</v>
      </c>
      <c r="C753" s="3">
        <f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>0</v>
      </c>
      <c r="D753" s="3">
        <f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>0</v>
      </c>
      <c r="H753">
        <v>0</v>
      </c>
      <c r="I753">
        <v>0</v>
      </c>
      <c r="J753">
        <v>0</v>
      </c>
      <c r="K753">
        <f>IF(L753,TRUE,AND(O753:Q753))</f>
        <v>0</v>
      </c>
      <c r="L753">
        <f>COUNTBLANK(Metadata!B753:D753)=COLUMNS(Metadata!B753:D753)</f>
        <v>0</v>
      </c>
      <c r="M753">
        <v>0</v>
      </c>
      <c r="O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>
        <f>AND(IF(Metadata!C753="",FALSE,TRUE),exact(Metadata!C753,"rat metagenome"))</f>
        <v>0</v>
      </c>
      <c r="Q753">
        <f>AND(IF(Metadata!D753="",FALSE,TRUE),exact(Metadata!D753,"1427740"))</f>
        <v>0</v>
      </c>
    </row>
    <row r="754" spans="1:17">
      <c r="A754" s="4">
        <f>IF(B754=" "," ",HYPERLINK(CONCATENATE("#metadata!",ADDRESS(INDEX($J$2:$J$1001,MATCH(ROWS($H$2:H754),$H$2:$H$1001,0),0),1)),INDEX($M$2:$M$1001,MATCH(ROWS($H$2:H754),$H$2:$H$1001,0),0)))</f>
        <v>0</v>
      </c>
      <c r="B754" s="3">
        <f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>0</v>
      </c>
      <c r="C754" s="3">
        <f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>0</v>
      </c>
      <c r="D754" s="3">
        <f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>0</v>
      </c>
      <c r="H754">
        <v>0</v>
      </c>
      <c r="I754">
        <v>0</v>
      </c>
      <c r="J754">
        <v>0</v>
      </c>
      <c r="K754">
        <f>IF(L754,TRUE,AND(O754:Q754))</f>
        <v>0</v>
      </c>
      <c r="L754">
        <f>COUNTBLANK(Metadata!B754:D754)=COLUMNS(Metadata!B754:D754)</f>
        <v>0</v>
      </c>
      <c r="M754">
        <v>0</v>
      </c>
      <c r="O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>
        <f>AND(IF(Metadata!C754="",FALSE,TRUE),exact(Metadata!C754,"rat metagenome"))</f>
        <v>0</v>
      </c>
      <c r="Q754">
        <f>AND(IF(Metadata!D754="",FALSE,TRUE),exact(Metadata!D754,"1427740"))</f>
        <v>0</v>
      </c>
    </row>
    <row r="755" spans="1:17">
      <c r="A755" s="4">
        <f>IF(B755=" "," ",HYPERLINK(CONCATENATE("#metadata!",ADDRESS(INDEX($J$2:$J$1001,MATCH(ROWS($H$2:H755),$H$2:$H$1001,0),0),1)),INDEX($M$2:$M$1001,MATCH(ROWS($H$2:H755),$H$2:$H$1001,0),0)))</f>
        <v>0</v>
      </c>
      <c r="B755" s="3">
        <f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>0</v>
      </c>
      <c r="C755" s="3">
        <f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>0</v>
      </c>
      <c r="D755" s="3">
        <f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>0</v>
      </c>
      <c r="H755">
        <v>0</v>
      </c>
      <c r="I755">
        <v>0</v>
      </c>
      <c r="J755">
        <v>0</v>
      </c>
      <c r="K755">
        <f>IF(L755,TRUE,AND(O755:Q755))</f>
        <v>0</v>
      </c>
      <c r="L755">
        <f>COUNTBLANK(Metadata!B755:D755)=COLUMNS(Metadata!B755:D755)</f>
        <v>0</v>
      </c>
      <c r="M755">
        <v>0</v>
      </c>
      <c r="O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>
        <f>AND(IF(Metadata!C755="",FALSE,TRUE),exact(Metadata!C755,"rat metagenome"))</f>
        <v>0</v>
      </c>
      <c r="Q755">
        <f>AND(IF(Metadata!D755="",FALSE,TRUE),exact(Metadata!D755,"1427740"))</f>
        <v>0</v>
      </c>
    </row>
    <row r="756" spans="1:17">
      <c r="A756" s="4">
        <f>IF(B756=" "," ",HYPERLINK(CONCATENATE("#metadata!",ADDRESS(INDEX($J$2:$J$1001,MATCH(ROWS($H$2:H756),$H$2:$H$1001,0),0),1)),INDEX($M$2:$M$1001,MATCH(ROWS($H$2:H756),$H$2:$H$1001,0),0)))</f>
        <v>0</v>
      </c>
      <c r="B756" s="3">
        <f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>0</v>
      </c>
      <c r="C756" s="3">
        <f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>0</v>
      </c>
      <c r="D756" s="3">
        <f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>0</v>
      </c>
      <c r="H756">
        <v>0</v>
      </c>
      <c r="I756">
        <v>0</v>
      </c>
      <c r="J756">
        <v>0</v>
      </c>
      <c r="K756">
        <f>IF(L756,TRUE,AND(O756:Q756))</f>
        <v>0</v>
      </c>
      <c r="L756">
        <f>COUNTBLANK(Metadata!B756:D756)=COLUMNS(Metadata!B756:D756)</f>
        <v>0</v>
      </c>
      <c r="M756">
        <v>0</v>
      </c>
      <c r="O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>
        <f>AND(IF(Metadata!C756="",FALSE,TRUE),exact(Metadata!C756,"rat metagenome"))</f>
        <v>0</v>
      </c>
      <c r="Q756">
        <f>AND(IF(Metadata!D756="",FALSE,TRUE),exact(Metadata!D756,"1427740"))</f>
        <v>0</v>
      </c>
    </row>
    <row r="757" spans="1:17">
      <c r="A757" s="4">
        <f>IF(B757=" "," ",HYPERLINK(CONCATENATE("#metadata!",ADDRESS(INDEX($J$2:$J$1001,MATCH(ROWS($H$2:H757),$H$2:$H$1001,0),0),1)),INDEX($M$2:$M$1001,MATCH(ROWS($H$2:H757),$H$2:$H$1001,0),0)))</f>
        <v>0</v>
      </c>
      <c r="B757" s="3">
        <f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>0</v>
      </c>
      <c r="C757" s="3">
        <f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>0</v>
      </c>
      <c r="D757" s="3">
        <f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>0</v>
      </c>
      <c r="H757">
        <v>0</v>
      </c>
      <c r="I757">
        <v>0</v>
      </c>
      <c r="J757">
        <v>0</v>
      </c>
      <c r="K757">
        <f>IF(L757,TRUE,AND(O757:Q757))</f>
        <v>0</v>
      </c>
      <c r="L757">
        <f>COUNTBLANK(Metadata!B757:D757)=COLUMNS(Metadata!B757:D757)</f>
        <v>0</v>
      </c>
      <c r="M757">
        <v>0</v>
      </c>
      <c r="O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>
        <f>AND(IF(Metadata!C757="",FALSE,TRUE),exact(Metadata!C757,"rat metagenome"))</f>
        <v>0</v>
      </c>
      <c r="Q757">
        <f>AND(IF(Metadata!D757="",FALSE,TRUE),exact(Metadata!D757,"1427740"))</f>
        <v>0</v>
      </c>
    </row>
    <row r="758" spans="1:17">
      <c r="A758" s="4">
        <f>IF(B758=" "," ",HYPERLINK(CONCATENATE("#metadata!",ADDRESS(INDEX($J$2:$J$1001,MATCH(ROWS($H$2:H758),$H$2:$H$1001,0),0),1)),INDEX($M$2:$M$1001,MATCH(ROWS($H$2:H758),$H$2:$H$1001,0),0)))</f>
        <v>0</v>
      </c>
      <c r="B758" s="3">
        <f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>0</v>
      </c>
      <c r="C758" s="3">
        <f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>0</v>
      </c>
      <c r="D758" s="3">
        <f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>0</v>
      </c>
      <c r="H758">
        <v>0</v>
      </c>
      <c r="I758">
        <v>0</v>
      </c>
      <c r="J758">
        <v>0</v>
      </c>
      <c r="K758">
        <f>IF(L758,TRUE,AND(O758:Q758))</f>
        <v>0</v>
      </c>
      <c r="L758">
        <f>COUNTBLANK(Metadata!B758:D758)=COLUMNS(Metadata!B758:D758)</f>
        <v>0</v>
      </c>
      <c r="M758">
        <v>0</v>
      </c>
      <c r="O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>
        <f>AND(IF(Metadata!C758="",FALSE,TRUE),exact(Metadata!C758,"rat metagenome"))</f>
        <v>0</v>
      </c>
      <c r="Q758">
        <f>AND(IF(Metadata!D758="",FALSE,TRUE),exact(Metadata!D758,"1427740"))</f>
        <v>0</v>
      </c>
    </row>
    <row r="759" spans="1:17">
      <c r="A759" s="4">
        <f>IF(B759=" "," ",HYPERLINK(CONCATENATE("#metadata!",ADDRESS(INDEX($J$2:$J$1001,MATCH(ROWS($H$2:H759),$H$2:$H$1001,0),0),1)),INDEX($M$2:$M$1001,MATCH(ROWS($H$2:H759),$H$2:$H$1001,0),0)))</f>
        <v>0</v>
      </c>
      <c r="B759" s="3">
        <f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>0</v>
      </c>
      <c r="C759" s="3">
        <f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>0</v>
      </c>
      <c r="D759" s="3">
        <f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>0</v>
      </c>
      <c r="H759">
        <v>0</v>
      </c>
      <c r="I759">
        <v>0</v>
      </c>
      <c r="J759">
        <v>0</v>
      </c>
      <c r="K759">
        <f>IF(L759,TRUE,AND(O759:Q759))</f>
        <v>0</v>
      </c>
      <c r="L759">
        <f>COUNTBLANK(Metadata!B759:D759)=COLUMNS(Metadata!B759:D759)</f>
        <v>0</v>
      </c>
      <c r="M759">
        <v>0</v>
      </c>
      <c r="O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>
        <f>AND(IF(Metadata!C759="",FALSE,TRUE),exact(Metadata!C759,"rat metagenome"))</f>
        <v>0</v>
      </c>
      <c r="Q759">
        <f>AND(IF(Metadata!D759="",FALSE,TRUE),exact(Metadata!D759,"1427740"))</f>
        <v>0</v>
      </c>
    </row>
    <row r="760" spans="1:17">
      <c r="A760" s="4">
        <f>IF(B760=" "," ",HYPERLINK(CONCATENATE("#metadata!",ADDRESS(INDEX($J$2:$J$1001,MATCH(ROWS($H$2:H760),$H$2:$H$1001,0),0),1)),INDEX($M$2:$M$1001,MATCH(ROWS($H$2:H760),$H$2:$H$1001,0),0)))</f>
        <v>0</v>
      </c>
      <c r="B760" s="3">
        <f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>0</v>
      </c>
      <c r="C760" s="3">
        <f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>0</v>
      </c>
      <c r="D760" s="3">
        <f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>0</v>
      </c>
      <c r="H760">
        <v>0</v>
      </c>
      <c r="I760">
        <v>0</v>
      </c>
      <c r="J760">
        <v>0</v>
      </c>
      <c r="K760">
        <f>IF(L760,TRUE,AND(O760:Q760))</f>
        <v>0</v>
      </c>
      <c r="L760">
        <f>COUNTBLANK(Metadata!B760:D760)=COLUMNS(Metadata!B760:D760)</f>
        <v>0</v>
      </c>
      <c r="M760">
        <v>0</v>
      </c>
      <c r="O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>
        <f>AND(IF(Metadata!C760="",FALSE,TRUE),exact(Metadata!C760,"rat metagenome"))</f>
        <v>0</v>
      </c>
      <c r="Q760">
        <f>AND(IF(Metadata!D760="",FALSE,TRUE),exact(Metadata!D760,"1427740"))</f>
        <v>0</v>
      </c>
    </row>
    <row r="761" spans="1:17">
      <c r="A761" s="4">
        <f>IF(B761=" "," ",HYPERLINK(CONCATENATE("#metadata!",ADDRESS(INDEX($J$2:$J$1001,MATCH(ROWS($H$2:H761),$H$2:$H$1001,0),0),1)),INDEX($M$2:$M$1001,MATCH(ROWS($H$2:H761),$H$2:$H$1001,0),0)))</f>
        <v>0</v>
      </c>
      <c r="B761" s="3">
        <f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>0</v>
      </c>
      <c r="C761" s="3">
        <f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>0</v>
      </c>
      <c r="D761" s="3">
        <f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>0</v>
      </c>
      <c r="H761">
        <v>0</v>
      </c>
      <c r="I761">
        <v>0</v>
      </c>
      <c r="J761">
        <v>0</v>
      </c>
      <c r="K761">
        <f>IF(L761,TRUE,AND(O761:Q761))</f>
        <v>0</v>
      </c>
      <c r="L761">
        <f>COUNTBLANK(Metadata!B761:D761)=COLUMNS(Metadata!B761:D761)</f>
        <v>0</v>
      </c>
      <c r="M761">
        <v>0</v>
      </c>
      <c r="O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>
        <f>AND(IF(Metadata!C761="",FALSE,TRUE),exact(Metadata!C761,"rat metagenome"))</f>
        <v>0</v>
      </c>
      <c r="Q761">
        <f>AND(IF(Metadata!D761="",FALSE,TRUE),exact(Metadata!D761,"1427740"))</f>
        <v>0</v>
      </c>
    </row>
    <row r="762" spans="1:17">
      <c r="A762" s="4">
        <f>IF(B762=" "," ",HYPERLINK(CONCATENATE("#metadata!",ADDRESS(INDEX($J$2:$J$1001,MATCH(ROWS($H$2:H762),$H$2:$H$1001,0),0),1)),INDEX($M$2:$M$1001,MATCH(ROWS($H$2:H762),$H$2:$H$1001,0),0)))</f>
        <v>0</v>
      </c>
      <c r="B762" s="3">
        <f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>0</v>
      </c>
      <c r="C762" s="3">
        <f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>0</v>
      </c>
      <c r="D762" s="3">
        <f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>0</v>
      </c>
      <c r="H762">
        <v>0</v>
      </c>
      <c r="I762">
        <v>0</v>
      </c>
      <c r="J762">
        <v>0</v>
      </c>
      <c r="K762">
        <f>IF(L762,TRUE,AND(O762:Q762))</f>
        <v>0</v>
      </c>
      <c r="L762">
        <f>COUNTBLANK(Metadata!B762:D762)=COLUMNS(Metadata!B762:D762)</f>
        <v>0</v>
      </c>
      <c r="M762">
        <v>0</v>
      </c>
      <c r="O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>
        <f>AND(IF(Metadata!C762="",FALSE,TRUE),exact(Metadata!C762,"rat metagenome"))</f>
        <v>0</v>
      </c>
      <c r="Q762">
        <f>AND(IF(Metadata!D762="",FALSE,TRUE),exact(Metadata!D762,"1427740"))</f>
        <v>0</v>
      </c>
    </row>
    <row r="763" spans="1:17">
      <c r="A763" s="4">
        <f>IF(B763=" "," ",HYPERLINK(CONCATENATE("#metadata!",ADDRESS(INDEX($J$2:$J$1001,MATCH(ROWS($H$2:H763),$H$2:$H$1001,0),0),1)),INDEX($M$2:$M$1001,MATCH(ROWS($H$2:H763),$H$2:$H$1001,0),0)))</f>
        <v>0</v>
      </c>
      <c r="B763" s="3">
        <f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>0</v>
      </c>
      <c r="C763" s="3">
        <f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>0</v>
      </c>
      <c r="D763" s="3">
        <f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>0</v>
      </c>
      <c r="H763">
        <v>0</v>
      </c>
      <c r="I763">
        <v>0</v>
      </c>
      <c r="J763">
        <v>0</v>
      </c>
      <c r="K763">
        <f>IF(L763,TRUE,AND(O763:Q763))</f>
        <v>0</v>
      </c>
      <c r="L763">
        <f>COUNTBLANK(Metadata!B763:D763)=COLUMNS(Metadata!B763:D763)</f>
        <v>0</v>
      </c>
      <c r="M763">
        <v>0</v>
      </c>
      <c r="O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>
        <f>AND(IF(Metadata!C763="",FALSE,TRUE),exact(Metadata!C763,"rat metagenome"))</f>
        <v>0</v>
      </c>
      <c r="Q763">
        <f>AND(IF(Metadata!D763="",FALSE,TRUE),exact(Metadata!D763,"1427740"))</f>
        <v>0</v>
      </c>
    </row>
    <row r="764" spans="1:17">
      <c r="A764" s="4">
        <f>IF(B764=" "," ",HYPERLINK(CONCATENATE("#metadata!",ADDRESS(INDEX($J$2:$J$1001,MATCH(ROWS($H$2:H764),$H$2:$H$1001,0),0),1)),INDEX($M$2:$M$1001,MATCH(ROWS($H$2:H764),$H$2:$H$1001,0),0)))</f>
        <v>0</v>
      </c>
      <c r="B764" s="3">
        <f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>0</v>
      </c>
      <c r="C764" s="3">
        <f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>0</v>
      </c>
      <c r="D764" s="3">
        <f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>0</v>
      </c>
      <c r="H764">
        <v>0</v>
      </c>
      <c r="I764">
        <v>0</v>
      </c>
      <c r="J764">
        <v>0</v>
      </c>
      <c r="K764">
        <f>IF(L764,TRUE,AND(O764:Q764))</f>
        <v>0</v>
      </c>
      <c r="L764">
        <f>COUNTBLANK(Metadata!B764:D764)=COLUMNS(Metadata!B764:D764)</f>
        <v>0</v>
      </c>
      <c r="M764">
        <v>0</v>
      </c>
      <c r="O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>
        <f>AND(IF(Metadata!C764="",FALSE,TRUE),exact(Metadata!C764,"rat metagenome"))</f>
        <v>0</v>
      </c>
      <c r="Q764">
        <f>AND(IF(Metadata!D764="",FALSE,TRUE),exact(Metadata!D764,"1427740"))</f>
        <v>0</v>
      </c>
    </row>
    <row r="765" spans="1:17">
      <c r="A765" s="4">
        <f>IF(B765=" "," ",HYPERLINK(CONCATENATE("#metadata!",ADDRESS(INDEX($J$2:$J$1001,MATCH(ROWS($H$2:H765),$H$2:$H$1001,0),0),1)),INDEX($M$2:$M$1001,MATCH(ROWS($H$2:H765),$H$2:$H$1001,0),0)))</f>
        <v>0</v>
      </c>
      <c r="B765" s="3">
        <f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>0</v>
      </c>
      <c r="C765" s="3">
        <f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>0</v>
      </c>
      <c r="D765" s="3">
        <f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>0</v>
      </c>
      <c r="H765">
        <v>0</v>
      </c>
      <c r="I765">
        <v>0</v>
      </c>
      <c r="J765">
        <v>0</v>
      </c>
      <c r="K765">
        <f>IF(L765,TRUE,AND(O765:Q765))</f>
        <v>0</v>
      </c>
      <c r="L765">
        <f>COUNTBLANK(Metadata!B765:D765)=COLUMNS(Metadata!B765:D765)</f>
        <v>0</v>
      </c>
      <c r="M765">
        <v>0</v>
      </c>
      <c r="O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>
        <f>AND(IF(Metadata!C765="",FALSE,TRUE),exact(Metadata!C765,"rat metagenome"))</f>
        <v>0</v>
      </c>
      <c r="Q765">
        <f>AND(IF(Metadata!D765="",FALSE,TRUE),exact(Metadata!D765,"1427740"))</f>
        <v>0</v>
      </c>
    </row>
    <row r="766" spans="1:17">
      <c r="A766" s="4">
        <f>IF(B766=" "," ",HYPERLINK(CONCATENATE("#metadata!",ADDRESS(INDEX($J$2:$J$1001,MATCH(ROWS($H$2:H766),$H$2:$H$1001,0),0),1)),INDEX($M$2:$M$1001,MATCH(ROWS($H$2:H766),$H$2:$H$1001,0),0)))</f>
        <v>0</v>
      </c>
      <c r="B766" s="3">
        <f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>0</v>
      </c>
      <c r="C766" s="3">
        <f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>0</v>
      </c>
      <c r="D766" s="3">
        <f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>0</v>
      </c>
      <c r="H766">
        <v>0</v>
      </c>
      <c r="I766">
        <v>0</v>
      </c>
      <c r="J766">
        <v>0</v>
      </c>
      <c r="K766">
        <f>IF(L766,TRUE,AND(O766:Q766))</f>
        <v>0</v>
      </c>
      <c r="L766">
        <f>COUNTBLANK(Metadata!B766:D766)=COLUMNS(Metadata!B766:D766)</f>
        <v>0</v>
      </c>
      <c r="M766">
        <v>0</v>
      </c>
      <c r="O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>
        <f>AND(IF(Metadata!C766="",FALSE,TRUE),exact(Metadata!C766,"rat metagenome"))</f>
        <v>0</v>
      </c>
      <c r="Q766">
        <f>AND(IF(Metadata!D766="",FALSE,TRUE),exact(Metadata!D766,"1427740"))</f>
        <v>0</v>
      </c>
    </row>
    <row r="767" spans="1:17">
      <c r="A767" s="4">
        <f>IF(B767=" "," ",HYPERLINK(CONCATENATE("#metadata!",ADDRESS(INDEX($J$2:$J$1001,MATCH(ROWS($H$2:H767),$H$2:$H$1001,0),0),1)),INDEX($M$2:$M$1001,MATCH(ROWS($H$2:H767),$H$2:$H$1001,0),0)))</f>
        <v>0</v>
      </c>
      <c r="B767" s="3">
        <f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>0</v>
      </c>
      <c r="C767" s="3">
        <f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>0</v>
      </c>
      <c r="D767" s="3">
        <f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>0</v>
      </c>
      <c r="H767">
        <v>0</v>
      </c>
      <c r="I767">
        <v>0</v>
      </c>
      <c r="J767">
        <v>0</v>
      </c>
      <c r="K767">
        <f>IF(L767,TRUE,AND(O767:Q767))</f>
        <v>0</v>
      </c>
      <c r="L767">
        <f>COUNTBLANK(Metadata!B767:D767)=COLUMNS(Metadata!B767:D767)</f>
        <v>0</v>
      </c>
      <c r="M767">
        <v>0</v>
      </c>
      <c r="O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>
        <f>AND(IF(Metadata!C767="",FALSE,TRUE),exact(Metadata!C767,"rat metagenome"))</f>
        <v>0</v>
      </c>
      <c r="Q767">
        <f>AND(IF(Metadata!D767="",FALSE,TRUE),exact(Metadata!D767,"1427740"))</f>
        <v>0</v>
      </c>
    </row>
    <row r="768" spans="1:17">
      <c r="A768" s="4">
        <f>IF(B768=" "," ",HYPERLINK(CONCATENATE("#metadata!",ADDRESS(INDEX($J$2:$J$1001,MATCH(ROWS($H$2:H768),$H$2:$H$1001,0),0),1)),INDEX($M$2:$M$1001,MATCH(ROWS($H$2:H768),$H$2:$H$1001,0),0)))</f>
        <v>0</v>
      </c>
      <c r="B768" s="3">
        <f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>0</v>
      </c>
      <c r="C768" s="3">
        <f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>0</v>
      </c>
      <c r="D768" s="3">
        <f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>0</v>
      </c>
      <c r="H768">
        <v>0</v>
      </c>
      <c r="I768">
        <v>0</v>
      </c>
      <c r="J768">
        <v>0</v>
      </c>
      <c r="K768">
        <f>IF(L768,TRUE,AND(O768:Q768))</f>
        <v>0</v>
      </c>
      <c r="L768">
        <f>COUNTBLANK(Metadata!B768:D768)=COLUMNS(Metadata!B768:D768)</f>
        <v>0</v>
      </c>
      <c r="M768">
        <v>0</v>
      </c>
      <c r="O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>
        <f>AND(IF(Metadata!C768="",FALSE,TRUE),exact(Metadata!C768,"rat metagenome"))</f>
        <v>0</v>
      </c>
      <c r="Q768">
        <f>AND(IF(Metadata!D768="",FALSE,TRUE),exact(Metadata!D768,"1427740"))</f>
        <v>0</v>
      </c>
    </row>
    <row r="769" spans="1:17">
      <c r="A769" s="4">
        <f>IF(B769=" "," ",HYPERLINK(CONCATENATE("#metadata!",ADDRESS(INDEX($J$2:$J$1001,MATCH(ROWS($H$2:H769),$H$2:$H$1001,0),0),1)),INDEX($M$2:$M$1001,MATCH(ROWS($H$2:H769),$H$2:$H$1001,0),0)))</f>
        <v>0</v>
      </c>
      <c r="B769" s="3">
        <f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>0</v>
      </c>
      <c r="C769" s="3">
        <f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>0</v>
      </c>
      <c r="D769" s="3">
        <f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>0</v>
      </c>
      <c r="H769">
        <v>0</v>
      </c>
      <c r="I769">
        <v>0</v>
      </c>
      <c r="J769">
        <v>0</v>
      </c>
      <c r="K769">
        <f>IF(L769,TRUE,AND(O769:Q769))</f>
        <v>0</v>
      </c>
      <c r="L769">
        <f>COUNTBLANK(Metadata!B769:D769)=COLUMNS(Metadata!B769:D769)</f>
        <v>0</v>
      </c>
      <c r="M769">
        <v>0</v>
      </c>
      <c r="O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>
        <f>AND(IF(Metadata!C769="",FALSE,TRUE),exact(Metadata!C769,"rat metagenome"))</f>
        <v>0</v>
      </c>
      <c r="Q769">
        <f>AND(IF(Metadata!D769="",FALSE,TRUE),exact(Metadata!D769,"1427740"))</f>
        <v>0</v>
      </c>
    </row>
    <row r="770" spans="1:17">
      <c r="A770" s="4">
        <f>IF(B770=" "," ",HYPERLINK(CONCATENATE("#metadata!",ADDRESS(INDEX($J$2:$J$1001,MATCH(ROWS($H$2:H770),$H$2:$H$1001,0),0),1)),INDEX($M$2:$M$1001,MATCH(ROWS($H$2:H770),$H$2:$H$1001,0),0)))</f>
        <v>0</v>
      </c>
      <c r="B770" s="3">
        <f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>0</v>
      </c>
      <c r="C770" s="3">
        <f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>0</v>
      </c>
      <c r="D770" s="3">
        <f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>0</v>
      </c>
      <c r="H770">
        <v>0</v>
      </c>
      <c r="I770">
        <v>0</v>
      </c>
      <c r="J770">
        <v>0</v>
      </c>
      <c r="K770">
        <f>IF(L770,TRUE,AND(O770:Q770))</f>
        <v>0</v>
      </c>
      <c r="L770">
        <f>COUNTBLANK(Metadata!B770:D770)=COLUMNS(Metadata!B770:D770)</f>
        <v>0</v>
      </c>
      <c r="M770">
        <v>0</v>
      </c>
      <c r="O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>
        <f>AND(IF(Metadata!C770="",FALSE,TRUE),exact(Metadata!C770,"rat metagenome"))</f>
        <v>0</v>
      </c>
      <c r="Q770">
        <f>AND(IF(Metadata!D770="",FALSE,TRUE),exact(Metadata!D770,"1427740"))</f>
        <v>0</v>
      </c>
    </row>
    <row r="771" spans="1:17">
      <c r="A771" s="4">
        <f>IF(B771=" "," ",HYPERLINK(CONCATENATE("#metadata!",ADDRESS(INDEX($J$2:$J$1001,MATCH(ROWS($H$2:H771),$H$2:$H$1001,0),0),1)),INDEX($M$2:$M$1001,MATCH(ROWS($H$2:H771),$H$2:$H$1001,0),0)))</f>
        <v>0</v>
      </c>
      <c r="B771" s="3">
        <f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>0</v>
      </c>
      <c r="C771" s="3">
        <f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>0</v>
      </c>
      <c r="D771" s="3">
        <f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>0</v>
      </c>
      <c r="H771">
        <v>0</v>
      </c>
      <c r="I771">
        <v>0</v>
      </c>
      <c r="J771">
        <v>0</v>
      </c>
      <c r="K771">
        <f>IF(L771,TRUE,AND(O771:Q771))</f>
        <v>0</v>
      </c>
      <c r="L771">
        <f>COUNTBLANK(Metadata!B771:D771)=COLUMNS(Metadata!B771:D771)</f>
        <v>0</v>
      </c>
      <c r="M771">
        <v>0</v>
      </c>
      <c r="O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>
        <f>AND(IF(Metadata!C771="",FALSE,TRUE),exact(Metadata!C771,"rat metagenome"))</f>
        <v>0</v>
      </c>
      <c r="Q771">
        <f>AND(IF(Metadata!D771="",FALSE,TRUE),exact(Metadata!D771,"1427740"))</f>
        <v>0</v>
      </c>
    </row>
    <row r="772" spans="1:17">
      <c r="A772" s="4">
        <f>IF(B772=" "," ",HYPERLINK(CONCATENATE("#metadata!",ADDRESS(INDEX($J$2:$J$1001,MATCH(ROWS($H$2:H772),$H$2:$H$1001,0),0),1)),INDEX($M$2:$M$1001,MATCH(ROWS($H$2:H772),$H$2:$H$1001,0),0)))</f>
        <v>0</v>
      </c>
      <c r="B772" s="3">
        <f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>0</v>
      </c>
      <c r="C772" s="3">
        <f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>0</v>
      </c>
      <c r="D772" s="3">
        <f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>0</v>
      </c>
      <c r="H772">
        <v>0</v>
      </c>
      <c r="I772">
        <v>0</v>
      </c>
      <c r="J772">
        <v>0</v>
      </c>
      <c r="K772">
        <f>IF(L772,TRUE,AND(O772:Q772))</f>
        <v>0</v>
      </c>
      <c r="L772">
        <f>COUNTBLANK(Metadata!B772:D772)=COLUMNS(Metadata!B772:D772)</f>
        <v>0</v>
      </c>
      <c r="M772">
        <v>0</v>
      </c>
      <c r="O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>
        <f>AND(IF(Metadata!C772="",FALSE,TRUE),exact(Metadata!C772,"rat metagenome"))</f>
        <v>0</v>
      </c>
      <c r="Q772">
        <f>AND(IF(Metadata!D772="",FALSE,TRUE),exact(Metadata!D772,"1427740"))</f>
        <v>0</v>
      </c>
    </row>
    <row r="773" spans="1:17">
      <c r="A773" s="4">
        <f>IF(B773=" "," ",HYPERLINK(CONCATENATE("#metadata!",ADDRESS(INDEX($J$2:$J$1001,MATCH(ROWS($H$2:H773),$H$2:$H$1001,0),0),1)),INDEX($M$2:$M$1001,MATCH(ROWS($H$2:H773),$H$2:$H$1001,0),0)))</f>
        <v>0</v>
      </c>
      <c r="B773" s="3">
        <f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>0</v>
      </c>
      <c r="C773" s="3">
        <f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>0</v>
      </c>
      <c r="D773" s="3">
        <f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>0</v>
      </c>
      <c r="H773">
        <v>0</v>
      </c>
      <c r="I773">
        <v>0</v>
      </c>
      <c r="J773">
        <v>0</v>
      </c>
      <c r="K773">
        <f>IF(L773,TRUE,AND(O773:Q773))</f>
        <v>0</v>
      </c>
      <c r="L773">
        <f>COUNTBLANK(Metadata!B773:D773)=COLUMNS(Metadata!B773:D773)</f>
        <v>0</v>
      </c>
      <c r="M773">
        <v>0</v>
      </c>
      <c r="O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>
        <f>AND(IF(Metadata!C773="",FALSE,TRUE),exact(Metadata!C773,"rat metagenome"))</f>
        <v>0</v>
      </c>
      <c r="Q773">
        <f>AND(IF(Metadata!D773="",FALSE,TRUE),exact(Metadata!D773,"1427740"))</f>
        <v>0</v>
      </c>
    </row>
    <row r="774" spans="1:17">
      <c r="A774" s="4">
        <f>IF(B774=" "," ",HYPERLINK(CONCATENATE("#metadata!",ADDRESS(INDEX($J$2:$J$1001,MATCH(ROWS($H$2:H774),$H$2:$H$1001,0),0),1)),INDEX($M$2:$M$1001,MATCH(ROWS($H$2:H774),$H$2:$H$1001,0),0)))</f>
        <v>0</v>
      </c>
      <c r="B774" s="3">
        <f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>0</v>
      </c>
      <c r="C774" s="3">
        <f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>0</v>
      </c>
      <c r="D774" s="3">
        <f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>0</v>
      </c>
      <c r="H774">
        <v>0</v>
      </c>
      <c r="I774">
        <v>0</v>
      </c>
      <c r="J774">
        <v>0</v>
      </c>
      <c r="K774">
        <f>IF(L774,TRUE,AND(O774:Q774))</f>
        <v>0</v>
      </c>
      <c r="L774">
        <f>COUNTBLANK(Metadata!B774:D774)=COLUMNS(Metadata!B774:D774)</f>
        <v>0</v>
      </c>
      <c r="M774">
        <v>0</v>
      </c>
      <c r="O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>
        <f>AND(IF(Metadata!C774="",FALSE,TRUE),exact(Metadata!C774,"rat metagenome"))</f>
        <v>0</v>
      </c>
      <c r="Q774">
        <f>AND(IF(Metadata!D774="",FALSE,TRUE),exact(Metadata!D774,"1427740"))</f>
        <v>0</v>
      </c>
    </row>
    <row r="775" spans="1:17">
      <c r="A775" s="4">
        <f>IF(B775=" "," ",HYPERLINK(CONCATENATE("#metadata!",ADDRESS(INDEX($J$2:$J$1001,MATCH(ROWS($H$2:H775),$H$2:$H$1001,0),0),1)),INDEX($M$2:$M$1001,MATCH(ROWS($H$2:H775),$H$2:$H$1001,0),0)))</f>
        <v>0</v>
      </c>
      <c r="B775" s="3">
        <f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>0</v>
      </c>
      <c r="C775" s="3">
        <f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>0</v>
      </c>
      <c r="D775" s="3">
        <f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>0</v>
      </c>
      <c r="H775">
        <v>0</v>
      </c>
      <c r="I775">
        <v>0</v>
      </c>
      <c r="J775">
        <v>0</v>
      </c>
      <c r="K775">
        <f>IF(L775,TRUE,AND(O775:Q775))</f>
        <v>0</v>
      </c>
      <c r="L775">
        <f>COUNTBLANK(Metadata!B775:D775)=COLUMNS(Metadata!B775:D775)</f>
        <v>0</v>
      </c>
      <c r="M775">
        <v>0</v>
      </c>
      <c r="O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>
        <f>AND(IF(Metadata!C775="",FALSE,TRUE),exact(Metadata!C775,"rat metagenome"))</f>
        <v>0</v>
      </c>
      <c r="Q775">
        <f>AND(IF(Metadata!D775="",FALSE,TRUE),exact(Metadata!D775,"1427740"))</f>
        <v>0</v>
      </c>
    </row>
    <row r="776" spans="1:17">
      <c r="A776" s="4">
        <f>IF(B776=" "," ",HYPERLINK(CONCATENATE("#metadata!",ADDRESS(INDEX($J$2:$J$1001,MATCH(ROWS($H$2:H776),$H$2:$H$1001,0),0),1)),INDEX($M$2:$M$1001,MATCH(ROWS($H$2:H776),$H$2:$H$1001,0),0)))</f>
        <v>0</v>
      </c>
      <c r="B776" s="3">
        <f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>0</v>
      </c>
      <c r="C776" s="3">
        <f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>0</v>
      </c>
      <c r="D776" s="3">
        <f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>0</v>
      </c>
      <c r="H776">
        <v>0</v>
      </c>
      <c r="I776">
        <v>0</v>
      </c>
      <c r="J776">
        <v>0</v>
      </c>
      <c r="K776">
        <f>IF(L776,TRUE,AND(O776:Q776))</f>
        <v>0</v>
      </c>
      <c r="L776">
        <f>COUNTBLANK(Metadata!B776:D776)=COLUMNS(Metadata!B776:D776)</f>
        <v>0</v>
      </c>
      <c r="M776">
        <v>0</v>
      </c>
      <c r="O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>
        <f>AND(IF(Metadata!C776="",FALSE,TRUE),exact(Metadata!C776,"rat metagenome"))</f>
        <v>0</v>
      </c>
      <c r="Q776">
        <f>AND(IF(Metadata!D776="",FALSE,TRUE),exact(Metadata!D776,"1427740"))</f>
        <v>0</v>
      </c>
    </row>
    <row r="777" spans="1:17">
      <c r="A777" s="4">
        <f>IF(B777=" "," ",HYPERLINK(CONCATENATE("#metadata!",ADDRESS(INDEX($J$2:$J$1001,MATCH(ROWS($H$2:H777),$H$2:$H$1001,0),0),1)),INDEX($M$2:$M$1001,MATCH(ROWS($H$2:H777),$H$2:$H$1001,0),0)))</f>
        <v>0</v>
      </c>
      <c r="B777" s="3">
        <f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>0</v>
      </c>
      <c r="C777" s="3">
        <f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>0</v>
      </c>
      <c r="D777" s="3">
        <f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>0</v>
      </c>
      <c r="H777">
        <v>0</v>
      </c>
      <c r="I777">
        <v>0</v>
      </c>
      <c r="J777">
        <v>0</v>
      </c>
      <c r="K777">
        <f>IF(L777,TRUE,AND(O777:Q777))</f>
        <v>0</v>
      </c>
      <c r="L777">
        <f>COUNTBLANK(Metadata!B777:D777)=COLUMNS(Metadata!B777:D777)</f>
        <v>0</v>
      </c>
      <c r="M777">
        <v>0</v>
      </c>
      <c r="O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>
        <f>AND(IF(Metadata!C777="",FALSE,TRUE),exact(Metadata!C777,"rat metagenome"))</f>
        <v>0</v>
      </c>
      <c r="Q777">
        <f>AND(IF(Metadata!D777="",FALSE,TRUE),exact(Metadata!D777,"1427740"))</f>
        <v>0</v>
      </c>
    </row>
    <row r="778" spans="1:17">
      <c r="A778" s="4">
        <f>IF(B778=" "," ",HYPERLINK(CONCATENATE("#metadata!",ADDRESS(INDEX($J$2:$J$1001,MATCH(ROWS($H$2:H778),$H$2:$H$1001,0),0),1)),INDEX($M$2:$M$1001,MATCH(ROWS($H$2:H778),$H$2:$H$1001,0),0)))</f>
        <v>0</v>
      </c>
      <c r="B778" s="3">
        <f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>0</v>
      </c>
      <c r="C778" s="3">
        <f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>0</v>
      </c>
      <c r="D778" s="3">
        <f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>0</v>
      </c>
      <c r="H778">
        <v>0</v>
      </c>
      <c r="I778">
        <v>0</v>
      </c>
      <c r="J778">
        <v>0</v>
      </c>
      <c r="K778">
        <f>IF(L778,TRUE,AND(O778:Q778))</f>
        <v>0</v>
      </c>
      <c r="L778">
        <f>COUNTBLANK(Metadata!B778:D778)=COLUMNS(Metadata!B778:D778)</f>
        <v>0</v>
      </c>
      <c r="M778">
        <v>0</v>
      </c>
      <c r="O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>
        <f>AND(IF(Metadata!C778="",FALSE,TRUE),exact(Metadata!C778,"rat metagenome"))</f>
        <v>0</v>
      </c>
      <c r="Q778">
        <f>AND(IF(Metadata!D778="",FALSE,TRUE),exact(Metadata!D778,"1427740"))</f>
        <v>0</v>
      </c>
    </row>
    <row r="779" spans="1:17">
      <c r="A779" s="4">
        <f>IF(B779=" "," ",HYPERLINK(CONCATENATE("#metadata!",ADDRESS(INDEX($J$2:$J$1001,MATCH(ROWS($H$2:H779),$H$2:$H$1001,0),0),1)),INDEX($M$2:$M$1001,MATCH(ROWS($H$2:H779),$H$2:$H$1001,0),0)))</f>
        <v>0</v>
      </c>
      <c r="B779" s="3">
        <f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>0</v>
      </c>
      <c r="C779" s="3">
        <f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>0</v>
      </c>
      <c r="D779" s="3">
        <f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>0</v>
      </c>
      <c r="H779">
        <v>0</v>
      </c>
      <c r="I779">
        <v>0</v>
      </c>
      <c r="J779">
        <v>0</v>
      </c>
      <c r="K779">
        <f>IF(L779,TRUE,AND(O779:Q779))</f>
        <v>0</v>
      </c>
      <c r="L779">
        <f>COUNTBLANK(Metadata!B779:D779)=COLUMNS(Metadata!B779:D779)</f>
        <v>0</v>
      </c>
      <c r="M779">
        <v>0</v>
      </c>
      <c r="O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>
        <f>AND(IF(Metadata!C779="",FALSE,TRUE),exact(Metadata!C779,"rat metagenome"))</f>
        <v>0</v>
      </c>
      <c r="Q779">
        <f>AND(IF(Metadata!D779="",FALSE,TRUE),exact(Metadata!D779,"1427740"))</f>
        <v>0</v>
      </c>
    </row>
    <row r="780" spans="1:17">
      <c r="A780" s="4">
        <f>IF(B780=" "," ",HYPERLINK(CONCATENATE("#metadata!",ADDRESS(INDEX($J$2:$J$1001,MATCH(ROWS($H$2:H780),$H$2:$H$1001,0),0),1)),INDEX($M$2:$M$1001,MATCH(ROWS($H$2:H780),$H$2:$H$1001,0),0)))</f>
        <v>0</v>
      </c>
      <c r="B780" s="3">
        <f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>0</v>
      </c>
      <c r="C780" s="3">
        <f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>0</v>
      </c>
      <c r="D780" s="3">
        <f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>0</v>
      </c>
      <c r="H780">
        <v>0</v>
      </c>
      <c r="I780">
        <v>0</v>
      </c>
      <c r="J780">
        <v>0</v>
      </c>
      <c r="K780">
        <f>IF(L780,TRUE,AND(O780:Q780))</f>
        <v>0</v>
      </c>
      <c r="L780">
        <f>COUNTBLANK(Metadata!B780:D780)=COLUMNS(Metadata!B780:D780)</f>
        <v>0</v>
      </c>
      <c r="M780">
        <v>0</v>
      </c>
      <c r="O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>
        <f>AND(IF(Metadata!C780="",FALSE,TRUE),exact(Metadata!C780,"rat metagenome"))</f>
        <v>0</v>
      </c>
      <c r="Q780">
        <f>AND(IF(Metadata!D780="",FALSE,TRUE),exact(Metadata!D780,"1427740"))</f>
        <v>0</v>
      </c>
    </row>
    <row r="781" spans="1:17">
      <c r="A781" s="4">
        <f>IF(B781=" "," ",HYPERLINK(CONCATENATE("#metadata!",ADDRESS(INDEX($J$2:$J$1001,MATCH(ROWS($H$2:H781),$H$2:$H$1001,0),0),1)),INDEX($M$2:$M$1001,MATCH(ROWS($H$2:H781),$H$2:$H$1001,0),0)))</f>
        <v>0</v>
      </c>
      <c r="B781" s="3">
        <f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>0</v>
      </c>
      <c r="C781" s="3">
        <f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>0</v>
      </c>
      <c r="D781" s="3">
        <f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>0</v>
      </c>
      <c r="H781">
        <v>0</v>
      </c>
      <c r="I781">
        <v>0</v>
      </c>
      <c r="J781">
        <v>0</v>
      </c>
      <c r="K781">
        <f>IF(L781,TRUE,AND(O781:Q781))</f>
        <v>0</v>
      </c>
      <c r="L781">
        <f>COUNTBLANK(Metadata!B781:D781)=COLUMNS(Metadata!B781:D781)</f>
        <v>0</v>
      </c>
      <c r="M781">
        <v>0</v>
      </c>
      <c r="O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>
        <f>AND(IF(Metadata!C781="",FALSE,TRUE),exact(Metadata!C781,"rat metagenome"))</f>
        <v>0</v>
      </c>
      <c r="Q781">
        <f>AND(IF(Metadata!D781="",FALSE,TRUE),exact(Metadata!D781,"1427740"))</f>
        <v>0</v>
      </c>
    </row>
    <row r="782" spans="1:17">
      <c r="A782" s="4">
        <f>IF(B782=" "," ",HYPERLINK(CONCATENATE("#metadata!",ADDRESS(INDEX($J$2:$J$1001,MATCH(ROWS($H$2:H782),$H$2:$H$1001,0),0),1)),INDEX($M$2:$M$1001,MATCH(ROWS($H$2:H782),$H$2:$H$1001,0),0)))</f>
        <v>0</v>
      </c>
      <c r="B782" s="3">
        <f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>0</v>
      </c>
      <c r="C782" s="3">
        <f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>0</v>
      </c>
      <c r="D782" s="3">
        <f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>0</v>
      </c>
      <c r="H782">
        <v>0</v>
      </c>
      <c r="I782">
        <v>0</v>
      </c>
      <c r="J782">
        <v>0</v>
      </c>
      <c r="K782">
        <f>IF(L782,TRUE,AND(O782:Q782))</f>
        <v>0</v>
      </c>
      <c r="L782">
        <f>COUNTBLANK(Metadata!B782:D782)=COLUMNS(Metadata!B782:D782)</f>
        <v>0</v>
      </c>
      <c r="M782">
        <v>0</v>
      </c>
      <c r="O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>
        <f>AND(IF(Metadata!C782="",FALSE,TRUE),exact(Metadata!C782,"rat metagenome"))</f>
        <v>0</v>
      </c>
      <c r="Q782">
        <f>AND(IF(Metadata!D782="",FALSE,TRUE),exact(Metadata!D782,"1427740"))</f>
        <v>0</v>
      </c>
    </row>
    <row r="783" spans="1:17">
      <c r="A783" s="4">
        <f>IF(B783=" "," ",HYPERLINK(CONCATENATE("#metadata!",ADDRESS(INDEX($J$2:$J$1001,MATCH(ROWS($H$2:H783),$H$2:$H$1001,0),0),1)),INDEX($M$2:$M$1001,MATCH(ROWS($H$2:H783),$H$2:$H$1001,0),0)))</f>
        <v>0</v>
      </c>
      <c r="B783" s="3">
        <f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>0</v>
      </c>
      <c r="C783" s="3">
        <f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>0</v>
      </c>
      <c r="D783" s="3">
        <f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>0</v>
      </c>
      <c r="H783">
        <v>0</v>
      </c>
      <c r="I783">
        <v>0</v>
      </c>
      <c r="J783">
        <v>0</v>
      </c>
      <c r="K783">
        <f>IF(L783,TRUE,AND(O783:Q783))</f>
        <v>0</v>
      </c>
      <c r="L783">
        <f>COUNTBLANK(Metadata!B783:D783)=COLUMNS(Metadata!B783:D783)</f>
        <v>0</v>
      </c>
      <c r="M783">
        <v>0</v>
      </c>
      <c r="O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>
        <f>AND(IF(Metadata!C783="",FALSE,TRUE),exact(Metadata!C783,"rat metagenome"))</f>
        <v>0</v>
      </c>
      <c r="Q783">
        <f>AND(IF(Metadata!D783="",FALSE,TRUE),exact(Metadata!D783,"1427740"))</f>
        <v>0</v>
      </c>
    </row>
    <row r="784" spans="1:17">
      <c r="A784" s="4">
        <f>IF(B784=" "," ",HYPERLINK(CONCATENATE("#metadata!",ADDRESS(INDEX($J$2:$J$1001,MATCH(ROWS($H$2:H784),$H$2:$H$1001,0),0),1)),INDEX($M$2:$M$1001,MATCH(ROWS($H$2:H784),$H$2:$H$1001,0),0)))</f>
        <v>0</v>
      </c>
      <c r="B784" s="3">
        <f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>0</v>
      </c>
      <c r="C784" s="3">
        <f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>0</v>
      </c>
      <c r="D784" s="3">
        <f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>0</v>
      </c>
      <c r="H784">
        <v>0</v>
      </c>
      <c r="I784">
        <v>0</v>
      </c>
      <c r="J784">
        <v>0</v>
      </c>
      <c r="K784">
        <f>IF(L784,TRUE,AND(O784:Q784))</f>
        <v>0</v>
      </c>
      <c r="L784">
        <f>COUNTBLANK(Metadata!B784:D784)=COLUMNS(Metadata!B784:D784)</f>
        <v>0</v>
      </c>
      <c r="M784">
        <v>0</v>
      </c>
      <c r="O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>
        <f>AND(IF(Metadata!C784="",FALSE,TRUE),exact(Metadata!C784,"rat metagenome"))</f>
        <v>0</v>
      </c>
      <c r="Q784">
        <f>AND(IF(Metadata!D784="",FALSE,TRUE),exact(Metadata!D784,"1427740"))</f>
        <v>0</v>
      </c>
    </row>
    <row r="785" spans="1:17">
      <c r="A785" s="4">
        <f>IF(B785=" "," ",HYPERLINK(CONCATENATE("#metadata!",ADDRESS(INDEX($J$2:$J$1001,MATCH(ROWS($H$2:H785),$H$2:$H$1001,0),0),1)),INDEX($M$2:$M$1001,MATCH(ROWS($H$2:H785),$H$2:$H$1001,0),0)))</f>
        <v>0</v>
      </c>
      <c r="B785" s="3">
        <f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>0</v>
      </c>
      <c r="C785" s="3">
        <f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>0</v>
      </c>
      <c r="D785" s="3">
        <f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>0</v>
      </c>
      <c r="H785">
        <v>0</v>
      </c>
      <c r="I785">
        <v>0</v>
      </c>
      <c r="J785">
        <v>0</v>
      </c>
      <c r="K785">
        <f>IF(L785,TRUE,AND(O785:Q785))</f>
        <v>0</v>
      </c>
      <c r="L785">
        <f>COUNTBLANK(Metadata!B785:D785)=COLUMNS(Metadata!B785:D785)</f>
        <v>0</v>
      </c>
      <c r="M785">
        <v>0</v>
      </c>
      <c r="O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>
        <f>AND(IF(Metadata!C785="",FALSE,TRUE),exact(Metadata!C785,"rat metagenome"))</f>
        <v>0</v>
      </c>
      <c r="Q785">
        <f>AND(IF(Metadata!D785="",FALSE,TRUE),exact(Metadata!D785,"1427740"))</f>
        <v>0</v>
      </c>
    </row>
    <row r="786" spans="1:17">
      <c r="A786" s="4">
        <f>IF(B786=" "," ",HYPERLINK(CONCATENATE("#metadata!",ADDRESS(INDEX($J$2:$J$1001,MATCH(ROWS($H$2:H786),$H$2:$H$1001,0),0),1)),INDEX($M$2:$M$1001,MATCH(ROWS($H$2:H786),$H$2:$H$1001,0),0)))</f>
        <v>0</v>
      </c>
      <c r="B786" s="3">
        <f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>0</v>
      </c>
      <c r="C786" s="3">
        <f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>0</v>
      </c>
      <c r="D786" s="3">
        <f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>0</v>
      </c>
      <c r="H786">
        <v>0</v>
      </c>
      <c r="I786">
        <v>0</v>
      </c>
      <c r="J786">
        <v>0</v>
      </c>
      <c r="K786">
        <f>IF(L786,TRUE,AND(O786:Q786))</f>
        <v>0</v>
      </c>
      <c r="L786">
        <f>COUNTBLANK(Metadata!B786:D786)=COLUMNS(Metadata!B786:D786)</f>
        <v>0</v>
      </c>
      <c r="M786">
        <v>0</v>
      </c>
      <c r="O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>
        <f>AND(IF(Metadata!C786="",FALSE,TRUE),exact(Metadata!C786,"rat metagenome"))</f>
        <v>0</v>
      </c>
      <c r="Q786">
        <f>AND(IF(Metadata!D786="",FALSE,TRUE),exact(Metadata!D786,"1427740"))</f>
        <v>0</v>
      </c>
    </row>
    <row r="787" spans="1:17">
      <c r="A787" s="4">
        <f>IF(B787=" "," ",HYPERLINK(CONCATENATE("#metadata!",ADDRESS(INDEX($J$2:$J$1001,MATCH(ROWS($H$2:H787),$H$2:$H$1001,0),0),1)),INDEX($M$2:$M$1001,MATCH(ROWS($H$2:H787),$H$2:$H$1001,0),0)))</f>
        <v>0</v>
      </c>
      <c r="B787" s="3">
        <f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>0</v>
      </c>
      <c r="C787" s="3">
        <f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>0</v>
      </c>
      <c r="D787" s="3">
        <f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>0</v>
      </c>
      <c r="H787">
        <v>0</v>
      </c>
      <c r="I787">
        <v>0</v>
      </c>
      <c r="J787">
        <v>0</v>
      </c>
      <c r="K787">
        <f>IF(L787,TRUE,AND(O787:Q787))</f>
        <v>0</v>
      </c>
      <c r="L787">
        <f>COUNTBLANK(Metadata!B787:D787)=COLUMNS(Metadata!B787:D787)</f>
        <v>0</v>
      </c>
      <c r="M787">
        <v>0</v>
      </c>
      <c r="O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>
        <f>AND(IF(Metadata!C787="",FALSE,TRUE),exact(Metadata!C787,"rat metagenome"))</f>
        <v>0</v>
      </c>
      <c r="Q787">
        <f>AND(IF(Metadata!D787="",FALSE,TRUE),exact(Metadata!D787,"1427740"))</f>
        <v>0</v>
      </c>
    </row>
    <row r="788" spans="1:17">
      <c r="A788" s="4">
        <f>IF(B788=" "," ",HYPERLINK(CONCATENATE("#metadata!",ADDRESS(INDEX($J$2:$J$1001,MATCH(ROWS($H$2:H788),$H$2:$H$1001,0),0),1)),INDEX($M$2:$M$1001,MATCH(ROWS($H$2:H788),$H$2:$H$1001,0),0)))</f>
        <v>0</v>
      </c>
      <c r="B788" s="3">
        <f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>0</v>
      </c>
      <c r="C788" s="3">
        <f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>0</v>
      </c>
      <c r="D788" s="3">
        <f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>0</v>
      </c>
      <c r="H788">
        <v>0</v>
      </c>
      <c r="I788">
        <v>0</v>
      </c>
      <c r="J788">
        <v>0</v>
      </c>
      <c r="K788">
        <f>IF(L788,TRUE,AND(O788:Q788))</f>
        <v>0</v>
      </c>
      <c r="L788">
        <f>COUNTBLANK(Metadata!B788:D788)=COLUMNS(Metadata!B788:D788)</f>
        <v>0</v>
      </c>
      <c r="M788">
        <v>0</v>
      </c>
      <c r="O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>
        <f>AND(IF(Metadata!C788="",FALSE,TRUE),exact(Metadata!C788,"rat metagenome"))</f>
        <v>0</v>
      </c>
      <c r="Q788">
        <f>AND(IF(Metadata!D788="",FALSE,TRUE),exact(Metadata!D788,"1427740"))</f>
        <v>0</v>
      </c>
    </row>
    <row r="789" spans="1:17">
      <c r="A789" s="4">
        <f>IF(B789=" "," ",HYPERLINK(CONCATENATE("#metadata!",ADDRESS(INDEX($J$2:$J$1001,MATCH(ROWS($H$2:H789),$H$2:$H$1001,0),0),1)),INDEX($M$2:$M$1001,MATCH(ROWS($H$2:H789),$H$2:$H$1001,0),0)))</f>
        <v>0</v>
      </c>
      <c r="B789" s="3">
        <f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>0</v>
      </c>
      <c r="C789" s="3">
        <f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>0</v>
      </c>
      <c r="D789" s="3">
        <f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>0</v>
      </c>
      <c r="H789">
        <v>0</v>
      </c>
      <c r="I789">
        <v>0</v>
      </c>
      <c r="J789">
        <v>0</v>
      </c>
      <c r="K789">
        <f>IF(L789,TRUE,AND(O789:Q789))</f>
        <v>0</v>
      </c>
      <c r="L789">
        <f>COUNTBLANK(Metadata!B789:D789)=COLUMNS(Metadata!B789:D789)</f>
        <v>0</v>
      </c>
      <c r="M789">
        <v>0</v>
      </c>
      <c r="O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>
        <f>AND(IF(Metadata!C789="",FALSE,TRUE),exact(Metadata!C789,"rat metagenome"))</f>
        <v>0</v>
      </c>
      <c r="Q789">
        <f>AND(IF(Metadata!D789="",FALSE,TRUE),exact(Metadata!D789,"1427740"))</f>
        <v>0</v>
      </c>
    </row>
    <row r="790" spans="1:17">
      <c r="A790" s="4">
        <f>IF(B790=" "," ",HYPERLINK(CONCATENATE("#metadata!",ADDRESS(INDEX($J$2:$J$1001,MATCH(ROWS($H$2:H790),$H$2:$H$1001,0),0),1)),INDEX($M$2:$M$1001,MATCH(ROWS($H$2:H790),$H$2:$H$1001,0),0)))</f>
        <v>0</v>
      </c>
      <c r="B790" s="3">
        <f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>0</v>
      </c>
      <c r="C790" s="3">
        <f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>0</v>
      </c>
      <c r="D790" s="3">
        <f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>0</v>
      </c>
      <c r="H790">
        <v>0</v>
      </c>
      <c r="I790">
        <v>0</v>
      </c>
      <c r="J790">
        <v>0</v>
      </c>
      <c r="K790">
        <f>IF(L790,TRUE,AND(O790:Q790))</f>
        <v>0</v>
      </c>
      <c r="L790">
        <f>COUNTBLANK(Metadata!B790:D790)=COLUMNS(Metadata!B790:D790)</f>
        <v>0</v>
      </c>
      <c r="M790">
        <v>0</v>
      </c>
      <c r="O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>
        <f>AND(IF(Metadata!C790="",FALSE,TRUE),exact(Metadata!C790,"rat metagenome"))</f>
        <v>0</v>
      </c>
      <c r="Q790">
        <f>AND(IF(Metadata!D790="",FALSE,TRUE),exact(Metadata!D790,"1427740"))</f>
        <v>0</v>
      </c>
    </row>
    <row r="791" spans="1:17">
      <c r="A791" s="4">
        <f>IF(B791=" "," ",HYPERLINK(CONCATENATE("#metadata!",ADDRESS(INDEX($J$2:$J$1001,MATCH(ROWS($H$2:H791),$H$2:$H$1001,0),0),1)),INDEX($M$2:$M$1001,MATCH(ROWS($H$2:H791),$H$2:$H$1001,0),0)))</f>
        <v>0</v>
      </c>
      <c r="B791" s="3">
        <f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>0</v>
      </c>
      <c r="C791" s="3">
        <f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>0</v>
      </c>
      <c r="D791" s="3">
        <f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>0</v>
      </c>
      <c r="H791">
        <v>0</v>
      </c>
      <c r="I791">
        <v>0</v>
      </c>
      <c r="J791">
        <v>0</v>
      </c>
      <c r="K791">
        <f>IF(L791,TRUE,AND(O791:Q791))</f>
        <v>0</v>
      </c>
      <c r="L791">
        <f>COUNTBLANK(Metadata!B791:D791)=COLUMNS(Metadata!B791:D791)</f>
        <v>0</v>
      </c>
      <c r="M791">
        <v>0</v>
      </c>
      <c r="O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>
        <f>AND(IF(Metadata!C791="",FALSE,TRUE),exact(Metadata!C791,"rat metagenome"))</f>
        <v>0</v>
      </c>
      <c r="Q791">
        <f>AND(IF(Metadata!D791="",FALSE,TRUE),exact(Metadata!D791,"1427740"))</f>
        <v>0</v>
      </c>
    </row>
    <row r="792" spans="1:17">
      <c r="A792" s="4">
        <f>IF(B792=" "," ",HYPERLINK(CONCATENATE("#metadata!",ADDRESS(INDEX($J$2:$J$1001,MATCH(ROWS($H$2:H792),$H$2:$H$1001,0),0),1)),INDEX($M$2:$M$1001,MATCH(ROWS($H$2:H792),$H$2:$H$1001,0),0)))</f>
        <v>0</v>
      </c>
      <c r="B792" s="3">
        <f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>0</v>
      </c>
      <c r="C792" s="3">
        <f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>0</v>
      </c>
      <c r="D792" s="3">
        <f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>0</v>
      </c>
      <c r="H792">
        <v>0</v>
      </c>
      <c r="I792">
        <v>0</v>
      </c>
      <c r="J792">
        <v>0</v>
      </c>
      <c r="K792">
        <f>IF(L792,TRUE,AND(O792:Q792))</f>
        <v>0</v>
      </c>
      <c r="L792">
        <f>COUNTBLANK(Metadata!B792:D792)=COLUMNS(Metadata!B792:D792)</f>
        <v>0</v>
      </c>
      <c r="M792">
        <v>0</v>
      </c>
      <c r="O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>
        <f>AND(IF(Metadata!C792="",FALSE,TRUE),exact(Metadata!C792,"rat metagenome"))</f>
        <v>0</v>
      </c>
      <c r="Q792">
        <f>AND(IF(Metadata!D792="",FALSE,TRUE),exact(Metadata!D792,"1427740"))</f>
        <v>0</v>
      </c>
    </row>
    <row r="793" spans="1:17">
      <c r="A793" s="4">
        <f>IF(B793=" "," ",HYPERLINK(CONCATENATE("#metadata!",ADDRESS(INDEX($J$2:$J$1001,MATCH(ROWS($H$2:H793),$H$2:$H$1001,0),0),1)),INDEX($M$2:$M$1001,MATCH(ROWS($H$2:H793),$H$2:$H$1001,0),0)))</f>
        <v>0</v>
      </c>
      <c r="B793" s="3">
        <f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>0</v>
      </c>
      <c r="C793" s="3">
        <f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>0</v>
      </c>
      <c r="D793" s="3">
        <f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>0</v>
      </c>
      <c r="H793">
        <v>0</v>
      </c>
      <c r="I793">
        <v>0</v>
      </c>
      <c r="J793">
        <v>0</v>
      </c>
      <c r="K793">
        <f>IF(L793,TRUE,AND(O793:Q793))</f>
        <v>0</v>
      </c>
      <c r="L793">
        <f>COUNTBLANK(Metadata!B793:D793)=COLUMNS(Metadata!B793:D793)</f>
        <v>0</v>
      </c>
      <c r="M793">
        <v>0</v>
      </c>
      <c r="O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>
        <f>AND(IF(Metadata!C793="",FALSE,TRUE),exact(Metadata!C793,"rat metagenome"))</f>
        <v>0</v>
      </c>
      <c r="Q793">
        <f>AND(IF(Metadata!D793="",FALSE,TRUE),exact(Metadata!D793,"1427740"))</f>
        <v>0</v>
      </c>
    </row>
    <row r="794" spans="1:17">
      <c r="A794" s="4">
        <f>IF(B794=" "," ",HYPERLINK(CONCATENATE("#metadata!",ADDRESS(INDEX($J$2:$J$1001,MATCH(ROWS($H$2:H794),$H$2:$H$1001,0),0),1)),INDEX($M$2:$M$1001,MATCH(ROWS($H$2:H794),$H$2:$H$1001,0),0)))</f>
        <v>0</v>
      </c>
      <c r="B794" s="3">
        <f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>0</v>
      </c>
      <c r="C794" s="3">
        <f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>0</v>
      </c>
      <c r="D794" s="3">
        <f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>0</v>
      </c>
      <c r="H794">
        <v>0</v>
      </c>
      <c r="I794">
        <v>0</v>
      </c>
      <c r="J794">
        <v>0</v>
      </c>
      <c r="K794">
        <f>IF(L794,TRUE,AND(O794:Q794))</f>
        <v>0</v>
      </c>
      <c r="L794">
        <f>COUNTBLANK(Metadata!B794:D794)=COLUMNS(Metadata!B794:D794)</f>
        <v>0</v>
      </c>
      <c r="M794">
        <v>0</v>
      </c>
      <c r="O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>
        <f>AND(IF(Metadata!C794="",FALSE,TRUE),exact(Metadata!C794,"rat metagenome"))</f>
        <v>0</v>
      </c>
      <c r="Q794">
        <f>AND(IF(Metadata!D794="",FALSE,TRUE),exact(Metadata!D794,"1427740"))</f>
        <v>0</v>
      </c>
    </row>
    <row r="795" spans="1:17">
      <c r="A795" s="4">
        <f>IF(B795=" "," ",HYPERLINK(CONCATENATE("#metadata!",ADDRESS(INDEX($J$2:$J$1001,MATCH(ROWS($H$2:H795),$H$2:$H$1001,0),0),1)),INDEX($M$2:$M$1001,MATCH(ROWS($H$2:H795),$H$2:$H$1001,0),0)))</f>
        <v>0</v>
      </c>
      <c r="B795" s="3">
        <f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>0</v>
      </c>
      <c r="C795" s="3">
        <f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>0</v>
      </c>
      <c r="D795" s="3">
        <f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>0</v>
      </c>
      <c r="H795">
        <v>0</v>
      </c>
      <c r="I795">
        <v>0</v>
      </c>
      <c r="J795">
        <v>0</v>
      </c>
      <c r="K795">
        <f>IF(L795,TRUE,AND(O795:Q795))</f>
        <v>0</v>
      </c>
      <c r="L795">
        <f>COUNTBLANK(Metadata!B795:D795)=COLUMNS(Metadata!B795:D795)</f>
        <v>0</v>
      </c>
      <c r="M795">
        <v>0</v>
      </c>
      <c r="O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>
        <f>AND(IF(Metadata!C795="",FALSE,TRUE),exact(Metadata!C795,"rat metagenome"))</f>
        <v>0</v>
      </c>
      <c r="Q795">
        <f>AND(IF(Metadata!D795="",FALSE,TRUE),exact(Metadata!D795,"1427740"))</f>
        <v>0</v>
      </c>
    </row>
    <row r="796" spans="1:17">
      <c r="A796" s="4">
        <f>IF(B796=" "," ",HYPERLINK(CONCATENATE("#metadata!",ADDRESS(INDEX($J$2:$J$1001,MATCH(ROWS($H$2:H796),$H$2:$H$1001,0),0),1)),INDEX($M$2:$M$1001,MATCH(ROWS($H$2:H796),$H$2:$H$1001,0),0)))</f>
        <v>0</v>
      </c>
      <c r="B796" s="3">
        <f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>0</v>
      </c>
      <c r="C796" s="3">
        <f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>0</v>
      </c>
      <c r="D796" s="3">
        <f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>0</v>
      </c>
      <c r="H796">
        <v>0</v>
      </c>
      <c r="I796">
        <v>0</v>
      </c>
      <c r="J796">
        <v>0</v>
      </c>
      <c r="K796">
        <f>IF(L796,TRUE,AND(O796:Q796))</f>
        <v>0</v>
      </c>
      <c r="L796">
        <f>COUNTBLANK(Metadata!B796:D796)=COLUMNS(Metadata!B796:D796)</f>
        <v>0</v>
      </c>
      <c r="M796">
        <v>0</v>
      </c>
      <c r="O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>
        <f>AND(IF(Metadata!C796="",FALSE,TRUE),exact(Metadata!C796,"rat metagenome"))</f>
        <v>0</v>
      </c>
      <c r="Q796">
        <f>AND(IF(Metadata!D796="",FALSE,TRUE),exact(Metadata!D796,"1427740"))</f>
        <v>0</v>
      </c>
    </row>
    <row r="797" spans="1:17">
      <c r="A797" s="4">
        <f>IF(B797=" "," ",HYPERLINK(CONCATENATE("#metadata!",ADDRESS(INDEX($J$2:$J$1001,MATCH(ROWS($H$2:H797),$H$2:$H$1001,0),0),1)),INDEX($M$2:$M$1001,MATCH(ROWS($H$2:H797),$H$2:$H$1001,0),0)))</f>
        <v>0</v>
      </c>
      <c r="B797" s="3">
        <f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>0</v>
      </c>
      <c r="C797" s="3">
        <f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>0</v>
      </c>
      <c r="D797" s="3">
        <f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>0</v>
      </c>
      <c r="H797">
        <v>0</v>
      </c>
      <c r="I797">
        <v>0</v>
      </c>
      <c r="J797">
        <v>0</v>
      </c>
      <c r="K797">
        <f>IF(L797,TRUE,AND(O797:Q797))</f>
        <v>0</v>
      </c>
      <c r="L797">
        <f>COUNTBLANK(Metadata!B797:D797)=COLUMNS(Metadata!B797:D797)</f>
        <v>0</v>
      </c>
      <c r="M797">
        <v>0</v>
      </c>
      <c r="O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>
        <f>AND(IF(Metadata!C797="",FALSE,TRUE),exact(Metadata!C797,"rat metagenome"))</f>
        <v>0</v>
      </c>
      <c r="Q797">
        <f>AND(IF(Metadata!D797="",FALSE,TRUE),exact(Metadata!D797,"1427740"))</f>
        <v>0</v>
      </c>
    </row>
    <row r="798" spans="1:17">
      <c r="A798" s="4">
        <f>IF(B798=" "," ",HYPERLINK(CONCATENATE("#metadata!",ADDRESS(INDEX($J$2:$J$1001,MATCH(ROWS($H$2:H798),$H$2:$H$1001,0),0),1)),INDEX($M$2:$M$1001,MATCH(ROWS($H$2:H798),$H$2:$H$1001,0),0)))</f>
        <v>0</v>
      </c>
      <c r="B798" s="3">
        <f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>0</v>
      </c>
      <c r="C798" s="3">
        <f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>0</v>
      </c>
      <c r="D798" s="3">
        <f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>0</v>
      </c>
      <c r="H798">
        <v>0</v>
      </c>
      <c r="I798">
        <v>0</v>
      </c>
      <c r="J798">
        <v>0</v>
      </c>
      <c r="K798">
        <f>IF(L798,TRUE,AND(O798:Q798))</f>
        <v>0</v>
      </c>
      <c r="L798">
        <f>COUNTBLANK(Metadata!B798:D798)=COLUMNS(Metadata!B798:D798)</f>
        <v>0</v>
      </c>
      <c r="M798">
        <v>0</v>
      </c>
      <c r="O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>
        <f>AND(IF(Metadata!C798="",FALSE,TRUE),exact(Metadata!C798,"rat metagenome"))</f>
        <v>0</v>
      </c>
      <c r="Q798">
        <f>AND(IF(Metadata!D798="",FALSE,TRUE),exact(Metadata!D798,"1427740"))</f>
        <v>0</v>
      </c>
    </row>
    <row r="799" spans="1:17">
      <c r="A799" s="4">
        <f>IF(B799=" "," ",HYPERLINK(CONCATENATE("#metadata!",ADDRESS(INDEX($J$2:$J$1001,MATCH(ROWS($H$2:H799),$H$2:$H$1001,0),0),1)),INDEX($M$2:$M$1001,MATCH(ROWS($H$2:H799),$H$2:$H$1001,0),0)))</f>
        <v>0</v>
      </c>
      <c r="B799" s="3">
        <f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>0</v>
      </c>
      <c r="C799" s="3">
        <f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>0</v>
      </c>
      <c r="D799" s="3">
        <f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>0</v>
      </c>
      <c r="H799">
        <v>0</v>
      </c>
      <c r="I799">
        <v>0</v>
      </c>
      <c r="J799">
        <v>0</v>
      </c>
      <c r="K799">
        <f>IF(L799,TRUE,AND(O799:Q799))</f>
        <v>0</v>
      </c>
      <c r="L799">
        <f>COUNTBLANK(Metadata!B799:D799)=COLUMNS(Metadata!B799:D799)</f>
        <v>0</v>
      </c>
      <c r="M799">
        <v>0</v>
      </c>
      <c r="O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>
        <f>AND(IF(Metadata!C799="",FALSE,TRUE),exact(Metadata!C799,"rat metagenome"))</f>
        <v>0</v>
      </c>
      <c r="Q799">
        <f>AND(IF(Metadata!D799="",FALSE,TRUE),exact(Metadata!D799,"1427740"))</f>
        <v>0</v>
      </c>
    </row>
    <row r="800" spans="1:17">
      <c r="A800" s="4">
        <f>IF(B800=" "," ",HYPERLINK(CONCATENATE("#metadata!",ADDRESS(INDEX($J$2:$J$1001,MATCH(ROWS($H$2:H800),$H$2:$H$1001,0),0),1)),INDEX($M$2:$M$1001,MATCH(ROWS($H$2:H800),$H$2:$H$1001,0),0)))</f>
        <v>0</v>
      </c>
      <c r="B800" s="3">
        <f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>0</v>
      </c>
      <c r="C800" s="3">
        <f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>0</v>
      </c>
      <c r="D800" s="3">
        <f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>0</v>
      </c>
      <c r="H800">
        <v>0</v>
      </c>
      <c r="I800">
        <v>0</v>
      </c>
      <c r="J800">
        <v>0</v>
      </c>
      <c r="K800">
        <f>IF(L800,TRUE,AND(O800:Q800))</f>
        <v>0</v>
      </c>
      <c r="L800">
        <f>COUNTBLANK(Metadata!B800:D800)=COLUMNS(Metadata!B800:D800)</f>
        <v>0</v>
      </c>
      <c r="M800">
        <v>0</v>
      </c>
      <c r="O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>
        <f>AND(IF(Metadata!C800="",FALSE,TRUE),exact(Metadata!C800,"rat metagenome"))</f>
        <v>0</v>
      </c>
      <c r="Q800">
        <f>AND(IF(Metadata!D800="",FALSE,TRUE),exact(Metadata!D800,"1427740"))</f>
        <v>0</v>
      </c>
    </row>
    <row r="801" spans="1:17">
      <c r="A801" s="4">
        <f>IF(B801=" "," ",HYPERLINK(CONCATENATE("#metadata!",ADDRESS(INDEX($J$2:$J$1001,MATCH(ROWS($H$2:H801),$H$2:$H$1001,0),0),1)),INDEX($M$2:$M$1001,MATCH(ROWS($H$2:H801),$H$2:$H$1001,0),0)))</f>
        <v>0</v>
      </c>
      <c r="B801" s="3">
        <f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>0</v>
      </c>
      <c r="C801" s="3">
        <f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>0</v>
      </c>
      <c r="D801" s="3">
        <f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>0</v>
      </c>
      <c r="H801">
        <v>0</v>
      </c>
      <c r="I801">
        <v>0</v>
      </c>
      <c r="J801">
        <v>0</v>
      </c>
      <c r="K801">
        <f>IF(L801,TRUE,AND(O801:Q801))</f>
        <v>0</v>
      </c>
      <c r="L801">
        <f>COUNTBLANK(Metadata!B801:D801)=COLUMNS(Metadata!B801:D801)</f>
        <v>0</v>
      </c>
      <c r="M801">
        <v>0</v>
      </c>
      <c r="O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>
        <f>AND(IF(Metadata!C801="",FALSE,TRUE),exact(Metadata!C801,"rat metagenome"))</f>
        <v>0</v>
      </c>
      <c r="Q801">
        <f>AND(IF(Metadata!D801="",FALSE,TRUE),exact(Metadata!D801,"1427740"))</f>
        <v>0</v>
      </c>
    </row>
    <row r="802" spans="1:17">
      <c r="A802" s="4">
        <f>IF(B802=" "," ",HYPERLINK(CONCATENATE("#metadata!",ADDRESS(INDEX($J$2:$J$1001,MATCH(ROWS($H$2:H802),$H$2:$H$1001,0),0),1)),INDEX($M$2:$M$1001,MATCH(ROWS($H$2:H802),$H$2:$H$1001,0),0)))</f>
        <v>0</v>
      </c>
      <c r="B802" s="3">
        <f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>0</v>
      </c>
      <c r="C802" s="3">
        <f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>0</v>
      </c>
      <c r="D802" s="3">
        <f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>0</v>
      </c>
      <c r="H802">
        <v>0</v>
      </c>
      <c r="I802">
        <v>0</v>
      </c>
      <c r="J802">
        <v>0</v>
      </c>
      <c r="K802">
        <f>IF(L802,TRUE,AND(O802:Q802))</f>
        <v>0</v>
      </c>
      <c r="L802">
        <f>COUNTBLANK(Metadata!B802:D802)=COLUMNS(Metadata!B802:D802)</f>
        <v>0</v>
      </c>
      <c r="M802">
        <v>0</v>
      </c>
      <c r="O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>
        <f>AND(IF(Metadata!C802="",FALSE,TRUE),exact(Metadata!C802,"rat metagenome"))</f>
        <v>0</v>
      </c>
      <c r="Q802">
        <f>AND(IF(Metadata!D802="",FALSE,TRUE),exact(Metadata!D802,"1427740"))</f>
        <v>0</v>
      </c>
    </row>
    <row r="803" spans="1:17">
      <c r="A803" s="4">
        <f>IF(B803=" "," ",HYPERLINK(CONCATENATE("#metadata!",ADDRESS(INDEX($J$2:$J$1001,MATCH(ROWS($H$2:H803),$H$2:$H$1001,0),0),1)),INDEX($M$2:$M$1001,MATCH(ROWS($H$2:H803),$H$2:$H$1001,0),0)))</f>
        <v>0</v>
      </c>
      <c r="B803" s="3">
        <f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>0</v>
      </c>
      <c r="C803" s="3">
        <f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>0</v>
      </c>
      <c r="D803" s="3">
        <f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>0</v>
      </c>
      <c r="H803">
        <v>0</v>
      </c>
      <c r="I803">
        <v>0</v>
      </c>
      <c r="J803">
        <v>0</v>
      </c>
      <c r="K803">
        <f>IF(L803,TRUE,AND(O803:Q803))</f>
        <v>0</v>
      </c>
      <c r="L803">
        <f>COUNTBLANK(Metadata!B803:D803)=COLUMNS(Metadata!B803:D803)</f>
        <v>0</v>
      </c>
      <c r="M803">
        <v>0</v>
      </c>
      <c r="O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>
        <f>AND(IF(Metadata!C803="",FALSE,TRUE),exact(Metadata!C803,"rat metagenome"))</f>
        <v>0</v>
      </c>
      <c r="Q803">
        <f>AND(IF(Metadata!D803="",FALSE,TRUE),exact(Metadata!D803,"1427740"))</f>
        <v>0</v>
      </c>
    </row>
    <row r="804" spans="1:17">
      <c r="A804" s="4">
        <f>IF(B804=" "," ",HYPERLINK(CONCATENATE("#metadata!",ADDRESS(INDEX($J$2:$J$1001,MATCH(ROWS($H$2:H804),$H$2:$H$1001,0),0),1)),INDEX($M$2:$M$1001,MATCH(ROWS($H$2:H804),$H$2:$H$1001,0),0)))</f>
        <v>0</v>
      </c>
      <c r="B804" s="3">
        <f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>0</v>
      </c>
      <c r="C804" s="3">
        <f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>0</v>
      </c>
      <c r="D804" s="3">
        <f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>0</v>
      </c>
      <c r="H804">
        <v>0</v>
      </c>
      <c r="I804">
        <v>0</v>
      </c>
      <c r="J804">
        <v>0</v>
      </c>
      <c r="K804">
        <f>IF(L804,TRUE,AND(O804:Q804))</f>
        <v>0</v>
      </c>
      <c r="L804">
        <f>COUNTBLANK(Metadata!B804:D804)=COLUMNS(Metadata!B804:D804)</f>
        <v>0</v>
      </c>
      <c r="M804">
        <v>0</v>
      </c>
      <c r="O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>
        <f>AND(IF(Metadata!C804="",FALSE,TRUE),exact(Metadata!C804,"rat metagenome"))</f>
        <v>0</v>
      </c>
      <c r="Q804">
        <f>AND(IF(Metadata!D804="",FALSE,TRUE),exact(Metadata!D804,"1427740"))</f>
        <v>0</v>
      </c>
    </row>
    <row r="805" spans="1:17">
      <c r="A805" s="4">
        <f>IF(B805=" "," ",HYPERLINK(CONCATENATE("#metadata!",ADDRESS(INDEX($J$2:$J$1001,MATCH(ROWS($H$2:H805),$H$2:$H$1001,0),0),1)),INDEX($M$2:$M$1001,MATCH(ROWS($H$2:H805),$H$2:$H$1001,0),0)))</f>
        <v>0</v>
      </c>
      <c r="B805" s="3">
        <f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>0</v>
      </c>
      <c r="C805" s="3">
        <f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>0</v>
      </c>
      <c r="D805" s="3">
        <f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>0</v>
      </c>
      <c r="H805">
        <v>0</v>
      </c>
      <c r="I805">
        <v>0</v>
      </c>
      <c r="J805">
        <v>0</v>
      </c>
      <c r="K805">
        <f>IF(L805,TRUE,AND(O805:Q805))</f>
        <v>0</v>
      </c>
      <c r="L805">
        <f>COUNTBLANK(Metadata!B805:D805)=COLUMNS(Metadata!B805:D805)</f>
        <v>0</v>
      </c>
      <c r="M805">
        <v>0</v>
      </c>
      <c r="O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>
        <f>AND(IF(Metadata!C805="",FALSE,TRUE),exact(Metadata!C805,"rat metagenome"))</f>
        <v>0</v>
      </c>
      <c r="Q805">
        <f>AND(IF(Metadata!D805="",FALSE,TRUE),exact(Metadata!D805,"1427740"))</f>
        <v>0</v>
      </c>
    </row>
    <row r="806" spans="1:17">
      <c r="A806" s="4">
        <f>IF(B806=" "," ",HYPERLINK(CONCATENATE("#metadata!",ADDRESS(INDEX($J$2:$J$1001,MATCH(ROWS($H$2:H806),$H$2:$H$1001,0),0),1)),INDEX($M$2:$M$1001,MATCH(ROWS($H$2:H806),$H$2:$H$1001,0),0)))</f>
        <v>0</v>
      </c>
      <c r="B806" s="3">
        <f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>0</v>
      </c>
      <c r="C806" s="3">
        <f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>0</v>
      </c>
      <c r="D806" s="3">
        <f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>0</v>
      </c>
      <c r="H806">
        <v>0</v>
      </c>
      <c r="I806">
        <v>0</v>
      </c>
      <c r="J806">
        <v>0</v>
      </c>
      <c r="K806">
        <f>IF(L806,TRUE,AND(O806:Q806))</f>
        <v>0</v>
      </c>
      <c r="L806">
        <f>COUNTBLANK(Metadata!B806:D806)=COLUMNS(Metadata!B806:D806)</f>
        <v>0</v>
      </c>
      <c r="M806">
        <v>0</v>
      </c>
      <c r="O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>
        <f>AND(IF(Metadata!C806="",FALSE,TRUE),exact(Metadata!C806,"rat metagenome"))</f>
        <v>0</v>
      </c>
      <c r="Q806">
        <f>AND(IF(Metadata!D806="",FALSE,TRUE),exact(Metadata!D806,"1427740"))</f>
        <v>0</v>
      </c>
    </row>
    <row r="807" spans="1:17">
      <c r="A807" s="4">
        <f>IF(B807=" "," ",HYPERLINK(CONCATENATE("#metadata!",ADDRESS(INDEX($J$2:$J$1001,MATCH(ROWS($H$2:H807),$H$2:$H$1001,0),0),1)),INDEX($M$2:$M$1001,MATCH(ROWS($H$2:H807),$H$2:$H$1001,0),0)))</f>
        <v>0</v>
      </c>
      <c r="B807" s="3">
        <f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>0</v>
      </c>
      <c r="C807" s="3">
        <f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>0</v>
      </c>
      <c r="D807" s="3">
        <f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>0</v>
      </c>
      <c r="H807">
        <v>0</v>
      </c>
      <c r="I807">
        <v>0</v>
      </c>
      <c r="J807">
        <v>0</v>
      </c>
      <c r="K807">
        <f>IF(L807,TRUE,AND(O807:Q807))</f>
        <v>0</v>
      </c>
      <c r="L807">
        <f>COUNTBLANK(Metadata!B807:D807)=COLUMNS(Metadata!B807:D807)</f>
        <v>0</v>
      </c>
      <c r="M807">
        <v>0</v>
      </c>
      <c r="O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>
        <f>AND(IF(Metadata!C807="",FALSE,TRUE),exact(Metadata!C807,"rat metagenome"))</f>
        <v>0</v>
      </c>
      <c r="Q807">
        <f>AND(IF(Metadata!D807="",FALSE,TRUE),exact(Metadata!D807,"1427740"))</f>
        <v>0</v>
      </c>
    </row>
    <row r="808" spans="1:17">
      <c r="A808" s="4">
        <f>IF(B808=" "," ",HYPERLINK(CONCATENATE("#metadata!",ADDRESS(INDEX($J$2:$J$1001,MATCH(ROWS($H$2:H808),$H$2:$H$1001,0),0),1)),INDEX($M$2:$M$1001,MATCH(ROWS($H$2:H808),$H$2:$H$1001,0),0)))</f>
        <v>0</v>
      </c>
      <c r="B808" s="3">
        <f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>0</v>
      </c>
      <c r="C808" s="3">
        <f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>0</v>
      </c>
      <c r="D808" s="3">
        <f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>0</v>
      </c>
      <c r="H808">
        <v>0</v>
      </c>
      <c r="I808">
        <v>0</v>
      </c>
      <c r="J808">
        <v>0</v>
      </c>
      <c r="K808">
        <f>IF(L808,TRUE,AND(O808:Q808))</f>
        <v>0</v>
      </c>
      <c r="L808">
        <f>COUNTBLANK(Metadata!B808:D808)=COLUMNS(Metadata!B808:D808)</f>
        <v>0</v>
      </c>
      <c r="M808">
        <v>0</v>
      </c>
      <c r="O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>
        <f>AND(IF(Metadata!C808="",FALSE,TRUE),exact(Metadata!C808,"rat metagenome"))</f>
        <v>0</v>
      </c>
      <c r="Q808">
        <f>AND(IF(Metadata!D808="",FALSE,TRUE),exact(Metadata!D808,"1427740"))</f>
        <v>0</v>
      </c>
    </row>
    <row r="809" spans="1:17">
      <c r="A809" s="4">
        <f>IF(B809=" "," ",HYPERLINK(CONCATENATE("#metadata!",ADDRESS(INDEX($J$2:$J$1001,MATCH(ROWS($H$2:H809),$H$2:$H$1001,0),0),1)),INDEX($M$2:$M$1001,MATCH(ROWS($H$2:H809),$H$2:$H$1001,0),0)))</f>
        <v>0</v>
      </c>
      <c r="B809" s="3">
        <f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>0</v>
      </c>
      <c r="C809" s="3">
        <f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>0</v>
      </c>
      <c r="D809" s="3">
        <f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>0</v>
      </c>
      <c r="H809">
        <v>0</v>
      </c>
      <c r="I809">
        <v>0</v>
      </c>
      <c r="J809">
        <v>0</v>
      </c>
      <c r="K809">
        <f>IF(L809,TRUE,AND(O809:Q809))</f>
        <v>0</v>
      </c>
      <c r="L809">
        <f>COUNTBLANK(Metadata!B809:D809)=COLUMNS(Metadata!B809:D809)</f>
        <v>0</v>
      </c>
      <c r="M809">
        <v>0</v>
      </c>
      <c r="O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>
        <f>AND(IF(Metadata!C809="",FALSE,TRUE),exact(Metadata!C809,"rat metagenome"))</f>
        <v>0</v>
      </c>
      <c r="Q809">
        <f>AND(IF(Metadata!D809="",FALSE,TRUE),exact(Metadata!D809,"1427740"))</f>
        <v>0</v>
      </c>
    </row>
    <row r="810" spans="1:17">
      <c r="A810" s="4">
        <f>IF(B810=" "," ",HYPERLINK(CONCATENATE("#metadata!",ADDRESS(INDEX($J$2:$J$1001,MATCH(ROWS($H$2:H810),$H$2:$H$1001,0),0),1)),INDEX($M$2:$M$1001,MATCH(ROWS($H$2:H810),$H$2:$H$1001,0),0)))</f>
        <v>0</v>
      </c>
      <c r="B810" s="3">
        <f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>0</v>
      </c>
      <c r="C810" s="3">
        <f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>0</v>
      </c>
      <c r="D810" s="3">
        <f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>0</v>
      </c>
      <c r="H810">
        <v>0</v>
      </c>
      <c r="I810">
        <v>0</v>
      </c>
      <c r="J810">
        <v>0</v>
      </c>
      <c r="K810">
        <f>IF(L810,TRUE,AND(O810:Q810))</f>
        <v>0</v>
      </c>
      <c r="L810">
        <f>COUNTBLANK(Metadata!B810:D810)=COLUMNS(Metadata!B810:D810)</f>
        <v>0</v>
      </c>
      <c r="M810">
        <v>0</v>
      </c>
      <c r="O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>
        <f>AND(IF(Metadata!C810="",FALSE,TRUE),exact(Metadata!C810,"rat metagenome"))</f>
        <v>0</v>
      </c>
      <c r="Q810">
        <f>AND(IF(Metadata!D810="",FALSE,TRUE),exact(Metadata!D810,"1427740"))</f>
        <v>0</v>
      </c>
    </row>
    <row r="811" spans="1:17">
      <c r="A811" s="4">
        <f>IF(B811=" "," ",HYPERLINK(CONCATENATE("#metadata!",ADDRESS(INDEX($J$2:$J$1001,MATCH(ROWS($H$2:H811),$H$2:$H$1001,0),0),1)),INDEX($M$2:$M$1001,MATCH(ROWS($H$2:H811),$H$2:$H$1001,0),0)))</f>
        <v>0</v>
      </c>
      <c r="B811" s="3">
        <f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>0</v>
      </c>
      <c r="C811" s="3">
        <f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>0</v>
      </c>
      <c r="D811" s="3">
        <f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>0</v>
      </c>
      <c r="H811">
        <v>0</v>
      </c>
      <c r="I811">
        <v>0</v>
      </c>
      <c r="J811">
        <v>0</v>
      </c>
      <c r="K811">
        <f>IF(L811,TRUE,AND(O811:Q811))</f>
        <v>0</v>
      </c>
      <c r="L811">
        <f>COUNTBLANK(Metadata!B811:D811)=COLUMNS(Metadata!B811:D811)</f>
        <v>0</v>
      </c>
      <c r="M811">
        <v>0</v>
      </c>
      <c r="O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>
        <f>AND(IF(Metadata!C811="",FALSE,TRUE),exact(Metadata!C811,"rat metagenome"))</f>
        <v>0</v>
      </c>
      <c r="Q811">
        <f>AND(IF(Metadata!D811="",FALSE,TRUE),exact(Metadata!D811,"1427740"))</f>
        <v>0</v>
      </c>
    </row>
    <row r="812" spans="1:17">
      <c r="A812" s="4">
        <f>IF(B812=" "," ",HYPERLINK(CONCATENATE("#metadata!",ADDRESS(INDEX($J$2:$J$1001,MATCH(ROWS($H$2:H812),$H$2:$H$1001,0),0),1)),INDEX($M$2:$M$1001,MATCH(ROWS($H$2:H812),$H$2:$H$1001,0),0)))</f>
        <v>0</v>
      </c>
      <c r="B812" s="3">
        <f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>0</v>
      </c>
      <c r="C812" s="3">
        <f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>0</v>
      </c>
      <c r="D812" s="3">
        <f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>0</v>
      </c>
      <c r="H812">
        <v>0</v>
      </c>
      <c r="I812">
        <v>0</v>
      </c>
      <c r="J812">
        <v>0</v>
      </c>
      <c r="K812">
        <f>IF(L812,TRUE,AND(O812:Q812))</f>
        <v>0</v>
      </c>
      <c r="L812">
        <f>COUNTBLANK(Metadata!B812:D812)=COLUMNS(Metadata!B812:D812)</f>
        <v>0</v>
      </c>
      <c r="M812">
        <v>0</v>
      </c>
      <c r="O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>
        <f>AND(IF(Metadata!C812="",FALSE,TRUE),exact(Metadata!C812,"rat metagenome"))</f>
        <v>0</v>
      </c>
      <c r="Q812">
        <f>AND(IF(Metadata!D812="",FALSE,TRUE),exact(Metadata!D812,"1427740"))</f>
        <v>0</v>
      </c>
    </row>
    <row r="813" spans="1:17">
      <c r="A813" s="4">
        <f>IF(B813=" "," ",HYPERLINK(CONCATENATE("#metadata!",ADDRESS(INDEX($J$2:$J$1001,MATCH(ROWS($H$2:H813),$H$2:$H$1001,0),0),1)),INDEX($M$2:$M$1001,MATCH(ROWS($H$2:H813),$H$2:$H$1001,0),0)))</f>
        <v>0</v>
      </c>
      <c r="B813" s="3">
        <f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>0</v>
      </c>
      <c r="C813" s="3">
        <f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>0</v>
      </c>
      <c r="D813" s="3">
        <f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>0</v>
      </c>
      <c r="H813">
        <v>0</v>
      </c>
      <c r="I813">
        <v>0</v>
      </c>
      <c r="J813">
        <v>0</v>
      </c>
      <c r="K813">
        <f>IF(L813,TRUE,AND(O813:Q813))</f>
        <v>0</v>
      </c>
      <c r="L813">
        <f>COUNTBLANK(Metadata!B813:D813)=COLUMNS(Metadata!B813:D813)</f>
        <v>0</v>
      </c>
      <c r="M813">
        <v>0</v>
      </c>
      <c r="O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>
        <f>AND(IF(Metadata!C813="",FALSE,TRUE),exact(Metadata!C813,"rat metagenome"))</f>
        <v>0</v>
      </c>
      <c r="Q813">
        <f>AND(IF(Metadata!D813="",FALSE,TRUE),exact(Metadata!D813,"1427740"))</f>
        <v>0</v>
      </c>
    </row>
    <row r="814" spans="1:17">
      <c r="A814" s="4">
        <f>IF(B814=" "," ",HYPERLINK(CONCATENATE("#metadata!",ADDRESS(INDEX($J$2:$J$1001,MATCH(ROWS($H$2:H814),$H$2:$H$1001,0),0),1)),INDEX($M$2:$M$1001,MATCH(ROWS($H$2:H814),$H$2:$H$1001,0),0)))</f>
        <v>0</v>
      </c>
      <c r="B814" s="3">
        <f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>0</v>
      </c>
      <c r="C814" s="3">
        <f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>0</v>
      </c>
      <c r="D814" s="3">
        <f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>0</v>
      </c>
      <c r="H814">
        <v>0</v>
      </c>
      <c r="I814">
        <v>0</v>
      </c>
      <c r="J814">
        <v>0</v>
      </c>
      <c r="K814">
        <f>IF(L814,TRUE,AND(O814:Q814))</f>
        <v>0</v>
      </c>
      <c r="L814">
        <f>COUNTBLANK(Metadata!B814:D814)=COLUMNS(Metadata!B814:D814)</f>
        <v>0</v>
      </c>
      <c r="M814">
        <v>0</v>
      </c>
      <c r="O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>
        <f>AND(IF(Metadata!C814="",FALSE,TRUE),exact(Metadata!C814,"rat metagenome"))</f>
        <v>0</v>
      </c>
      <c r="Q814">
        <f>AND(IF(Metadata!D814="",FALSE,TRUE),exact(Metadata!D814,"1427740"))</f>
        <v>0</v>
      </c>
    </row>
    <row r="815" spans="1:17">
      <c r="A815" s="4">
        <f>IF(B815=" "," ",HYPERLINK(CONCATENATE("#metadata!",ADDRESS(INDEX($J$2:$J$1001,MATCH(ROWS($H$2:H815),$H$2:$H$1001,0),0),1)),INDEX($M$2:$M$1001,MATCH(ROWS($H$2:H815),$H$2:$H$1001,0),0)))</f>
        <v>0</v>
      </c>
      <c r="B815" s="3">
        <f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>0</v>
      </c>
      <c r="C815" s="3">
        <f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>0</v>
      </c>
      <c r="D815" s="3">
        <f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>0</v>
      </c>
      <c r="H815">
        <v>0</v>
      </c>
      <c r="I815">
        <v>0</v>
      </c>
      <c r="J815">
        <v>0</v>
      </c>
      <c r="K815">
        <f>IF(L815,TRUE,AND(O815:Q815))</f>
        <v>0</v>
      </c>
      <c r="L815">
        <f>COUNTBLANK(Metadata!B815:D815)=COLUMNS(Metadata!B815:D815)</f>
        <v>0</v>
      </c>
      <c r="M815">
        <v>0</v>
      </c>
      <c r="O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>
        <f>AND(IF(Metadata!C815="",FALSE,TRUE),exact(Metadata!C815,"rat metagenome"))</f>
        <v>0</v>
      </c>
      <c r="Q815">
        <f>AND(IF(Metadata!D815="",FALSE,TRUE),exact(Metadata!D815,"1427740"))</f>
        <v>0</v>
      </c>
    </row>
    <row r="816" spans="1:17">
      <c r="A816" s="4">
        <f>IF(B816=" "," ",HYPERLINK(CONCATENATE("#metadata!",ADDRESS(INDEX($J$2:$J$1001,MATCH(ROWS($H$2:H816),$H$2:$H$1001,0),0),1)),INDEX($M$2:$M$1001,MATCH(ROWS($H$2:H816),$H$2:$H$1001,0),0)))</f>
        <v>0</v>
      </c>
      <c r="B816" s="3">
        <f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>0</v>
      </c>
      <c r="C816" s="3">
        <f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>0</v>
      </c>
      <c r="D816" s="3">
        <f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>0</v>
      </c>
      <c r="H816">
        <v>0</v>
      </c>
      <c r="I816">
        <v>0</v>
      </c>
      <c r="J816">
        <v>0</v>
      </c>
      <c r="K816">
        <f>IF(L816,TRUE,AND(O816:Q816))</f>
        <v>0</v>
      </c>
      <c r="L816">
        <f>COUNTBLANK(Metadata!B816:D816)=COLUMNS(Metadata!B816:D816)</f>
        <v>0</v>
      </c>
      <c r="M816">
        <v>0</v>
      </c>
      <c r="O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>
        <f>AND(IF(Metadata!C816="",FALSE,TRUE),exact(Metadata!C816,"rat metagenome"))</f>
        <v>0</v>
      </c>
      <c r="Q816">
        <f>AND(IF(Metadata!D816="",FALSE,TRUE),exact(Metadata!D816,"1427740"))</f>
        <v>0</v>
      </c>
    </row>
    <row r="817" spans="1:17">
      <c r="A817" s="4">
        <f>IF(B817=" "," ",HYPERLINK(CONCATENATE("#metadata!",ADDRESS(INDEX($J$2:$J$1001,MATCH(ROWS($H$2:H817),$H$2:$H$1001,0),0),1)),INDEX($M$2:$M$1001,MATCH(ROWS($H$2:H817),$H$2:$H$1001,0),0)))</f>
        <v>0</v>
      </c>
      <c r="B817" s="3">
        <f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>0</v>
      </c>
      <c r="C817" s="3">
        <f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>0</v>
      </c>
      <c r="D817" s="3">
        <f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>0</v>
      </c>
      <c r="H817">
        <v>0</v>
      </c>
      <c r="I817">
        <v>0</v>
      </c>
      <c r="J817">
        <v>0</v>
      </c>
      <c r="K817">
        <f>IF(L817,TRUE,AND(O817:Q817))</f>
        <v>0</v>
      </c>
      <c r="L817">
        <f>COUNTBLANK(Metadata!B817:D817)=COLUMNS(Metadata!B817:D817)</f>
        <v>0</v>
      </c>
      <c r="M817">
        <v>0</v>
      </c>
      <c r="O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>
        <f>AND(IF(Metadata!C817="",FALSE,TRUE),exact(Metadata!C817,"rat metagenome"))</f>
        <v>0</v>
      </c>
      <c r="Q817">
        <f>AND(IF(Metadata!D817="",FALSE,TRUE),exact(Metadata!D817,"1427740"))</f>
        <v>0</v>
      </c>
    </row>
    <row r="818" spans="1:17">
      <c r="A818" s="4">
        <f>IF(B818=" "," ",HYPERLINK(CONCATENATE("#metadata!",ADDRESS(INDEX($J$2:$J$1001,MATCH(ROWS($H$2:H818),$H$2:$H$1001,0),0),1)),INDEX($M$2:$M$1001,MATCH(ROWS($H$2:H818),$H$2:$H$1001,0),0)))</f>
        <v>0</v>
      </c>
      <c r="B818" s="3">
        <f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>0</v>
      </c>
      <c r="C818" s="3">
        <f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>0</v>
      </c>
      <c r="D818" s="3">
        <f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>0</v>
      </c>
      <c r="H818">
        <v>0</v>
      </c>
      <c r="I818">
        <v>0</v>
      </c>
      <c r="J818">
        <v>0</v>
      </c>
      <c r="K818">
        <f>IF(L818,TRUE,AND(O818:Q818))</f>
        <v>0</v>
      </c>
      <c r="L818">
        <f>COUNTBLANK(Metadata!B818:D818)=COLUMNS(Metadata!B818:D818)</f>
        <v>0</v>
      </c>
      <c r="M818">
        <v>0</v>
      </c>
      <c r="O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>
        <f>AND(IF(Metadata!C818="",FALSE,TRUE),exact(Metadata!C818,"rat metagenome"))</f>
        <v>0</v>
      </c>
      <c r="Q818">
        <f>AND(IF(Metadata!D818="",FALSE,TRUE),exact(Metadata!D818,"1427740"))</f>
        <v>0</v>
      </c>
    </row>
    <row r="819" spans="1:17">
      <c r="A819" s="4">
        <f>IF(B819=" "," ",HYPERLINK(CONCATENATE("#metadata!",ADDRESS(INDEX($J$2:$J$1001,MATCH(ROWS($H$2:H819),$H$2:$H$1001,0),0),1)),INDEX($M$2:$M$1001,MATCH(ROWS($H$2:H819),$H$2:$H$1001,0),0)))</f>
        <v>0</v>
      </c>
      <c r="B819" s="3">
        <f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>0</v>
      </c>
      <c r="C819" s="3">
        <f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>0</v>
      </c>
      <c r="D819" s="3">
        <f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>0</v>
      </c>
      <c r="H819">
        <v>0</v>
      </c>
      <c r="I819">
        <v>0</v>
      </c>
      <c r="J819">
        <v>0</v>
      </c>
      <c r="K819">
        <f>IF(L819,TRUE,AND(O819:Q819))</f>
        <v>0</v>
      </c>
      <c r="L819">
        <f>COUNTBLANK(Metadata!B819:D819)=COLUMNS(Metadata!B819:D819)</f>
        <v>0</v>
      </c>
      <c r="M819">
        <v>0</v>
      </c>
      <c r="O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>
        <f>AND(IF(Metadata!C819="",FALSE,TRUE),exact(Metadata!C819,"rat metagenome"))</f>
        <v>0</v>
      </c>
      <c r="Q819">
        <f>AND(IF(Metadata!D819="",FALSE,TRUE),exact(Metadata!D819,"1427740"))</f>
        <v>0</v>
      </c>
    </row>
    <row r="820" spans="1:17">
      <c r="A820" s="4">
        <f>IF(B820=" "," ",HYPERLINK(CONCATENATE("#metadata!",ADDRESS(INDEX($J$2:$J$1001,MATCH(ROWS($H$2:H820),$H$2:$H$1001,0),0),1)),INDEX($M$2:$M$1001,MATCH(ROWS($H$2:H820),$H$2:$H$1001,0),0)))</f>
        <v>0</v>
      </c>
      <c r="B820" s="3">
        <f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>0</v>
      </c>
      <c r="C820" s="3">
        <f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>0</v>
      </c>
      <c r="D820" s="3">
        <f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>0</v>
      </c>
      <c r="H820">
        <v>0</v>
      </c>
      <c r="I820">
        <v>0</v>
      </c>
      <c r="J820">
        <v>0</v>
      </c>
      <c r="K820">
        <f>IF(L820,TRUE,AND(O820:Q820))</f>
        <v>0</v>
      </c>
      <c r="L820">
        <f>COUNTBLANK(Metadata!B820:D820)=COLUMNS(Metadata!B820:D820)</f>
        <v>0</v>
      </c>
      <c r="M820">
        <v>0</v>
      </c>
      <c r="O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>
        <f>AND(IF(Metadata!C820="",FALSE,TRUE),exact(Metadata!C820,"rat metagenome"))</f>
        <v>0</v>
      </c>
      <c r="Q820">
        <f>AND(IF(Metadata!D820="",FALSE,TRUE),exact(Metadata!D820,"1427740"))</f>
        <v>0</v>
      </c>
    </row>
    <row r="821" spans="1:17">
      <c r="A821" s="4">
        <f>IF(B821=" "," ",HYPERLINK(CONCATENATE("#metadata!",ADDRESS(INDEX($J$2:$J$1001,MATCH(ROWS($H$2:H821),$H$2:$H$1001,0),0),1)),INDEX($M$2:$M$1001,MATCH(ROWS($H$2:H821),$H$2:$H$1001,0),0)))</f>
        <v>0</v>
      </c>
      <c r="B821" s="3">
        <f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>0</v>
      </c>
      <c r="C821" s="3">
        <f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>0</v>
      </c>
      <c r="D821" s="3">
        <f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>0</v>
      </c>
      <c r="H821">
        <v>0</v>
      </c>
      <c r="I821">
        <v>0</v>
      </c>
      <c r="J821">
        <v>0</v>
      </c>
      <c r="K821">
        <f>IF(L821,TRUE,AND(O821:Q821))</f>
        <v>0</v>
      </c>
      <c r="L821">
        <f>COUNTBLANK(Metadata!B821:D821)=COLUMNS(Metadata!B821:D821)</f>
        <v>0</v>
      </c>
      <c r="M821">
        <v>0</v>
      </c>
      <c r="O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>
        <f>AND(IF(Metadata!C821="",FALSE,TRUE),exact(Metadata!C821,"rat metagenome"))</f>
        <v>0</v>
      </c>
      <c r="Q821">
        <f>AND(IF(Metadata!D821="",FALSE,TRUE),exact(Metadata!D821,"1427740"))</f>
        <v>0</v>
      </c>
    </row>
    <row r="822" spans="1:17">
      <c r="A822" s="4">
        <f>IF(B822=" "," ",HYPERLINK(CONCATENATE("#metadata!",ADDRESS(INDEX($J$2:$J$1001,MATCH(ROWS($H$2:H822),$H$2:$H$1001,0),0),1)),INDEX($M$2:$M$1001,MATCH(ROWS($H$2:H822),$H$2:$H$1001,0),0)))</f>
        <v>0</v>
      </c>
      <c r="B822" s="3">
        <f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>0</v>
      </c>
      <c r="C822" s="3">
        <f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>0</v>
      </c>
      <c r="D822" s="3">
        <f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>0</v>
      </c>
      <c r="H822">
        <v>0</v>
      </c>
      <c r="I822">
        <v>0</v>
      </c>
      <c r="J822">
        <v>0</v>
      </c>
      <c r="K822">
        <f>IF(L822,TRUE,AND(O822:Q822))</f>
        <v>0</v>
      </c>
      <c r="L822">
        <f>COUNTBLANK(Metadata!B822:D822)=COLUMNS(Metadata!B822:D822)</f>
        <v>0</v>
      </c>
      <c r="M822">
        <v>0</v>
      </c>
      <c r="O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>
        <f>AND(IF(Metadata!C822="",FALSE,TRUE),exact(Metadata!C822,"rat metagenome"))</f>
        <v>0</v>
      </c>
      <c r="Q822">
        <f>AND(IF(Metadata!D822="",FALSE,TRUE),exact(Metadata!D822,"1427740"))</f>
        <v>0</v>
      </c>
    </row>
    <row r="823" spans="1:17">
      <c r="A823" s="4">
        <f>IF(B823=" "," ",HYPERLINK(CONCATENATE("#metadata!",ADDRESS(INDEX($J$2:$J$1001,MATCH(ROWS($H$2:H823),$H$2:$H$1001,0),0),1)),INDEX($M$2:$M$1001,MATCH(ROWS($H$2:H823),$H$2:$H$1001,0),0)))</f>
        <v>0</v>
      </c>
      <c r="B823" s="3">
        <f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>0</v>
      </c>
      <c r="C823" s="3">
        <f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>0</v>
      </c>
      <c r="D823" s="3">
        <f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>0</v>
      </c>
      <c r="H823">
        <v>0</v>
      </c>
      <c r="I823">
        <v>0</v>
      </c>
      <c r="J823">
        <v>0</v>
      </c>
      <c r="K823">
        <f>IF(L823,TRUE,AND(O823:Q823))</f>
        <v>0</v>
      </c>
      <c r="L823">
        <f>COUNTBLANK(Metadata!B823:D823)=COLUMNS(Metadata!B823:D823)</f>
        <v>0</v>
      </c>
      <c r="M823">
        <v>0</v>
      </c>
      <c r="O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>
        <f>AND(IF(Metadata!C823="",FALSE,TRUE),exact(Metadata!C823,"rat metagenome"))</f>
        <v>0</v>
      </c>
      <c r="Q823">
        <f>AND(IF(Metadata!D823="",FALSE,TRUE),exact(Metadata!D823,"1427740"))</f>
        <v>0</v>
      </c>
    </row>
    <row r="824" spans="1:17">
      <c r="A824" s="4">
        <f>IF(B824=" "," ",HYPERLINK(CONCATENATE("#metadata!",ADDRESS(INDEX($J$2:$J$1001,MATCH(ROWS($H$2:H824),$H$2:$H$1001,0),0),1)),INDEX($M$2:$M$1001,MATCH(ROWS($H$2:H824),$H$2:$H$1001,0),0)))</f>
        <v>0</v>
      </c>
      <c r="B824" s="3">
        <f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>0</v>
      </c>
      <c r="C824" s="3">
        <f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>0</v>
      </c>
      <c r="D824" s="3">
        <f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>0</v>
      </c>
      <c r="H824">
        <v>0</v>
      </c>
      <c r="I824">
        <v>0</v>
      </c>
      <c r="J824">
        <v>0</v>
      </c>
      <c r="K824">
        <f>IF(L824,TRUE,AND(O824:Q824))</f>
        <v>0</v>
      </c>
      <c r="L824">
        <f>COUNTBLANK(Metadata!B824:D824)=COLUMNS(Metadata!B824:D824)</f>
        <v>0</v>
      </c>
      <c r="M824">
        <v>0</v>
      </c>
      <c r="O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>
        <f>AND(IF(Metadata!C824="",FALSE,TRUE),exact(Metadata!C824,"rat metagenome"))</f>
        <v>0</v>
      </c>
      <c r="Q824">
        <f>AND(IF(Metadata!D824="",FALSE,TRUE),exact(Metadata!D824,"1427740"))</f>
        <v>0</v>
      </c>
    </row>
    <row r="825" spans="1:17">
      <c r="A825" s="4">
        <f>IF(B825=" "," ",HYPERLINK(CONCATENATE("#metadata!",ADDRESS(INDEX($J$2:$J$1001,MATCH(ROWS($H$2:H825),$H$2:$H$1001,0),0),1)),INDEX($M$2:$M$1001,MATCH(ROWS($H$2:H825),$H$2:$H$1001,0),0)))</f>
        <v>0</v>
      </c>
      <c r="B825" s="3">
        <f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>0</v>
      </c>
      <c r="C825" s="3">
        <f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>0</v>
      </c>
      <c r="D825" s="3">
        <f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>0</v>
      </c>
      <c r="H825">
        <v>0</v>
      </c>
      <c r="I825">
        <v>0</v>
      </c>
      <c r="J825">
        <v>0</v>
      </c>
      <c r="K825">
        <f>IF(L825,TRUE,AND(O825:Q825))</f>
        <v>0</v>
      </c>
      <c r="L825">
        <f>COUNTBLANK(Metadata!B825:D825)=COLUMNS(Metadata!B825:D825)</f>
        <v>0</v>
      </c>
      <c r="M825">
        <v>0</v>
      </c>
      <c r="O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>
        <f>AND(IF(Metadata!C825="",FALSE,TRUE),exact(Metadata!C825,"rat metagenome"))</f>
        <v>0</v>
      </c>
      <c r="Q825">
        <f>AND(IF(Metadata!D825="",FALSE,TRUE),exact(Metadata!D825,"1427740"))</f>
        <v>0</v>
      </c>
    </row>
    <row r="826" spans="1:17">
      <c r="A826" s="4">
        <f>IF(B826=" "," ",HYPERLINK(CONCATENATE("#metadata!",ADDRESS(INDEX($J$2:$J$1001,MATCH(ROWS($H$2:H826),$H$2:$H$1001,0),0),1)),INDEX($M$2:$M$1001,MATCH(ROWS($H$2:H826),$H$2:$H$1001,0),0)))</f>
        <v>0</v>
      </c>
      <c r="B826" s="3">
        <f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>0</v>
      </c>
      <c r="C826" s="3">
        <f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>0</v>
      </c>
      <c r="D826" s="3">
        <f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>0</v>
      </c>
      <c r="H826">
        <v>0</v>
      </c>
      <c r="I826">
        <v>0</v>
      </c>
      <c r="J826">
        <v>0</v>
      </c>
      <c r="K826">
        <f>IF(L826,TRUE,AND(O826:Q826))</f>
        <v>0</v>
      </c>
      <c r="L826">
        <f>COUNTBLANK(Metadata!B826:D826)=COLUMNS(Metadata!B826:D826)</f>
        <v>0</v>
      </c>
      <c r="M826">
        <v>0</v>
      </c>
      <c r="O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>
        <f>AND(IF(Metadata!C826="",FALSE,TRUE),exact(Metadata!C826,"rat metagenome"))</f>
        <v>0</v>
      </c>
      <c r="Q826">
        <f>AND(IF(Metadata!D826="",FALSE,TRUE),exact(Metadata!D826,"1427740"))</f>
        <v>0</v>
      </c>
    </row>
    <row r="827" spans="1:17">
      <c r="A827" s="4">
        <f>IF(B827=" "," ",HYPERLINK(CONCATENATE("#metadata!",ADDRESS(INDEX($J$2:$J$1001,MATCH(ROWS($H$2:H827),$H$2:$H$1001,0),0),1)),INDEX($M$2:$M$1001,MATCH(ROWS($H$2:H827),$H$2:$H$1001,0),0)))</f>
        <v>0</v>
      </c>
      <c r="B827" s="3">
        <f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>0</v>
      </c>
      <c r="C827" s="3">
        <f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>0</v>
      </c>
      <c r="D827" s="3">
        <f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>0</v>
      </c>
      <c r="H827">
        <v>0</v>
      </c>
      <c r="I827">
        <v>0</v>
      </c>
      <c r="J827">
        <v>0</v>
      </c>
      <c r="K827">
        <f>IF(L827,TRUE,AND(O827:Q827))</f>
        <v>0</v>
      </c>
      <c r="L827">
        <f>COUNTBLANK(Metadata!B827:D827)=COLUMNS(Metadata!B827:D827)</f>
        <v>0</v>
      </c>
      <c r="M827">
        <v>0</v>
      </c>
      <c r="O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>
        <f>AND(IF(Metadata!C827="",FALSE,TRUE),exact(Metadata!C827,"rat metagenome"))</f>
        <v>0</v>
      </c>
      <c r="Q827">
        <f>AND(IF(Metadata!D827="",FALSE,TRUE),exact(Metadata!D827,"1427740"))</f>
        <v>0</v>
      </c>
    </row>
    <row r="828" spans="1:17">
      <c r="A828" s="4">
        <f>IF(B828=" "," ",HYPERLINK(CONCATENATE("#metadata!",ADDRESS(INDEX($J$2:$J$1001,MATCH(ROWS($H$2:H828),$H$2:$H$1001,0),0),1)),INDEX($M$2:$M$1001,MATCH(ROWS($H$2:H828),$H$2:$H$1001,0),0)))</f>
        <v>0</v>
      </c>
      <c r="B828" s="3">
        <f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>0</v>
      </c>
      <c r="C828" s="3">
        <f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>0</v>
      </c>
      <c r="D828" s="3">
        <f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>0</v>
      </c>
      <c r="H828">
        <v>0</v>
      </c>
      <c r="I828">
        <v>0</v>
      </c>
      <c r="J828">
        <v>0</v>
      </c>
      <c r="K828">
        <f>IF(L828,TRUE,AND(O828:Q828))</f>
        <v>0</v>
      </c>
      <c r="L828">
        <f>COUNTBLANK(Metadata!B828:D828)=COLUMNS(Metadata!B828:D828)</f>
        <v>0</v>
      </c>
      <c r="M828">
        <v>0</v>
      </c>
      <c r="O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>
        <f>AND(IF(Metadata!C828="",FALSE,TRUE),exact(Metadata!C828,"rat metagenome"))</f>
        <v>0</v>
      </c>
      <c r="Q828">
        <f>AND(IF(Metadata!D828="",FALSE,TRUE),exact(Metadata!D828,"1427740"))</f>
        <v>0</v>
      </c>
    </row>
    <row r="829" spans="1:17">
      <c r="A829" s="4">
        <f>IF(B829=" "," ",HYPERLINK(CONCATENATE("#metadata!",ADDRESS(INDEX($J$2:$J$1001,MATCH(ROWS($H$2:H829),$H$2:$H$1001,0),0),1)),INDEX($M$2:$M$1001,MATCH(ROWS($H$2:H829),$H$2:$H$1001,0),0)))</f>
        <v>0</v>
      </c>
      <c r="B829" s="3">
        <f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>0</v>
      </c>
      <c r="C829" s="3">
        <f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>0</v>
      </c>
      <c r="D829" s="3">
        <f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>0</v>
      </c>
      <c r="H829">
        <v>0</v>
      </c>
      <c r="I829">
        <v>0</v>
      </c>
      <c r="J829">
        <v>0</v>
      </c>
      <c r="K829">
        <f>IF(L829,TRUE,AND(O829:Q829))</f>
        <v>0</v>
      </c>
      <c r="L829">
        <f>COUNTBLANK(Metadata!B829:D829)=COLUMNS(Metadata!B829:D829)</f>
        <v>0</v>
      </c>
      <c r="M829">
        <v>0</v>
      </c>
      <c r="O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>
        <f>AND(IF(Metadata!C829="",FALSE,TRUE),exact(Metadata!C829,"rat metagenome"))</f>
        <v>0</v>
      </c>
      <c r="Q829">
        <f>AND(IF(Metadata!D829="",FALSE,TRUE),exact(Metadata!D829,"1427740"))</f>
        <v>0</v>
      </c>
    </row>
    <row r="830" spans="1:17">
      <c r="A830" s="4">
        <f>IF(B830=" "," ",HYPERLINK(CONCATENATE("#metadata!",ADDRESS(INDEX($J$2:$J$1001,MATCH(ROWS($H$2:H830),$H$2:$H$1001,0),0),1)),INDEX($M$2:$M$1001,MATCH(ROWS($H$2:H830),$H$2:$H$1001,0),0)))</f>
        <v>0</v>
      </c>
      <c r="B830" s="3">
        <f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>0</v>
      </c>
      <c r="C830" s="3">
        <f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>0</v>
      </c>
      <c r="D830" s="3">
        <f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>0</v>
      </c>
      <c r="H830">
        <v>0</v>
      </c>
      <c r="I830">
        <v>0</v>
      </c>
      <c r="J830">
        <v>0</v>
      </c>
      <c r="K830">
        <f>IF(L830,TRUE,AND(O830:Q830))</f>
        <v>0</v>
      </c>
      <c r="L830">
        <f>COUNTBLANK(Metadata!B830:D830)=COLUMNS(Metadata!B830:D830)</f>
        <v>0</v>
      </c>
      <c r="M830">
        <v>0</v>
      </c>
      <c r="O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>
        <f>AND(IF(Metadata!C830="",FALSE,TRUE),exact(Metadata!C830,"rat metagenome"))</f>
        <v>0</v>
      </c>
      <c r="Q830">
        <f>AND(IF(Metadata!D830="",FALSE,TRUE),exact(Metadata!D830,"1427740"))</f>
        <v>0</v>
      </c>
    </row>
    <row r="831" spans="1:17">
      <c r="A831" s="4">
        <f>IF(B831=" "," ",HYPERLINK(CONCATENATE("#metadata!",ADDRESS(INDEX($J$2:$J$1001,MATCH(ROWS($H$2:H831),$H$2:$H$1001,0),0),1)),INDEX($M$2:$M$1001,MATCH(ROWS($H$2:H831),$H$2:$H$1001,0),0)))</f>
        <v>0</v>
      </c>
      <c r="B831" s="3">
        <f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>0</v>
      </c>
      <c r="C831" s="3">
        <f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>0</v>
      </c>
      <c r="D831" s="3">
        <f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>0</v>
      </c>
      <c r="H831">
        <v>0</v>
      </c>
      <c r="I831">
        <v>0</v>
      </c>
      <c r="J831">
        <v>0</v>
      </c>
      <c r="K831">
        <f>IF(L831,TRUE,AND(O831:Q831))</f>
        <v>0</v>
      </c>
      <c r="L831">
        <f>COUNTBLANK(Metadata!B831:D831)=COLUMNS(Metadata!B831:D831)</f>
        <v>0</v>
      </c>
      <c r="M831">
        <v>0</v>
      </c>
      <c r="O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>
        <f>AND(IF(Metadata!C831="",FALSE,TRUE),exact(Metadata!C831,"rat metagenome"))</f>
        <v>0</v>
      </c>
      <c r="Q831">
        <f>AND(IF(Metadata!D831="",FALSE,TRUE),exact(Metadata!D831,"1427740"))</f>
        <v>0</v>
      </c>
    </row>
    <row r="832" spans="1:17">
      <c r="A832" s="4">
        <f>IF(B832=" "," ",HYPERLINK(CONCATENATE("#metadata!",ADDRESS(INDEX($J$2:$J$1001,MATCH(ROWS($H$2:H832),$H$2:$H$1001,0),0),1)),INDEX($M$2:$M$1001,MATCH(ROWS($H$2:H832),$H$2:$H$1001,0),0)))</f>
        <v>0</v>
      </c>
      <c r="B832" s="3">
        <f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>0</v>
      </c>
      <c r="C832" s="3">
        <f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>0</v>
      </c>
      <c r="D832" s="3">
        <f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>0</v>
      </c>
      <c r="H832">
        <v>0</v>
      </c>
      <c r="I832">
        <v>0</v>
      </c>
      <c r="J832">
        <v>0</v>
      </c>
      <c r="K832">
        <f>IF(L832,TRUE,AND(O832:Q832))</f>
        <v>0</v>
      </c>
      <c r="L832">
        <f>COUNTBLANK(Metadata!B832:D832)=COLUMNS(Metadata!B832:D832)</f>
        <v>0</v>
      </c>
      <c r="M832">
        <v>0</v>
      </c>
      <c r="O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>
        <f>AND(IF(Metadata!C832="",FALSE,TRUE),exact(Metadata!C832,"rat metagenome"))</f>
        <v>0</v>
      </c>
      <c r="Q832">
        <f>AND(IF(Metadata!D832="",FALSE,TRUE),exact(Metadata!D832,"1427740"))</f>
        <v>0</v>
      </c>
    </row>
    <row r="833" spans="1:17">
      <c r="A833" s="4">
        <f>IF(B833=" "," ",HYPERLINK(CONCATENATE("#metadata!",ADDRESS(INDEX($J$2:$J$1001,MATCH(ROWS($H$2:H833),$H$2:$H$1001,0),0),1)),INDEX($M$2:$M$1001,MATCH(ROWS($H$2:H833),$H$2:$H$1001,0),0)))</f>
        <v>0</v>
      </c>
      <c r="B833" s="3">
        <f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>0</v>
      </c>
      <c r="C833" s="3">
        <f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>0</v>
      </c>
      <c r="D833" s="3">
        <f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>0</v>
      </c>
      <c r="H833">
        <v>0</v>
      </c>
      <c r="I833">
        <v>0</v>
      </c>
      <c r="J833">
        <v>0</v>
      </c>
      <c r="K833">
        <f>IF(L833,TRUE,AND(O833:Q833))</f>
        <v>0</v>
      </c>
      <c r="L833">
        <f>COUNTBLANK(Metadata!B833:D833)=COLUMNS(Metadata!B833:D833)</f>
        <v>0</v>
      </c>
      <c r="M833">
        <v>0</v>
      </c>
      <c r="O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>
        <f>AND(IF(Metadata!C833="",FALSE,TRUE),exact(Metadata!C833,"rat metagenome"))</f>
        <v>0</v>
      </c>
      <c r="Q833">
        <f>AND(IF(Metadata!D833="",FALSE,TRUE),exact(Metadata!D833,"1427740"))</f>
        <v>0</v>
      </c>
    </row>
    <row r="834" spans="1:17">
      <c r="A834" s="4">
        <f>IF(B834=" "," ",HYPERLINK(CONCATENATE("#metadata!",ADDRESS(INDEX($J$2:$J$1001,MATCH(ROWS($H$2:H834),$H$2:$H$1001,0),0),1)),INDEX($M$2:$M$1001,MATCH(ROWS($H$2:H834),$H$2:$H$1001,0),0)))</f>
        <v>0</v>
      </c>
      <c r="B834" s="3">
        <f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>0</v>
      </c>
      <c r="C834" s="3">
        <f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>0</v>
      </c>
      <c r="D834" s="3">
        <f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>0</v>
      </c>
      <c r="H834">
        <v>0</v>
      </c>
      <c r="I834">
        <v>0</v>
      </c>
      <c r="J834">
        <v>0</v>
      </c>
      <c r="K834">
        <f>IF(L834,TRUE,AND(O834:Q834))</f>
        <v>0</v>
      </c>
      <c r="L834">
        <f>COUNTBLANK(Metadata!B834:D834)=COLUMNS(Metadata!B834:D834)</f>
        <v>0</v>
      </c>
      <c r="M834">
        <v>0</v>
      </c>
      <c r="O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>
        <f>AND(IF(Metadata!C834="",FALSE,TRUE),exact(Metadata!C834,"rat metagenome"))</f>
        <v>0</v>
      </c>
      <c r="Q834">
        <f>AND(IF(Metadata!D834="",FALSE,TRUE),exact(Metadata!D834,"1427740"))</f>
        <v>0</v>
      </c>
    </row>
    <row r="835" spans="1:17">
      <c r="A835" s="4">
        <f>IF(B835=" "," ",HYPERLINK(CONCATENATE("#metadata!",ADDRESS(INDEX($J$2:$J$1001,MATCH(ROWS($H$2:H835),$H$2:$H$1001,0),0),1)),INDEX($M$2:$M$1001,MATCH(ROWS($H$2:H835),$H$2:$H$1001,0),0)))</f>
        <v>0</v>
      </c>
      <c r="B835" s="3">
        <f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>0</v>
      </c>
      <c r="C835" s="3">
        <f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>0</v>
      </c>
      <c r="D835" s="3">
        <f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>0</v>
      </c>
      <c r="H835">
        <v>0</v>
      </c>
      <c r="I835">
        <v>0</v>
      </c>
      <c r="J835">
        <v>0</v>
      </c>
      <c r="K835">
        <f>IF(L835,TRUE,AND(O835:Q835))</f>
        <v>0</v>
      </c>
      <c r="L835">
        <f>COUNTBLANK(Metadata!B835:D835)=COLUMNS(Metadata!B835:D835)</f>
        <v>0</v>
      </c>
      <c r="M835">
        <v>0</v>
      </c>
      <c r="O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>
        <f>AND(IF(Metadata!C835="",FALSE,TRUE),exact(Metadata!C835,"rat metagenome"))</f>
        <v>0</v>
      </c>
      <c r="Q835">
        <f>AND(IF(Metadata!D835="",FALSE,TRUE),exact(Metadata!D835,"1427740"))</f>
        <v>0</v>
      </c>
    </row>
    <row r="836" spans="1:17">
      <c r="A836" s="4">
        <f>IF(B836=" "," ",HYPERLINK(CONCATENATE("#metadata!",ADDRESS(INDEX($J$2:$J$1001,MATCH(ROWS($H$2:H836),$H$2:$H$1001,0),0),1)),INDEX($M$2:$M$1001,MATCH(ROWS($H$2:H836),$H$2:$H$1001,0),0)))</f>
        <v>0</v>
      </c>
      <c r="B836" s="3">
        <f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>0</v>
      </c>
      <c r="C836" s="3">
        <f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>0</v>
      </c>
      <c r="D836" s="3">
        <f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>0</v>
      </c>
      <c r="H836">
        <v>0</v>
      </c>
      <c r="I836">
        <v>0</v>
      </c>
      <c r="J836">
        <v>0</v>
      </c>
      <c r="K836">
        <f>IF(L836,TRUE,AND(O836:Q836))</f>
        <v>0</v>
      </c>
      <c r="L836">
        <f>COUNTBLANK(Metadata!B836:D836)=COLUMNS(Metadata!B836:D836)</f>
        <v>0</v>
      </c>
      <c r="M836">
        <v>0</v>
      </c>
      <c r="O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>
        <f>AND(IF(Metadata!C836="",FALSE,TRUE),exact(Metadata!C836,"rat metagenome"))</f>
        <v>0</v>
      </c>
      <c r="Q836">
        <f>AND(IF(Metadata!D836="",FALSE,TRUE),exact(Metadata!D836,"1427740"))</f>
        <v>0</v>
      </c>
    </row>
    <row r="837" spans="1:17">
      <c r="A837" s="4">
        <f>IF(B837=" "," ",HYPERLINK(CONCATENATE("#metadata!",ADDRESS(INDEX($J$2:$J$1001,MATCH(ROWS($H$2:H837),$H$2:$H$1001,0),0),1)),INDEX($M$2:$M$1001,MATCH(ROWS($H$2:H837),$H$2:$H$1001,0),0)))</f>
        <v>0</v>
      </c>
      <c r="B837" s="3">
        <f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>0</v>
      </c>
      <c r="C837" s="3">
        <f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>0</v>
      </c>
      <c r="D837" s="3">
        <f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>0</v>
      </c>
      <c r="H837">
        <v>0</v>
      </c>
      <c r="I837">
        <v>0</v>
      </c>
      <c r="J837">
        <v>0</v>
      </c>
      <c r="K837">
        <f>IF(L837,TRUE,AND(O837:Q837))</f>
        <v>0</v>
      </c>
      <c r="L837">
        <f>COUNTBLANK(Metadata!B837:D837)=COLUMNS(Metadata!B837:D837)</f>
        <v>0</v>
      </c>
      <c r="M837">
        <v>0</v>
      </c>
      <c r="O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>
        <f>AND(IF(Metadata!C837="",FALSE,TRUE),exact(Metadata!C837,"rat metagenome"))</f>
        <v>0</v>
      </c>
      <c r="Q837">
        <f>AND(IF(Metadata!D837="",FALSE,TRUE),exact(Metadata!D837,"1427740"))</f>
        <v>0</v>
      </c>
    </row>
    <row r="838" spans="1:17">
      <c r="A838" s="4">
        <f>IF(B838=" "," ",HYPERLINK(CONCATENATE("#metadata!",ADDRESS(INDEX($J$2:$J$1001,MATCH(ROWS($H$2:H838),$H$2:$H$1001,0),0),1)),INDEX($M$2:$M$1001,MATCH(ROWS($H$2:H838),$H$2:$H$1001,0),0)))</f>
        <v>0</v>
      </c>
      <c r="B838" s="3">
        <f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>0</v>
      </c>
      <c r="C838" s="3">
        <f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>0</v>
      </c>
      <c r="D838" s="3">
        <f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>0</v>
      </c>
      <c r="H838">
        <v>0</v>
      </c>
      <c r="I838">
        <v>0</v>
      </c>
      <c r="J838">
        <v>0</v>
      </c>
      <c r="K838">
        <f>IF(L838,TRUE,AND(O838:Q838))</f>
        <v>0</v>
      </c>
      <c r="L838">
        <f>COUNTBLANK(Metadata!B838:D838)=COLUMNS(Metadata!B838:D838)</f>
        <v>0</v>
      </c>
      <c r="M838">
        <v>0</v>
      </c>
      <c r="O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>
        <f>AND(IF(Metadata!C838="",FALSE,TRUE),exact(Metadata!C838,"rat metagenome"))</f>
        <v>0</v>
      </c>
      <c r="Q838">
        <f>AND(IF(Metadata!D838="",FALSE,TRUE),exact(Metadata!D838,"1427740"))</f>
        <v>0</v>
      </c>
    </row>
    <row r="839" spans="1:17">
      <c r="A839" s="4">
        <f>IF(B839=" "," ",HYPERLINK(CONCATENATE("#metadata!",ADDRESS(INDEX($J$2:$J$1001,MATCH(ROWS($H$2:H839),$H$2:$H$1001,0),0),1)),INDEX($M$2:$M$1001,MATCH(ROWS($H$2:H839),$H$2:$H$1001,0),0)))</f>
        <v>0</v>
      </c>
      <c r="B839" s="3">
        <f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>0</v>
      </c>
      <c r="C839" s="3">
        <f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>0</v>
      </c>
      <c r="D839" s="3">
        <f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>0</v>
      </c>
      <c r="H839">
        <v>0</v>
      </c>
      <c r="I839">
        <v>0</v>
      </c>
      <c r="J839">
        <v>0</v>
      </c>
      <c r="K839">
        <f>IF(L839,TRUE,AND(O839:Q839))</f>
        <v>0</v>
      </c>
      <c r="L839">
        <f>COUNTBLANK(Metadata!B839:D839)=COLUMNS(Metadata!B839:D839)</f>
        <v>0</v>
      </c>
      <c r="M839">
        <v>0</v>
      </c>
      <c r="O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>
        <f>AND(IF(Metadata!C839="",FALSE,TRUE),exact(Metadata!C839,"rat metagenome"))</f>
        <v>0</v>
      </c>
      <c r="Q839">
        <f>AND(IF(Metadata!D839="",FALSE,TRUE),exact(Metadata!D839,"1427740"))</f>
        <v>0</v>
      </c>
    </row>
    <row r="840" spans="1:17">
      <c r="A840" s="4">
        <f>IF(B840=" "," ",HYPERLINK(CONCATENATE("#metadata!",ADDRESS(INDEX($J$2:$J$1001,MATCH(ROWS($H$2:H840),$H$2:$H$1001,0),0),1)),INDEX($M$2:$M$1001,MATCH(ROWS($H$2:H840),$H$2:$H$1001,0),0)))</f>
        <v>0</v>
      </c>
      <c r="B840" s="3">
        <f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>0</v>
      </c>
      <c r="C840" s="3">
        <f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>0</v>
      </c>
      <c r="D840" s="3">
        <f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>0</v>
      </c>
      <c r="H840">
        <v>0</v>
      </c>
      <c r="I840">
        <v>0</v>
      </c>
      <c r="J840">
        <v>0</v>
      </c>
      <c r="K840">
        <f>IF(L840,TRUE,AND(O840:Q840))</f>
        <v>0</v>
      </c>
      <c r="L840">
        <f>COUNTBLANK(Metadata!B840:D840)=COLUMNS(Metadata!B840:D840)</f>
        <v>0</v>
      </c>
      <c r="M840">
        <v>0</v>
      </c>
      <c r="O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>
        <f>AND(IF(Metadata!C840="",FALSE,TRUE),exact(Metadata!C840,"rat metagenome"))</f>
        <v>0</v>
      </c>
      <c r="Q840">
        <f>AND(IF(Metadata!D840="",FALSE,TRUE),exact(Metadata!D840,"1427740"))</f>
        <v>0</v>
      </c>
    </row>
    <row r="841" spans="1:17">
      <c r="A841" s="4">
        <f>IF(B841=" "," ",HYPERLINK(CONCATENATE("#metadata!",ADDRESS(INDEX($J$2:$J$1001,MATCH(ROWS($H$2:H841),$H$2:$H$1001,0),0),1)),INDEX($M$2:$M$1001,MATCH(ROWS($H$2:H841),$H$2:$H$1001,0),0)))</f>
        <v>0</v>
      </c>
      <c r="B841" s="3">
        <f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>0</v>
      </c>
      <c r="C841" s="3">
        <f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>0</v>
      </c>
      <c r="D841" s="3">
        <f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>0</v>
      </c>
      <c r="H841">
        <v>0</v>
      </c>
      <c r="I841">
        <v>0</v>
      </c>
      <c r="J841">
        <v>0</v>
      </c>
      <c r="K841">
        <f>IF(L841,TRUE,AND(O841:Q841))</f>
        <v>0</v>
      </c>
      <c r="L841">
        <f>COUNTBLANK(Metadata!B841:D841)=COLUMNS(Metadata!B841:D841)</f>
        <v>0</v>
      </c>
      <c r="M841">
        <v>0</v>
      </c>
      <c r="O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>
        <f>AND(IF(Metadata!C841="",FALSE,TRUE),exact(Metadata!C841,"rat metagenome"))</f>
        <v>0</v>
      </c>
      <c r="Q841">
        <f>AND(IF(Metadata!D841="",FALSE,TRUE),exact(Metadata!D841,"1427740"))</f>
        <v>0</v>
      </c>
    </row>
    <row r="842" spans="1:17">
      <c r="A842" s="4">
        <f>IF(B842=" "," ",HYPERLINK(CONCATENATE("#metadata!",ADDRESS(INDEX($J$2:$J$1001,MATCH(ROWS($H$2:H842),$H$2:$H$1001,0),0),1)),INDEX($M$2:$M$1001,MATCH(ROWS($H$2:H842),$H$2:$H$1001,0),0)))</f>
        <v>0</v>
      </c>
      <c r="B842" s="3">
        <f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>0</v>
      </c>
      <c r="C842" s="3">
        <f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>0</v>
      </c>
      <c r="D842" s="3">
        <f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>0</v>
      </c>
      <c r="H842">
        <v>0</v>
      </c>
      <c r="I842">
        <v>0</v>
      </c>
      <c r="J842">
        <v>0</v>
      </c>
      <c r="K842">
        <f>IF(L842,TRUE,AND(O842:Q842))</f>
        <v>0</v>
      </c>
      <c r="L842">
        <f>COUNTBLANK(Metadata!B842:D842)=COLUMNS(Metadata!B842:D842)</f>
        <v>0</v>
      </c>
      <c r="M842">
        <v>0</v>
      </c>
      <c r="O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>
        <f>AND(IF(Metadata!C842="",FALSE,TRUE),exact(Metadata!C842,"rat metagenome"))</f>
        <v>0</v>
      </c>
      <c r="Q842">
        <f>AND(IF(Metadata!D842="",FALSE,TRUE),exact(Metadata!D842,"1427740"))</f>
        <v>0</v>
      </c>
    </row>
    <row r="843" spans="1:17">
      <c r="A843" s="4">
        <f>IF(B843=" "," ",HYPERLINK(CONCATENATE("#metadata!",ADDRESS(INDEX($J$2:$J$1001,MATCH(ROWS($H$2:H843),$H$2:$H$1001,0),0),1)),INDEX($M$2:$M$1001,MATCH(ROWS($H$2:H843),$H$2:$H$1001,0),0)))</f>
        <v>0</v>
      </c>
      <c r="B843" s="3">
        <f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>0</v>
      </c>
      <c r="C843" s="3">
        <f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>0</v>
      </c>
      <c r="D843" s="3">
        <f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>0</v>
      </c>
      <c r="H843">
        <v>0</v>
      </c>
      <c r="I843">
        <v>0</v>
      </c>
      <c r="J843">
        <v>0</v>
      </c>
      <c r="K843">
        <f>IF(L843,TRUE,AND(O843:Q843))</f>
        <v>0</v>
      </c>
      <c r="L843">
        <f>COUNTBLANK(Metadata!B843:D843)=COLUMNS(Metadata!B843:D843)</f>
        <v>0</v>
      </c>
      <c r="M843">
        <v>0</v>
      </c>
      <c r="O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>
        <f>AND(IF(Metadata!C843="",FALSE,TRUE),exact(Metadata!C843,"rat metagenome"))</f>
        <v>0</v>
      </c>
      <c r="Q843">
        <f>AND(IF(Metadata!D843="",FALSE,TRUE),exact(Metadata!D843,"1427740"))</f>
        <v>0</v>
      </c>
    </row>
    <row r="844" spans="1:17">
      <c r="A844" s="4">
        <f>IF(B844=" "," ",HYPERLINK(CONCATENATE("#metadata!",ADDRESS(INDEX($J$2:$J$1001,MATCH(ROWS($H$2:H844),$H$2:$H$1001,0),0),1)),INDEX($M$2:$M$1001,MATCH(ROWS($H$2:H844),$H$2:$H$1001,0),0)))</f>
        <v>0</v>
      </c>
      <c r="B844" s="3">
        <f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>0</v>
      </c>
      <c r="C844" s="3">
        <f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>0</v>
      </c>
      <c r="D844" s="3">
        <f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>0</v>
      </c>
      <c r="H844">
        <v>0</v>
      </c>
      <c r="I844">
        <v>0</v>
      </c>
      <c r="J844">
        <v>0</v>
      </c>
      <c r="K844">
        <f>IF(L844,TRUE,AND(O844:Q844))</f>
        <v>0</v>
      </c>
      <c r="L844">
        <f>COUNTBLANK(Metadata!B844:D844)=COLUMNS(Metadata!B844:D844)</f>
        <v>0</v>
      </c>
      <c r="M844">
        <v>0</v>
      </c>
      <c r="O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>
        <f>AND(IF(Metadata!C844="",FALSE,TRUE),exact(Metadata!C844,"rat metagenome"))</f>
        <v>0</v>
      </c>
      <c r="Q844">
        <f>AND(IF(Metadata!D844="",FALSE,TRUE),exact(Metadata!D844,"1427740"))</f>
        <v>0</v>
      </c>
    </row>
    <row r="845" spans="1:17">
      <c r="A845" s="4">
        <f>IF(B845=" "," ",HYPERLINK(CONCATENATE("#metadata!",ADDRESS(INDEX($J$2:$J$1001,MATCH(ROWS($H$2:H845),$H$2:$H$1001,0),0),1)),INDEX($M$2:$M$1001,MATCH(ROWS($H$2:H845),$H$2:$H$1001,0),0)))</f>
        <v>0</v>
      </c>
      <c r="B845" s="3">
        <f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>0</v>
      </c>
      <c r="C845" s="3">
        <f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>0</v>
      </c>
      <c r="D845" s="3">
        <f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>0</v>
      </c>
      <c r="H845">
        <v>0</v>
      </c>
      <c r="I845">
        <v>0</v>
      </c>
      <c r="J845">
        <v>0</v>
      </c>
      <c r="K845">
        <f>IF(L845,TRUE,AND(O845:Q845))</f>
        <v>0</v>
      </c>
      <c r="L845">
        <f>COUNTBLANK(Metadata!B845:D845)=COLUMNS(Metadata!B845:D845)</f>
        <v>0</v>
      </c>
      <c r="M845">
        <v>0</v>
      </c>
      <c r="O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>
        <f>AND(IF(Metadata!C845="",FALSE,TRUE),exact(Metadata!C845,"rat metagenome"))</f>
        <v>0</v>
      </c>
      <c r="Q845">
        <f>AND(IF(Metadata!D845="",FALSE,TRUE),exact(Metadata!D845,"1427740"))</f>
        <v>0</v>
      </c>
    </row>
    <row r="846" spans="1:17">
      <c r="A846" s="4">
        <f>IF(B846=" "," ",HYPERLINK(CONCATENATE("#metadata!",ADDRESS(INDEX($J$2:$J$1001,MATCH(ROWS($H$2:H846),$H$2:$H$1001,0),0),1)),INDEX($M$2:$M$1001,MATCH(ROWS($H$2:H846),$H$2:$H$1001,0),0)))</f>
        <v>0</v>
      </c>
      <c r="B846" s="3">
        <f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>0</v>
      </c>
      <c r="C846" s="3">
        <f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>0</v>
      </c>
      <c r="D846" s="3">
        <f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>0</v>
      </c>
      <c r="H846">
        <v>0</v>
      </c>
      <c r="I846">
        <v>0</v>
      </c>
      <c r="J846">
        <v>0</v>
      </c>
      <c r="K846">
        <f>IF(L846,TRUE,AND(O846:Q846))</f>
        <v>0</v>
      </c>
      <c r="L846">
        <f>COUNTBLANK(Metadata!B846:D846)=COLUMNS(Metadata!B846:D846)</f>
        <v>0</v>
      </c>
      <c r="M846">
        <v>0</v>
      </c>
      <c r="O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>
        <f>AND(IF(Metadata!C846="",FALSE,TRUE),exact(Metadata!C846,"rat metagenome"))</f>
        <v>0</v>
      </c>
      <c r="Q846">
        <f>AND(IF(Metadata!D846="",FALSE,TRUE),exact(Metadata!D846,"1427740"))</f>
        <v>0</v>
      </c>
    </row>
    <row r="847" spans="1:17">
      <c r="A847" s="4">
        <f>IF(B847=" "," ",HYPERLINK(CONCATENATE("#metadata!",ADDRESS(INDEX($J$2:$J$1001,MATCH(ROWS($H$2:H847),$H$2:$H$1001,0),0),1)),INDEX($M$2:$M$1001,MATCH(ROWS($H$2:H847),$H$2:$H$1001,0),0)))</f>
        <v>0</v>
      </c>
      <c r="B847" s="3">
        <f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>0</v>
      </c>
      <c r="C847" s="3">
        <f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>0</v>
      </c>
      <c r="D847" s="3">
        <f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>0</v>
      </c>
      <c r="H847">
        <v>0</v>
      </c>
      <c r="I847">
        <v>0</v>
      </c>
      <c r="J847">
        <v>0</v>
      </c>
      <c r="K847">
        <f>IF(L847,TRUE,AND(O847:Q847))</f>
        <v>0</v>
      </c>
      <c r="L847">
        <f>COUNTBLANK(Metadata!B847:D847)=COLUMNS(Metadata!B847:D847)</f>
        <v>0</v>
      </c>
      <c r="M847">
        <v>0</v>
      </c>
      <c r="O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>
        <f>AND(IF(Metadata!C847="",FALSE,TRUE),exact(Metadata!C847,"rat metagenome"))</f>
        <v>0</v>
      </c>
      <c r="Q847">
        <f>AND(IF(Metadata!D847="",FALSE,TRUE),exact(Metadata!D847,"1427740"))</f>
        <v>0</v>
      </c>
    </row>
    <row r="848" spans="1:17">
      <c r="A848" s="4">
        <f>IF(B848=" "," ",HYPERLINK(CONCATENATE("#metadata!",ADDRESS(INDEX($J$2:$J$1001,MATCH(ROWS($H$2:H848),$H$2:$H$1001,0),0),1)),INDEX($M$2:$M$1001,MATCH(ROWS($H$2:H848),$H$2:$H$1001,0),0)))</f>
        <v>0</v>
      </c>
      <c r="B848" s="3">
        <f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>0</v>
      </c>
      <c r="C848" s="3">
        <f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>0</v>
      </c>
      <c r="D848" s="3">
        <f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>0</v>
      </c>
      <c r="H848">
        <v>0</v>
      </c>
      <c r="I848">
        <v>0</v>
      </c>
      <c r="J848">
        <v>0</v>
      </c>
      <c r="K848">
        <f>IF(L848,TRUE,AND(O848:Q848))</f>
        <v>0</v>
      </c>
      <c r="L848">
        <f>COUNTBLANK(Metadata!B848:D848)=COLUMNS(Metadata!B848:D848)</f>
        <v>0</v>
      </c>
      <c r="M848">
        <v>0</v>
      </c>
      <c r="O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>
        <f>AND(IF(Metadata!C848="",FALSE,TRUE),exact(Metadata!C848,"rat metagenome"))</f>
        <v>0</v>
      </c>
      <c r="Q848">
        <f>AND(IF(Metadata!D848="",FALSE,TRUE),exact(Metadata!D848,"1427740"))</f>
        <v>0</v>
      </c>
    </row>
    <row r="849" spans="1:17">
      <c r="A849" s="4">
        <f>IF(B849=" "," ",HYPERLINK(CONCATENATE("#metadata!",ADDRESS(INDEX($J$2:$J$1001,MATCH(ROWS($H$2:H849),$H$2:$H$1001,0),0),1)),INDEX($M$2:$M$1001,MATCH(ROWS($H$2:H849),$H$2:$H$1001,0),0)))</f>
        <v>0</v>
      </c>
      <c r="B849" s="3">
        <f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>0</v>
      </c>
      <c r="C849" s="3">
        <f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>0</v>
      </c>
      <c r="D849" s="3">
        <f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>0</v>
      </c>
      <c r="H849">
        <v>0</v>
      </c>
      <c r="I849">
        <v>0</v>
      </c>
      <c r="J849">
        <v>0</v>
      </c>
      <c r="K849">
        <f>IF(L849,TRUE,AND(O849:Q849))</f>
        <v>0</v>
      </c>
      <c r="L849">
        <f>COUNTBLANK(Metadata!B849:D849)=COLUMNS(Metadata!B849:D849)</f>
        <v>0</v>
      </c>
      <c r="M849">
        <v>0</v>
      </c>
      <c r="O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>
        <f>AND(IF(Metadata!C849="",FALSE,TRUE),exact(Metadata!C849,"rat metagenome"))</f>
        <v>0</v>
      </c>
      <c r="Q849">
        <f>AND(IF(Metadata!D849="",FALSE,TRUE),exact(Metadata!D849,"1427740"))</f>
        <v>0</v>
      </c>
    </row>
    <row r="850" spans="1:17">
      <c r="A850" s="4">
        <f>IF(B850=" "," ",HYPERLINK(CONCATENATE("#metadata!",ADDRESS(INDEX($J$2:$J$1001,MATCH(ROWS($H$2:H850),$H$2:$H$1001,0),0),1)),INDEX($M$2:$M$1001,MATCH(ROWS($H$2:H850),$H$2:$H$1001,0),0)))</f>
        <v>0</v>
      </c>
      <c r="B850" s="3">
        <f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>0</v>
      </c>
      <c r="C850" s="3">
        <f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>0</v>
      </c>
      <c r="D850" s="3">
        <f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>0</v>
      </c>
      <c r="H850">
        <v>0</v>
      </c>
      <c r="I850">
        <v>0</v>
      </c>
      <c r="J850">
        <v>0</v>
      </c>
      <c r="K850">
        <f>IF(L850,TRUE,AND(O850:Q850))</f>
        <v>0</v>
      </c>
      <c r="L850">
        <f>COUNTBLANK(Metadata!B850:D850)=COLUMNS(Metadata!B850:D850)</f>
        <v>0</v>
      </c>
      <c r="M850">
        <v>0</v>
      </c>
      <c r="O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>
        <f>AND(IF(Metadata!C850="",FALSE,TRUE),exact(Metadata!C850,"rat metagenome"))</f>
        <v>0</v>
      </c>
      <c r="Q850">
        <f>AND(IF(Metadata!D850="",FALSE,TRUE),exact(Metadata!D850,"1427740"))</f>
        <v>0</v>
      </c>
    </row>
    <row r="851" spans="1:17">
      <c r="A851" s="4">
        <f>IF(B851=" "," ",HYPERLINK(CONCATENATE("#metadata!",ADDRESS(INDEX($J$2:$J$1001,MATCH(ROWS($H$2:H851),$H$2:$H$1001,0),0),1)),INDEX($M$2:$M$1001,MATCH(ROWS($H$2:H851),$H$2:$H$1001,0),0)))</f>
        <v>0</v>
      </c>
      <c r="B851" s="3">
        <f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>0</v>
      </c>
      <c r="C851" s="3">
        <f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>0</v>
      </c>
      <c r="D851" s="3">
        <f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>0</v>
      </c>
      <c r="H851">
        <v>0</v>
      </c>
      <c r="I851">
        <v>0</v>
      </c>
      <c r="J851">
        <v>0</v>
      </c>
      <c r="K851">
        <f>IF(L851,TRUE,AND(O851:Q851))</f>
        <v>0</v>
      </c>
      <c r="L851">
        <f>COUNTBLANK(Metadata!B851:D851)=COLUMNS(Metadata!B851:D851)</f>
        <v>0</v>
      </c>
      <c r="M851">
        <v>0</v>
      </c>
      <c r="O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>
        <f>AND(IF(Metadata!C851="",FALSE,TRUE),exact(Metadata!C851,"rat metagenome"))</f>
        <v>0</v>
      </c>
      <c r="Q851">
        <f>AND(IF(Metadata!D851="",FALSE,TRUE),exact(Metadata!D851,"1427740"))</f>
        <v>0</v>
      </c>
    </row>
    <row r="852" spans="1:17">
      <c r="A852" s="4">
        <f>IF(B852=" "," ",HYPERLINK(CONCATENATE("#metadata!",ADDRESS(INDEX($J$2:$J$1001,MATCH(ROWS($H$2:H852),$H$2:$H$1001,0),0),1)),INDEX($M$2:$M$1001,MATCH(ROWS($H$2:H852),$H$2:$H$1001,0),0)))</f>
        <v>0</v>
      </c>
      <c r="B852" s="3">
        <f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>0</v>
      </c>
      <c r="C852" s="3">
        <f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>0</v>
      </c>
      <c r="D852" s="3">
        <f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>0</v>
      </c>
      <c r="H852">
        <v>0</v>
      </c>
      <c r="I852">
        <v>0</v>
      </c>
      <c r="J852">
        <v>0</v>
      </c>
      <c r="K852">
        <f>IF(L852,TRUE,AND(O852:Q852))</f>
        <v>0</v>
      </c>
      <c r="L852">
        <f>COUNTBLANK(Metadata!B852:D852)=COLUMNS(Metadata!B852:D852)</f>
        <v>0</v>
      </c>
      <c r="M852">
        <v>0</v>
      </c>
      <c r="O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>
        <f>AND(IF(Metadata!C852="",FALSE,TRUE),exact(Metadata!C852,"rat metagenome"))</f>
        <v>0</v>
      </c>
      <c r="Q852">
        <f>AND(IF(Metadata!D852="",FALSE,TRUE),exact(Metadata!D852,"1427740"))</f>
        <v>0</v>
      </c>
    </row>
    <row r="853" spans="1:17">
      <c r="A853" s="4">
        <f>IF(B853=" "," ",HYPERLINK(CONCATENATE("#metadata!",ADDRESS(INDEX($J$2:$J$1001,MATCH(ROWS($H$2:H853),$H$2:$H$1001,0),0),1)),INDEX($M$2:$M$1001,MATCH(ROWS($H$2:H853),$H$2:$H$1001,0),0)))</f>
        <v>0</v>
      </c>
      <c r="B853" s="3">
        <f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>0</v>
      </c>
      <c r="C853" s="3">
        <f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>0</v>
      </c>
      <c r="D853" s="3">
        <f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>0</v>
      </c>
      <c r="H853">
        <v>0</v>
      </c>
      <c r="I853">
        <v>0</v>
      </c>
      <c r="J853">
        <v>0</v>
      </c>
      <c r="K853">
        <f>IF(L853,TRUE,AND(O853:Q853))</f>
        <v>0</v>
      </c>
      <c r="L853">
        <f>COUNTBLANK(Metadata!B853:D853)=COLUMNS(Metadata!B853:D853)</f>
        <v>0</v>
      </c>
      <c r="M853">
        <v>0</v>
      </c>
      <c r="O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>
        <f>AND(IF(Metadata!C853="",FALSE,TRUE),exact(Metadata!C853,"rat metagenome"))</f>
        <v>0</v>
      </c>
      <c r="Q853">
        <f>AND(IF(Metadata!D853="",FALSE,TRUE),exact(Metadata!D853,"1427740"))</f>
        <v>0</v>
      </c>
    </row>
    <row r="854" spans="1:17">
      <c r="A854" s="4">
        <f>IF(B854=" "," ",HYPERLINK(CONCATENATE("#metadata!",ADDRESS(INDEX($J$2:$J$1001,MATCH(ROWS($H$2:H854),$H$2:$H$1001,0),0),1)),INDEX($M$2:$M$1001,MATCH(ROWS($H$2:H854),$H$2:$H$1001,0),0)))</f>
        <v>0</v>
      </c>
      <c r="B854" s="3">
        <f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>0</v>
      </c>
      <c r="C854" s="3">
        <f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>0</v>
      </c>
      <c r="D854" s="3">
        <f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>0</v>
      </c>
      <c r="H854">
        <v>0</v>
      </c>
      <c r="I854">
        <v>0</v>
      </c>
      <c r="J854">
        <v>0</v>
      </c>
      <c r="K854">
        <f>IF(L854,TRUE,AND(O854:Q854))</f>
        <v>0</v>
      </c>
      <c r="L854">
        <f>COUNTBLANK(Metadata!B854:D854)=COLUMNS(Metadata!B854:D854)</f>
        <v>0</v>
      </c>
      <c r="M854">
        <v>0</v>
      </c>
      <c r="O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>
        <f>AND(IF(Metadata!C854="",FALSE,TRUE),exact(Metadata!C854,"rat metagenome"))</f>
        <v>0</v>
      </c>
      <c r="Q854">
        <f>AND(IF(Metadata!D854="",FALSE,TRUE),exact(Metadata!D854,"1427740"))</f>
        <v>0</v>
      </c>
    </row>
    <row r="855" spans="1:17">
      <c r="A855" s="4">
        <f>IF(B855=" "," ",HYPERLINK(CONCATENATE("#metadata!",ADDRESS(INDEX($J$2:$J$1001,MATCH(ROWS($H$2:H855),$H$2:$H$1001,0),0),1)),INDEX($M$2:$M$1001,MATCH(ROWS($H$2:H855),$H$2:$H$1001,0),0)))</f>
        <v>0</v>
      </c>
      <c r="B855" s="3">
        <f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>0</v>
      </c>
      <c r="C855" s="3">
        <f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>0</v>
      </c>
      <c r="D855" s="3">
        <f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>0</v>
      </c>
      <c r="H855">
        <v>0</v>
      </c>
      <c r="I855">
        <v>0</v>
      </c>
      <c r="J855">
        <v>0</v>
      </c>
      <c r="K855">
        <f>IF(L855,TRUE,AND(O855:Q855))</f>
        <v>0</v>
      </c>
      <c r="L855">
        <f>COUNTBLANK(Metadata!B855:D855)=COLUMNS(Metadata!B855:D855)</f>
        <v>0</v>
      </c>
      <c r="M855">
        <v>0</v>
      </c>
      <c r="O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>
        <f>AND(IF(Metadata!C855="",FALSE,TRUE),exact(Metadata!C855,"rat metagenome"))</f>
        <v>0</v>
      </c>
      <c r="Q855">
        <f>AND(IF(Metadata!D855="",FALSE,TRUE),exact(Metadata!D855,"1427740"))</f>
        <v>0</v>
      </c>
    </row>
    <row r="856" spans="1:17">
      <c r="A856" s="4">
        <f>IF(B856=" "," ",HYPERLINK(CONCATENATE("#metadata!",ADDRESS(INDEX($J$2:$J$1001,MATCH(ROWS($H$2:H856),$H$2:$H$1001,0),0),1)),INDEX($M$2:$M$1001,MATCH(ROWS($H$2:H856),$H$2:$H$1001,0),0)))</f>
        <v>0</v>
      </c>
      <c r="B856" s="3">
        <f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>0</v>
      </c>
      <c r="C856" s="3">
        <f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>0</v>
      </c>
      <c r="D856" s="3">
        <f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>0</v>
      </c>
      <c r="H856">
        <v>0</v>
      </c>
      <c r="I856">
        <v>0</v>
      </c>
      <c r="J856">
        <v>0</v>
      </c>
      <c r="K856">
        <f>IF(L856,TRUE,AND(O856:Q856))</f>
        <v>0</v>
      </c>
      <c r="L856">
        <f>COUNTBLANK(Metadata!B856:D856)=COLUMNS(Metadata!B856:D856)</f>
        <v>0</v>
      </c>
      <c r="M856">
        <v>0</v>
      </c>
      <c r="O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>
        <f>AND(IF(Metadata!C856="",FALSE,TRUE),exact(Metadata!C856,"rat metagenome"))</f>
        <v>0</v>
      </c>
      <c r="Q856">
        <f>AND(IF(Metadata!D856="",FALSE,TRUE),exact(Metadata!D856,"1427740"))</f>
        <v>0</v>
      </c>
    </row>
    <row r="857" spans="1:17">
      <c r="A857" s="4">
        <f>IF(B857=" "," ",HYPERLINK(CONCATENATE("#metadata!",ADDRESS(INDEX($J$2:$J$1001,MATCH(ROWS($H$2:H857),$H$2:$H$1001,0),0),1)),INDEX($M$2:$M$1001,MATCH(ROWS($H$2:H857),$H$2:$H$1001,0),0)))</f>
        <v>0</v>
      </c>
      <c r="B857" s="3">
        <f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>0</v>
      </c>
      <c r="C857" s="3">
        <f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>0</v>
      </c>
      <c r="D857" s="3">
        <f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>0</v>
      </c>
      <c r="H857">
        <v>0</v>
      </c>
      <c r="I857">
        <v>0</v>
      </c>
      <c r="J857">
        <v>0</v>
      </c>
      <c r="K857">
        <f>IF(L857,TRUE,AND(O857:Q857))</f>
        <v>0</v>
      </c>
      <c r="L857">
        <f>COUNTBLANK(Metadata!B857:D857)=COLUMNS(Metadata!B857:D857)</f>
        <v>0</v>
      </c>
      <c r="M857">
        <v>0</v>
      </c>
      <c r="O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>
        <f>AND(IF(Metadata!C857="",FALSE,TRUE),exact(Metadata!C857,"rat metagenome"))</f>
        <v>0</v>
      </c>
      <c r="Q857">
        <f>AND(IF(Metadata!D857="",FALSE,TRUE),exact(Metadata!D857,"1427740"))</f>
        <v>0</v>
      </c>
    </row>
    <row r="858" spans="1:17">
      <c r="A858" s="4">
        <f>IF(B858=" "," ",HYPERLINK(CONCATENATE("#metadata!",ADDRESS(INDEX($J$2:$J$1001,MATCH(ROWS($H$2:H858),$H$2:$H$1001,0),0),1)),INDEX($M$2:$M$1001,MATCH(ROWS($H$2:H858),$H$2:$H$1001,0),0)))</f>
        <v>0</v>
      </c>
      <c r="B858" s="3">
        <f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>0</v>
      </c>
      <c r="C858" s="3">
        <f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>0</v>
      </c>
      <c r="D858" s="3">
        <f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>0</v>
      </c>
      <c r="H858">
        <v>0</v>
      </c>
      <c r="I858">
        <v>0</v>
      </c>
      <c r="J858">
        <v>0</v>
      </c>
      <c r="K858">
        <f>IF(L858,TRUE,AND(O858:Q858))</f>
        <v>0</v>
      </c>
      <c r="L858">
        <f>COUNTBLANK(Metadata!B858:D858)=COLUMNS(Metadata!B858:D858)</f>
        <v>0</v>
      </c>
      <c r="M858">
        <v>0</v>
      </c>
      <c r="O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>
        <f>AND(IF(Metadata!C858="",FALSE,TRUE),exact(Metadata!C858,"rat metagenome"))</f>
        <v>0</v>
      </c>
      <c r="Q858">
        <f>AND(IF(Metadata!D858="",FALSE,TRUE),exact(Metadata!D858,"1427740"))</f>
        <v>0</v>
      </c>
    </row>
    <row r="859" spans="1:17">
      <c r="A859" s="4">
        <f>IF(B859=" "," ",HYPERLINK(CONCATENATE("#metadata!",ADDRESS(INDEX($J$2:$J$1001,MATCH(ROWS($H$2:H859),$H$2:$H$1001,0),0),1)),INDEX($M$2:$M$1001,MATCH(ROWS($H$2:H859),$H$2:$H$1001,0),0)))</f>
        <v>0</v>
      </c>
      <c r="B859" s="3">
        <f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>0</v>
      </c>
      <c r="C859" s="3">
        <f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>0</v>
      </c>
      <c r="D859" s="3">
        <f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>0</v>
      </c>
      <c r="H859">
        <v>0</v>
      </c>
      <c r="I859">
        <v>0</v>
      </c>
      <c r="J859">
        <v>0</v>
      </c>
      <c r="K859">
        <f>IF(L859,TRUE,AND(O859:Q859))</f>
        <v>0</v>
      </c>
      <c r="L859">
        <f>COUNTBLANK(Metadata!B859:D859)=COLUMNS(Metadata!B859:D859)</f>
        <v>0</v>
      </c>
      <c r="M859">
        <v>0</v>
      </c>
      <c r="O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>
        <f>AND(IF(Metadata!C859="",FALSE,TRUE),exact(Metadata!C859,"rat metagenome"))</f>
        <v>0</v>
      </c>
      <c r="Q859">
        <f>AND(IF(Metadata!D859="",FALSE,TRUE),exact(Metadata!D859,"1427740"))</f>
        <v>0</v>
      </c>
    </row>
    <row r="860" spans="1:17">
      <c r="A860" s="4">
        <f>IF(B860=" "," ",HYPERLINK(CONCATENATE("#metadata!",ADDRESS(INDEX($J$2:$J$1001,MATCH(ROWS($H$2:H860),$H$2:$H$1001,0),0),1)),INDEX($M$2:$M$1001,MATCH(ROWS($H$2:H860),$H$2:$H$1001,0),0)))</f>
        <v>0</v>
      </c>
      <c r="B860" s="3">
        <f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>0</v>
      </c>
      <c r="C860" s="3">
        <f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>0</v>
      </c>
      <c r="D860" s="3">
        <f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>0</v>
      </c>
      <c r="H860">
        <v>0</v>
      </c>
      <c r="I860">
        <v>0</v>
      </c>
      <c r="J860">
        <v>0</v>
      </c>
      <c r="K860">
        <f>IF(L860,TRUE,AND(O860:Q860))</f>
        <v>0</v>
      </c>
      <c r="L860">
        <f>COUNTBLANK(Metadata!B860:D860)=COLUMNS(Metadata!B860:D860)</f>
        <v>0</v>
      </c>
      <c r="M860">
        <v>0</v>
      </c>
      <c r="O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>
        <f>AND(IF(Metadata!C860="",FALSE,TRUE),exact(Metadata!C860,"rat metagenome"))</f>
        <v>0</v>
      </c>
      <c r="Q860">
        <f>AND(IF(Metadata!D860="",FALSE,TRUE),exact(Metadata!D860,"1427740"))</f>
        <v>0</v>
      </c>
    </row>
    <row r="861" spans="1:17">
      <c r="A861" s="4">
        <f>IF(B861=" "," ",HYPERLINK(CONCATENATE("#metadata!",ADDRESS(INDEX($J$2:$J$1001,MATCH(ROWS($H$2:H861),$H$2:$H$1001,0),0),1)),INDEX($M$2:$M$1001,MATCH(ROWS($H$2:H861),$H$2:$H$1001,0),0)))</f>
        <v>0</v>
      </c>
      <c r="B861" s="3">
        <f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>0</v>
      </c>
      <c r="C861" s="3">
        <f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>0</v>
      </c>
      <c r="D861" s="3">
        <f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>0</v>
      </c>
      <c r="H861">
        <v>0</v>
      </c>
      <c r="I861">
        <v>0</v>
      </c>
      <c r="J861">
        <v>0</v>
      </c>
      <c r="K861">
        <f>IF(L861,TRUE,AND(O861:Q861))</f>
        <v>0</v>
      </c>
      <c r="L861">
        <f>COUNTBLANK(Metadata!B861:D861)=COLUMNS(Metadata!B861:D861)</f>
        <v>0</v>
      </c>
      <c r="M861">
        <v>0</v>
      </c>
      <c r="O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>
        <f>AND(IF(Metadata!C861="",FALSE,TRUE),exact(Metadata!C861,"rat metagenome"))</f>
        <v>0</v>
      </c>
      <c r="Q861">
        <f>AND(IF(Metadata!D861="",FALSE,TRUE),exact(Metadata!D861,"1427740"))</f>
        <v>0</v>
      </c>
    </row>
    <row r="862" spans="1:17">
      <c r="A862" s="4">
        <f>IF(B862=" "," ",HYPERLINK(CONCATENATE("#metadata!",ADDRESS(INDEX($J$2:$J$1001,MATCH(ROWS($H$2:H862),$H$2:$H$1001,0),0),1)),INDEX($M$2:$M$1001,MATCH(ROWS($H$2:H862),$H$2:$H$1001,0),0)))</f>
        <v>0</v>
      </c>
      <c r="B862" s="3">
        <f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>0</v>
      </c>
      <c r="C862" s="3">
        <f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>0</v>
      </c>
      <c r="D862" s="3">
        <f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>0</v>
      </c>
      <c r="H862">
        <v>0</v>
      </c>
      <c r="I862">
        <v>0</v>
      </c>
      <c r="J862">
        <v>0</v>
      </c>
      <c r="K862">
        <f>IF(L862,TRUE,AND(O862:Q862))</f>
        <v>0</v>
      </c>
      <c r="L862">
        <f>COUNTBLANK(Metadata!B862:D862)=COLUMNS(Metadata!B862:D862)</f>
        <v>0</v>
      </c>
      <c r="M862">
        <v>0</v>
      </c>
      <c r="O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>
        <f>AND(IF(Metadata!C862="",FALSE,TRUE),exact(Metadata!C862,"rat metagenome"))</f>
        <v>0</v>
      </c>
      <c r="Q862">
        <f>AND(IF(Metadata!D862="",FALSE,TRUE),exact(Metadata!D862,"1427740"))</f>
        <v>0</v>
      </c>
    </row>
    <row r="863" spans="1:17">
      <c r="A863" s="4">
        <f>IF(B863=" "," ",HYPERLINK(CONCATENATE("#metadata!",ADDRESS(INDEX($J$2:$J$1001,MATCH(ROWS($H$2:H863),$H$2:$H$1001,0),0),1)),INDEX($M$2:$M$1001,MATCH(ROWS($H$2:H863),$H$2:$H$1001,0),0)))</f>
        <v>0</v>
      </c>
      <c r="B863" s="3">
        <f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>0</v>
      </c>
      <c r="C863" s="3">
        <f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>0</v>
      </c>
      <c r="D863" s="3">
        <f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>0</v>
      </c>
      <c r="H863">
        <v>0</v>
      </c>
      <c r="I863">
        <v>0</v>
      </c>
      <c r="J863">
        <v>0</v>
      </c>
      <c r="K863">
        <f>IF(L863,TRUE,AND(O863:Q863))</f>
        <v>0</v>
      </c>
      <c r="L863">
        <f>COUNTBLANK(Metadata!B863:D863)=COLUMNS(Metadata!B863:D863)</f>
        <v>0</v>
      </c>
      <c r="M863">
        <v>0</v>
      </c>
      <c r="O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>
        <f>AND(IF(Metadata!C863="",FALSE,TRUE),exact(Metadata!C863,"rat metagenome"))</f>
        <v>0</v>
      </c>
      <c r="Q863">
        <f>AND(IF(Metadata!D863="",FALSE,TRUE),exact(Metadata!D863,"1427740"))</f>
        <v>0</v>
      </c>
    </row>
    <row r="864" spans="1:17">
      <c r="A864" s="4">
        <f>IF(B864=" "," ",HYPERLINK(CONCATENATE("#metadata!",ADDRESS(INDEX($J$2:$J$1001,MATCH(ROWS($H$2:H864),$H$2:$H$1001,0),0),1)),INDEX($M$2:$M$1001,MATCH(ROWS($H$2:H864),$H$2:$H$1001,0),0)))</f>
        <v>0</v>
      </c>
      <c r="B864" s="3">
        <f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>0</v>
      </c>
      <c r="C864" s="3">
        <f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>0</v>
      </c>
      <c r="D864" s="3">
        <f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>0</v>
      </c>
      <c r="H864">
        <v>0</v>
      </c>
      <c r="I864">
        <v>0</v>
      </c>
      <c r="J864">
        <v>0</v>
      </c>
      <c r="K864">
        <f>IF(L864,TRUE,AND(O864:Q864))</f>
        <v>0</v>
      </c>
      <c r="L864">
        <f>COUNTBLANK(Metadata!B864:D864)=COLUMNS(Metadata!B864:D864)</f>
        <v>0</v>
      </c>
      <c r="M864">
        <v>0</v>
      </c>
      <c r="O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>
        <f>AND(IF(Metadata!C864="",FALSE,TRUE),exact(Metadata!C864,"rat metagenome"))</f>
        <v>0</v>
      </c>
      <c r="Q864">
        <f>AND(IF(Metadata!D864="",FALSE,TRUE),exact(Metadata!D864,"1427740"))</f>
        <v>0</v>
      </c>
    </row>
    <row r="865" spans="1:17">
      <c r="A865" s="4">
        <f>IF(B865=" "," ",HYPERLINK(CONCATENATE("#metadata!",ADDRESS(INDEX($J$2:$J$1001,MATCH(ROWS($H$2:H865),$H$2:$H$1001,0),0),1)),INDEX($M$2:$M$1001,MATCH(ROWS($H$2:H865),$H$2:$H$1001,0),0)))</f>
        <v>0</v>
      </c>
      <c r="B865" s="3">
        <f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>0</v>
      </c>
      <c r="C865" s="3">
        <f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>0</v>
      </c>
      <c r="D865" s="3">
        <f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>0</v>
      </c>
      <c r="H865">
        <v>0</v>
      </c>
      <c r="I865">
        <v>0</v>
      </c>
      <c r="J865">
        <v>0</v>
      </c>
      <c r="K865">
        <f>IF(L865,TRUE,AND(O865:Q865))</f>
        <v>0</v>
      </c>
      <c r="L865">
        <f>COUNTBLANK(Metadata!B865:D865)=COLUMNS(Metadata!B865:D865)</f>
        <v>0</v>
      </c>
      <c r="M865">
        <v>0</v>
      </c>
      <c r="O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>
        <f>AND(IF(Metadata!C865="",FALSE,TRUE),exact(Metadata!C865,"rat metagenome"))</f>
        <v>0</v>
      </c>
      <c r="Q865">
        <f>AND(IF(Metadata!D865="",FALSE,TRUE),exact(Metadata!D865,"1427740"))</f>
        <v>0</v>
      </c>
    </row>
    <row r="866" spans="1:17">
      <c r="A866" s="4">
        <f>IF(B866=" "," ",HYPERLINK(CONCATENATE("#metadata!",ADDRESS(INDEX($J$2:$J$1001,MATCH(ROWS($H$2:H866),$H$2:$H$1001,0),0),1)),INDEX($M$2:$M$1001,MATCH(ROWS($H$2:H866),$H$2:$H$1001,0),0)))</f>
        <v>0</v>
      </c>
      <c r="B866" s="3">
        <f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>0</v>
      </c>
      <c r="C866" s="3">
        <f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>0</v>
      </c>
      <c r="D866" s="3">
        <f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>0</v>
      </c>
      <c r="H866">
        <v>0</v>
      </c>
      <c r="I866">
        <v>0</v>
      </c>
      <c r="J866">
        <v>0</v>
      </c>
      <c r="K866">
        <f>IF(L866,TRUE,AND(O866:Q866))</f>
        <v>0</v>
      </c>
      <c r="L866">
        <f>COUNTBLANK(Metadata!B866:D866)=COLUMNS(Metadata!B866:D866)</f>
        <v>0</v>
      </c>
      <c r="M866">
        <v>0</v>
      </c>
      <c r="O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>
        <f>AND(IF(Metadata!C866="",FALSE,TRUE),exact(Metadata!C866,"rat metagenome"))</f>
        <v>0</v>
      </c>
      <c r="Q866">
        <f>AND(IF(Metadata!D866="",FALSE,TRUE),exact(Metadata!D866,"1427740"))</f>
        <v>0</v>
      </c>
    </row>
    <row r="867" spans="1:17">
      <c r="A867" s="4">
        <f>IF(B867=" "," ",HYPERLINK(CONCATENATE("#metadata!",ADDRESS(INDEX($J$2:$J$1001,MATCH(ROWS($H$2:H867),$H$2:$H$1001,0),0),1)),INDEX($M$2:$M$1001,MATCH(ROWS($H$2:H867),$H$2:$H$1001,0),0)))</f>
        <v>0</v>
      </c>
      <c r="B867" s="3">
        <f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>0</v>
      </c>
      <c r="C867" s="3">
        <f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>0</v>
      </c>
      <c r="D867" s="3">
        <f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>0</v>
      </c>
      <c r="H867">
        <v>0</v>
      </c>
      <c r="I867">
        <v>0</v>
      </c>
      <c r="J867">
        <v>0</v>
      </c>
      <c r="K867">
        <f>IF(L867,TRUE,AND(O867:Q867))</f>
        <v>0</v>
      </c>
      <c r="L867">
        <f>COUNTBLANK(Metadata!B867:D867)=COLUMNS(Metadata!B867:D867)</f>
        <v>0</v>
      </c>
      <c r="M867">
        <v>0</v>
      </c>
      <c r="O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>
        <f>AND(IF(Metadata!C867="",FALSE,TRUE),exact(Metadata!C867,"rat metagenome"))</f>
        <v>0</v>
      </c>
      <c r="Q867">
        <f>AND(IF(Metadata!D867="",FALSE,TRUE),exact(Metadata!D867,"1427740"))</f>
        <v>0</v>
      </c>
    </row>
    <row r="868" spans="1:17">
      <c r="A868" s="4">
        <f>IF(B868=" "," ",HYPERLINK(CONCATENATE("#metadata!",ADDRESS(INDEX($J$2:$J$1001,MATCH(ROWS($H$2:H868),$H$2:$H$1001,0),0),1)),INDEX($M$2:$M$1001,MATCH(ROWS($H$2:H868),$H$2:$H$1001,0),0)))</f>
        <v>0</v>
      </c>
      <c r="B868" s="3">
        <f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>0</v>
      </c>
      <c r="C868" s="3">
        <f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>0</v>
      </c>
      <c r="D868" s="3">
        <f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>0</v>
      </c>
      <c r="H868">
        <v>0</v>
      </c>
      <c r="I868">
        <v>0</v>
      </c>
      <c r="J868">
        <v>0</v>
      </c>
      <c r="K868">
        <f>IF(L868,TRUE,AND(O868:Q868))</f>
        <v>0</v>
      </c>
      <c r="L868">
        <f>COUNTBLANK(Metadata!B868:D868)=COLUMNS(Metadata!B868:D868)</f>
        <v>0</v>
      </c>
      <c r="M868">
        <v>0</v>
      </c>
      <c r="O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>
        <f>AND(IF(Metadata!C868="",FALSE,TRUE),exact(Metadata!C868,"rat metagenome"))</f>
        <v>0</v>
      </c>
      <c r="Q868">
        <f>AND(IF(Metadata!D868="",FALSE,TRUE),exact(Metadata!D868,"1427740"))</f>
        <v>0</v>
      </c>
    </row>
    <row r="869" spans="1:17">
      <c r="A869" s="4">
        <f>IF(B869=" "," ",HYPERLINK(CONCATENATE("#metadata!",ADDRESS(INDEX($J$2:$J$1001,MATCH(ROWS($H$2:H869),$H$2:$H$1001,0),0),1)),INDEX($M$2:$M$1001,MATCH(ROWS($H$2:H869),$H$2:$H$1001,0),0)))</f>
        <v>0</v>
      </c>
      <c r="B869" s="3">
        <f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>0</v>
      </c>
      <c r="C869" s="3">
        <f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>0</v>
      </c>
      <c r="D869" s="3">
        <f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>0</v>
      </c>
      <c r="H869">
        <v>0</v>
      </c>
      <c r="I869">
        <v>0</v>
      </c>
      <c r="J869">
        <v>0</v>
      </c>
      <c r="K869">
        <f>IF(L869,TRUE,AND(O869:Q869))</f>
        <v>0</v>
      </c>
      <c r="L869">
        <f>COUNTBLANK(Metadata!B869:D869)=COLUMNS(Metadata!B869:D869)</f>
        <v>0</v>
      </c>
      <c r="M869">
        <v>0</v>
      </c>
      <c r="O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>
        <f>AND(IF(Metadata!C869="",FALSE,TRUE),exact(Metadata!C869,"rat metagenome"))</f>
        <v>0</v>
      </c>
      <c r="Q869">
        <f>AND(IF(Metadata!D869="",FALSE,TRUE),exact(Metadata!D869,"1427740"))</f>
        <v>0</v>
      </c>
    </row>
    <row r="870" spans="1:17">
      <c r="A870" s="4">
        <f>IF(B870=" "," ",HYPERLINK(CONCATENATE("#metadata!",ADDRESS(INDEX($J$2:$J$1001,MATCH(ROWS($H$2:H870),$H$2:$H$1001,0),0),1)),INDEX($M$2:$M$1001,MATCH(ROWS($H$2:H870),$H$2:$H$1001,0),0)))</f>
        <v>0</v>
      </c>
      <c r="B870" s="3">
        <f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>0</v>
      </c>
      <c r="C870" s="3">
        <f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>0</v>
      </c>
      <c r="D870" s="3">
        <f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>0</v>
      </c>
      <c r="H870">
        <v>0</v>
      </c>
      <c r="I870">
        <v>0</v>
      </c>
      <c r="J870">
        <v>0</v>
      </c>
      <c r="K870">
        <f>IF(L870,TRUE,AND(O870:Q870))</f>
        <v>0</v>
      </c>
      <c r="L870">
        <f>COUNTBLANK(Metadata!B870:D870)=COLUMNS(Metadata!B870:D870)</f>
        <v>0</v>
      </c>
      <c r="M870">
        <v>0</v>
      </c>
      <c r="O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>
        <f>AND(IF(Metadata!C870="",FALSE,TRUE),exact(Metadata!C870,"rat metagenome"))</f>
        <v>0</v>
      </c>
      <c r="Q870">
        <f>AND(IF(Metadata!D870="",FALSE,TRUE),exact(Metadata!D870,"1427740"))</f>
        <v>0</v>
      </c>
    </row>
    <row r="871" spans="1:17">
      <c r="A871" s="4">
        <f>IF(B871=" "," ",HYPERLINK(CONCATENATE("#metadata!",ADDRESS(INDEX($J$2:$J$1001,MATCH(ROWS($H$2:H871),$H$2:$H$1001,0),0),1)),INDEX($M$2:$M$1001,MATCH(ROWS($H$2:H871),$H$2:$H$1001,0),0)))</f>
        <v>0</v>
      </c>
      <c r="B871" s="3">
        <f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>0</v>
      </c>
      <c r="C871" s="3">
        <f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>0</v>
      </c>
      <c r="D871" s="3">
        <f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>0</v>
      </c>
      <c r="H871">
        <v>0</v>
      </c>
      <c r="I871">
        <v>0</v>
      </c>
      <c r="J871">
        <v>0</v>
      </c>
      <c r="K871">
        <f>IF(L871,TRUE,AND(O871:Q871))</f>
        <v>0</v>
      </c>
      <c r="L871">
        <f>COUNTBLANK(Metadata!B871:D871)=COLUMNS(Metadata!B871:D871)</f>
        <v>0</v>
      </c>
      <c r="M871">
        <v>0</v>
      </c>
      <c r="O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>
        <f>AND(IF(Metadata!C871="",FALSE,TRUE),exact(Metadata!C871,"rat metagenome"))</f>
        <v>0</v>
      </c>
      <c r="Q871">
        <f>AND(IF(Metadata!D871="",FALSE,TRUE),exact(Metadata!D871,"1427740"))</f>
        <v>0</v>
      </c>
    </row>
    <row r="872" spans="1:17">
      <c r="A872" s="4">
        <f>IF(B872=" "," ",HYPERLINK(CONCATENATE("#metadata!",ADDRESS(INDEX($J$2:$J$1001,MATCH(ROWS($H$2:H872),$H$2:$H$1001,0),0),1)),INDEX($M$2:$M$1001,MATCH(ROWS($H$2:H872),$H$2:$H$1001,0),0)))</f>
        <v>0</v>
      </c>
      <c r="B872" s="3">
        <f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>0</v>
      </c>
      <c r="C872" s="3">
        <f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>0</v>
      </c>
      <c r="D872" s="3">
        <f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>0</v>
      </c>
      <c r="H872">
        <v>0</v>
      </c>
      <c r="I872">
        <v>0</v>
      </c>
      <c r="J872">
        <v>0</v>
      </c>
      <c r="K872">
        <f>IF(L872,TRUE,AND(O872:Q872))</f>
        <v>0</v>
      </c>
      <c r="L872">
        <f>COUNTBLANK(Metadata!B872:D872)=COLUMNS(Metadata!B872:D872)</f>
        <v>0</v>
      </c>
      <c r="M872">
        <v>0</v>
      </c>
      <c r="O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>
        <f>AND(IF(Metadata!C872="",FALSE,TRUE),exact(Metadata!C872,"rat metagenome"))</f>
        <v>0</v>
      </c>
      <c r="Q872">
        <f>AND(IF(Metadata!D872="",FALSE,TRUE),exact(Metadata!D872,"1427740"))</f>
        <v>0</v>
      </c>
    </row>
    <row r="873" spans="1:17">
      <c r="A873" s="4">
        <f>IF(B873=" "," ",HYPERLINK(CONCATENATE("#metadata!",ADDRESS(INDEX($J$2:$J$1001,MATCH(ROWS($H$2:H873),$H$2:$H$1001,0),0),1)),INDEX($M$2:$M$1001,MATCH(ROWS($H$2:H873),$H$2:$H$1001,0),0)))</f>
        <v>0</v>
      </c>
      <c r="B873" s="3">
        <f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>0</v>
      </c>
      <c r="C873" s="3">
        <f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>0</v>
      </c>
      <c r="D873" s="3">
        <f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>0</v>
      </c>
      <c r="H873">
        <v>0</v>
      </c>
      <c r="I873">
        <v>0</v>
      </c>
      <c r="J873">
        <v>0</v>
      </c>
      <c r="K873">
        <f>IF(L873,TRUE,AND(O873:Q873))</f>
        <v>0</v>
      </c>
      <c r="L873">
        <f>COUNTBLANK(Metadata!B873:D873)=COLUMNS(Metadata!B873:D873)</f>
        <v>0</v>
      </c>
      <c r="M873">
        <v>0</v>
      </c>
      <c r="O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>
        <f>AND(IF(Metadata!C873="",FALSE,TRUE),exact(Metadata!C873,"rat metagenome"))</f>
        <v>0</v>
      </c>
      <c r="Q873">
        <f>AND(IF(Metadata!D873="",FALSE,TRUE),exact(Metadata!D873,"1427740"))</f>
        <v>0</v>
      </c>
    </row>
    <row r="874" spans="1:17">
      <c r="A874" s="4">
        <f>IF(B874=" "," ",HYPERLINK(CONCATENATE("#metadata!",ADDRESS(INDEX($J$2:$J$1001,MATCH(ROWS($H$2:H874),$H$2:$H$1001,0),0),1)),INDEX($M$2:$M$1001,MATCH(ROWS($H$2:H874),$H$2:$H$1001,0),0)))</f>
        <v>0</v>
      </c>
      <c r="B874" s="3">
        <f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>0</v>
      </c>
      <c r="C874" s="3">
        <f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>0</v>
      </c>
      <c r="D874" s="3">
        <f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>0</v>
      </c>
      <c r="H874">
        <v>0</v>
      </c>
      <c r="I874">
        <v>0</v>
      </c>
      <c r="J874">
        <v>0</v>
      </c>
      <c r="K874">
        <f>IF(L874,TRUE,AND(O874:Q874))</f>
        <v>0</v>
      </c>
      <c r="L874">
        <f>COUNTBLANK(Metadata!B874:D874)=COLUMNS(Metadata!B874:D874)</f>
        <v>0</v>
      </c>
      <c r="M874">
        <v>0</v>
      </c>
      <c r="O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>
        <f>AND(IF(Metadata!C874="",FALSE,TRUE),exact(Metadata!C874,"rat metagenome"))</f>
        <v>0</v>
      </c>
      <c r="Q874">
        <f>AND(IF(Metadata!D874="",FALSE,TRUE),exact(Metadata!D874,"1427740"))</f>
        <v>0</v>
      </c>
    </row>
    <row r="875" spans="1:17">
      <c r="A875" s="4">
        <f>IF(B875=" "," ",HYPERLINK(CONCATENATE("#metadata!",ADDRESS(INDEX($J$2:$J$1001,MATCH(ROWS($H$2:H875),$H$2:$H$1001,0),0),1)),INDEX($M$2:$M$1001,MATCH(ROWS($H$2:H875),$H$2:$H$1001,0),0)))</f>
        <v>0</v>
      </c>
      <c r="B875" s="3">
        <f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>0</v>
      </c>
      <c r="C875" s="3">
        <f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>0</v>
      </c>
      <c r="D875" s="3">
        <f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>0</v>
      </c>
      <c r="H875">
        <v>0</v>
      </c>
      <c r="I875">
        <v>0</v>
      </c>
      <c r="J875">
        <v>0</v>
      </c>
      <c r="K875">
        <f>IF(L875,TRUE,AND(O875:Q875))</f>
        <v>0</v>
      </c>
      <c r="L875">
        <f>COUNTBLANK(Metadata!B875:D875)=COLUMNS(Metadata!B875:D875)</f>
        <v>0</v>
      </c>
      <c r="M875">
        <v>0</v>
      </c>
      <c r="O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>
        <f>AND(IF(Metadata!C875="",FALSE,TRUE),exact(Metadata!C875,"rat metagenome"))</f>
        <v>0</v>
      </c>
      <c r="Q875">
        <f>AND(IF(Metadata!D875="",FALSE,TRUE),exact(Metadata!D875,"1427740"))</f>
        <v>0</v>
      </c>
    </row>
    <row r="876" spans="1:17">
      <c r="A876" s="4">
        <f>IF(B876=" "," ",HYPERLINK(CONCATENATE("#metadata!",ADDRESS(INDEX($J$2:$J$1001,MATCH(ROWS($H$2:H876),$H$2:$H$1001,0),0),1)),INDEX($M$2:$M$1001,MATCH(ROWS($H$2:H876),$H$2:$H$1001,0),0)))</f>
        <v>0</v>
      </c>
      <c r="B876" s="3">
        <f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>0</v>
      </c>
      <c r="C876" s="3">
        <f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>0</v>
      </c>
      <c r="D876" s="3">
        <f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>0</v>
      </c>
      <c r="H876">
        <v>0</v>
      </c>
      <c r="I876">
        <v>0</v>
      </c>
      <c r="J876">
        <v>0</v>
      </c>
      <c r="K876">
        <f>IF(L876,TRUE,AND(O876:Q876))</f>
        <v>0</v>
      </c>
      <c r="L876">
        <f>COUNTBLANK(Metadata!B876:D876)=COLUMNS(Metadata!B876:D876)</f>
        <v>0</v>
      </c>
      <c r="M876">
        <v>0</v>
      </c>
      <c r="O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>
        <f>AND(IF(Metadata!C876="",FALSE,TRUE),exact(Metadata!C876,"rat metagenome"))</f>
        <v>0</v>
      </c>
      <c r="Q876">
        <f>AND(IF(Metadata!D876="",FALSE,TRUE),exact(Metadata!D876,"1427740"))</f>
        <v>0</v>
      </c>
    </row>
    <row r="877" spans="1:17">
      <c r="A877" s="4">
        <f>IF(B877=" "," ",HYPERLINK(CONCATENATE("#metadata!",ADDRESS(INDEX($J$2:$J$1001,MATCH(ROWS($H$2:H877),$H$2:$H$1001,0),0),1)),INDEX($M$2:$M$1001,MATCH(ROWS($H$2:H877),$H$2:$H$1001,0),0)))</f>
        <v>0</v>
      </c>
      <c r="B877" s="3">
        <f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>0</v>
      </c>
      <c r="C877" s="3">
        <f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>0</v>
      </c>
      <c r="D877" s="3">
        <f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>0</v>
      </c>
      <c r="H877">
        <v>0</v>
      </c>
      <c r="I877">
        <v>0</v>
      </c>
      <c r="J877">
        <v>0</v>
      </c>
      <c r="K877">
        <f>IF(L877,TRUE,AND(O877:Q877))</f>
        <v>0</v>
      </c>
      <c r="L877">
        <f>COUNTBLANK(Metadata!B877:D877)=COLUMNS(Metadata!B877:D877)</f>
        <v>0</v>
      </c>
      <c r="M877">
        <v>0</v>
      </c>
      <c r="O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>
        <f>AND(IF(Metadata!C877="",FALSE,TRUE),exact(Metadata!C877,"rat metagenome"))</f>
        <v>0</v>
      </c>
      <c r="Q877">
        <f>AND(IF(Metadata!D877="",FALSE,TRUE),exact(Metadata!D877,"1427740"))</f>
        <v>0</v>
      </c>
    </row>
    <row r="878" spans="1:17">
      <c r="A878" s="4">
        <f>IF(B878=" "," ",HYPERLINK(CONCATENATE("#metadata!",ADDRESS(INDEX($J$2:$J$1001,MATCH(ROWS($H$2:H878),$H$2:$H$1001,0),0),1)),INDEX($M$2:$M$1001,MATCH(ROWS($H$2:H878),$H$2:$H$1001,0),0)))</f>
        <v>0</v>
      </c>
      <c r="B878" s="3">
        <f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>0</v>
      </c>
      <c r="C878" s="3">
        <f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>0</v>
      </c>
      <c r="D878" s="3">
        <f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>0</v>
      </c>
      <c r="H878">
        <v>0</v>
      </c>
      <c r="I878">
        <v>0</v>
      </c>
      <c r="J878">
        <v>0</v>
      </c>
      <c r="K878">
        <f>IF(L878,TRUE,AND(O878:Q878))</f>
        <v>0</v>
      </c>
      <c r="L878">
        <f>COUNTBLANK(Metadata!B878:D878)=COLUMNS(Metadata!B878:D878)</f>
        <v>0</v>
      </c>
      <c r="M878">
        <v>0</v>
      </c>
      <c r="O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>
        <f>AND(IF(Metadata!C878="",FALSE,TRUE),exact(Metadata!C878,"rat metagenome"))</f>
        <v>0</v>
      </c>
      <c r="Q878">
        <f>AND(IF(Metadata!D878="",FALSE,TRUE),exact(Metadata!D878,"1427740"))</f>
        <v>0</v>
      </c>
    </row>
    <row r="879" spans="1:17">
      <c r="A879" s="4">
        <f>IF(B879=" "," ",HYPERLINK(CONCATENATE("#metadata!",ADDRESS(INDEX($J$2:$J$1001,MATCH(ROWS($H$2:H879),$H$2:$H$1001,0),0),1)),INDEX($M$2:$M$1001,MATCH(ROWS($H$2:H879),$H$2:$H$1001,0),0)))</f>
        <v>0</v>
      </c>
      <c r="B879" s="3">
        <f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>0</v>
      </c>
      <c r="C879" s="3">
        <f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>0</v>
      </c>
      <c r="D879" s="3">
        <f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>0</v>
      </c>
      <c r="H879">
        <v>0</v>
      </c>
      <c r="I879">
        <v>0</v>
      </c>
      <c r="J879">
        <v>0</v>
      </c>
      <c r="K879">
        <f>IF(L879,TRUE,AND(O879:Q879))</f>
        <v>0</v>
      </c>
      <c r="L879">
        <f>COUNTBLANK(Metadata!B879:D879)=COLUMNS(Metadata!B879:D879)</f>
        <v>0</v>
      </c>
      <c r="M879">
        <v>0</v>
      </c>
      <c r="O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>
        <f>AND(IF(Metadata!C879="",FALSE,TRUE),exact(Metadata!C879,"rat metagenome"))</f>
        <v>0</v>
      </c>
      <c r="Q879">
        <f>AND(IF(Metadata!D879="",FALSE,TRUE),exact(Metadata!D879,"1427740"))</f>
        <v>0</v>
      </c>
    </row>
    <row r="880" spans="1:17">
      <c r="A880" s="4">
        <f>IF(B880=" "," ",HYPERLINK(CONCATENATE("#metadata!",ADDRESS(INDEX($J$2:$J$1001,MATCH(ROWS($H$2:H880),$H$2:$H$1001,0),0),1)),INDEX($M$2:$M$1001,MATCH(ROWS($H$2:H880),$H$2:$H$1001,0),0)))</f>
        <v>0</v>
      </c>
      <c r="B880" s="3">
        <f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>0</v>
      </c>
      <c r="C880" s="3">
        <f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>0</v>
      </c>
      <c r="D880" s="3">
        <f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>0</v>
      </c>
      <c r="H880">
        <v>0</v>
      </c>
      <c r="I880">
        <v>0</v>
      </c>
      <c r="J880">
        <v>0</v>
      </c>
      <c r="K880">
        <f>IF(L880,TRUE,AND(O880:Q880))</f>
        <v>0</v>
      </c>
      <c r="L880">
        <f>COUNTBLANK(Metadata!B880:D880)=COLUMNS(Metadata!B880:D880)</f>
        <v>0</v>
      </c>
      <c r="M880">
        <v>0</v>
      </c>
      <c r="O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>
        <f>AND(IF(Metadata!C880="",FALSE,TRUE),exact(Metadata!C880,"rat metagenome"))</f>
        <v>0</v>
      </c>
      <c r="Q880">
        <f>AND(IF(Metadata!D880="",FALSE,TRUE),exact(Metadata!D880,"1427740"))</f>
        <v>0</v>
      </c>
    </row>
    <row r="881" spans="1:17">
      <c r="A881" s="4">
        <f>IF(B881=" "," ",HYPERLINK(CONCATENATE("#metadata!",ADDRESS(INDEX($J$2:$J$1001,MATCH(ROWS($H$2:H881),$H$2:$H$1001,0),0),1)),INDEX($M$2:$M$1001,MATCH(ROWS($H$2:H881),$H$2:$H$1001,0),0)))</f>
        <v>0</v>
      </c>
      <c r="B881" s="3">
        <f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>0</v>
      </c>
      <c r="C881" s="3">
        <f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>0</v>
      </c>
      <c r="D881" s="3">
        <f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>0</v>
      </c>
      <c r="H881">
        <v>0</v>
      </c>
      <c r="I881">
        <v>0</v>
      </c>
      <c r="J881">
        <v>0</v>
      </c>
      <c r="K881">
        <f>IF(L881,TRUE,AND(O881:Q881))</f>
        <v>0</v>
      </c>
      <c r="L881">
        <f>COUNTBLANK(Metadata!B881:D881)=COLUMNS(Metadata!B881:D881)</f>
        <v>0</v>
      </c>
      <c r="M881">
        <v>0</v>
      </c>
      <c r="O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>
        <f>AND(IF(Metadata!C881="",FALSE,TRUE),exact(Metadata!C881,"rat metagenome"))</f>
        <v>0</v>
      </c>
      <c r="Q881">
        <f>AND(IF(Metadata!D881="",FALSE,TRUE),exact(Metadata!D881,"1427740"))</f>
        <v>0</v>
      </c>
    </row>
    <row r="882" spans="1:17">
      <c r="A882" s="4">
        <f>IF(B882=" "," ",HYPERLINK(CONCATENATE("#metadata!",ADDRESS(INDEX($J$2:$J$1001,MATCH(ROWS($H$2:H882),$H$2:$H$1001,0),0),1)),INDEX($M$2:$M$1001,MATCH(ROWS($H$2:H882),$H$2:$H$1001,0),0)))</f>
        <v>0</v>
      </c>
      <c r="B882" s="3">
        <f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>0</v>
      </c>
      <c r="C882" s="3">
        <f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>0</v>
      </c>
      <c r="D882" s="3">
        <f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>0</v>
      </c>
      <c r="H882">
        <v>0</v>
      </c>
      <c r="I882">
        <v>0</v>
      </c>
      <c r="J882">
        <v>0</v>
      </c>
      <c r="K882">
        <f>IF(L882,TRUE,AND(O882:Q882))</f>
        <v>0</v>
      </c>
      <c r="L882">
        <f>COUNTBLANK(Metadata!B882:D882)=COLUMNS(Metadata!B882:D882)</f>
        <v>0</v>
      </c>
      <c r="M882">
        <v>0</v>
      </c>
      <c r="O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>
        <f>AND(IF(Metadata!C882="",FALSE,TRUE),exact(Metadata!C882,"rat metagenome"))</f>
        <v>0</v>
      </c>
      <c r="Q882">
        <f>AND(IF(Metadata!D882="",FALSE,TRUE),exact(Metadata!D882,"1427740"))</f>
        <v>0</v>
      </c>
    </row>
    <row r="883" spans="1:17">
      <c r="A883" s="4">
        <f>IF(B883=" "," ",HYPERLINK(CONCATENATE("#metadata!",ADDRESS(INDEX($J$2:$J$1001,MATCH(ROWS($H$2:H883),$H$2:$H$1001,0),0),1)),INDEX($M$2:$M$1001,MATCH(ROWS($H$2:H883),$H$2:$H$1001,0),0)))</f>
        <v>0</v>
      </c>
      <c r="B883" s="3">
        <f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>0</v>
      </c>
      <c r="C883" s="3">
        <f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>0</v>
      </c>
      <c r="D883" s="3">
        <f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>0</v>
      </c>
      <c r="H883">
        <v>0</v>
      </c>
      <c r="I883">
        <v>0</v>
      </c>
      <c r="J883">
        <v>0</v>
      </c>
      <c r="K883">
        <f>IF(L883,TRUE,AND(O883:Q883))</f>
        <v>0</v>
      </c>
      <c r="L883">
        <f>COUNTBLANK(Metadata!B883:D883)=COLUMNS(Metadata!B883:D883)</f>
        <v>0</v>
      </c>
      <c r="M883">
        <v>0</v>
      </c>
      <c r="O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>
        <f>AND(IF(Metadata!C883="",FALSE,TRUE),exact(Metadata!C883,"rat metagenome"))</f>
        <v>0</v>
      </c>
      <c r="Q883">
        <f>AND(IF(Metadata!D883="",FALSE,TRUE),exact(Metadata!D883,"1427740"))</f>
        <v>0</v>
      </c>
    </row>
    <row r="884" spans="1:17">
      <c r="A884" s="4">
        <f>IF(B884=" "," ",HYPERLINK(CONCATENATE("#metadata!",ADDRESS(INDEX($J$2:$J$1001,MATCH(ROWS($H$2:H884),$H$2:$H$1001,0),0),1)),INDEX($M$2:$M$1001,MATCH(ROWS($H$2:H884),$H$2:$H$1001,0),0)))</f>
        <v>0</v>
      </c>
      <c r="B884" s="3">
        <f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>0</v>
      </c>
      <c r="C884" s="3">
        <f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>0</v>
      </c>
      <c r="D884" s="3">
        <f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>0</v>
      </c>
      <c r="H884">
        <v>0</v>
      </c>
      <c r="I884">
        <v>0</v>
      </c>
      <c r="J884">
        <v>0</v>
      </c>
      <c r="K884">
        <f>IF(L884,TRUE,AND(O884:Q884))</f>
        <v>0</v>
      </c>
      <c r="L884">
        <f>COUNTBLANK(Metadata!B884:D884)=COLUMNS(Metadata!B884:D884)</f>
        <v>0</v>
      </c>
      <c r="M884">
        <v>0</v>
      </c>
      <c r="O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>
        <f>AND(IF(Metadata!C884="",FALSE,TRUE),exact(Metadata!C884,"rat metagenome"))</f>
        <v>0</v>
      </c>
      <c r="Q884">
        <f>AND(IF(Metadata!D884="",FALSE,TRUE),exact(Metadata!D884,"1427740"))</f>
        <v>0</v>
      </c>
    </row>
    <row r="885" spans="1:17">
      <c r="A885" s="4">
        <f>IF(B885=" "," ",HYPERLINK(CONCATENATE("#metadata!",ADDRESS(INDEX($J$2:$J$1001,MATCH(ROWS($H$2:H885),$H$2:$H$1001,0),0),1)),INDEX($M$2:$M$1001,MATCH(ROWS($H$2:H885),$H$2:$H$1001,0),0)))</f>
        <v>0</v>
      </c>
      <c r="B885" s="3">
        <f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>0</v>
      </c>
      <c r="C885" s="3">
        <f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>0</v>
      </c>
      <c r="D885" s="3">
        <f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>0</v>
      </c>
      <c r="H885">
        <v>0</v>
      </c>
      <c r="I885">
        <v>0</v>
      </c>
      <c r="J885">
        <v>0</v>
      </c>
      <c r="K885">
        <f>IF(L885,TRUE,AND(O885:Q885))</f>
        <v>0</v>
      </c>
      <c r="L885">
        <f>COUNTBLANK(Metadata!B885:D885)=COLUMNS(Metadata!B885:D885)</f>
        <v>0</v>
      </c>
      <c r="M885">
        <v>0</v>
      </c>
      <c r="O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>
        <f>AND(IF(Metadata!C885="",FALSE,TRUE),exact(Metadata!C885,"rat metagenome"))</f>
        <v>0</v>
      </c>
      <c r="Q885">
        <f>AND(IF(Metadata!D885="",FALSE,TRUE),exact(Metadata!D885,"1427740"))</f>
        <v>0</v>
      </c>
    </row>
    <row r="886" spans="1:17">
      <c r="A886" s="4">
        <f>IF(B886=" "," ",HYPERLINK(CONCATENATE("#metadata!",ADDRESS(INDEX($J$2:$J$1001,MATCH(ROWS($H$2:H886),$H$2:$H$1001,0),0),1)),INDEX($M$2:$M$1001,MATCH(ROWS($H$2:H886),$H$2:$H$1001,0),0)))</f>
        <v>0</v>
      </c>
      <c r="B886" s="3">
        <f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>0</v>
      </c>
      <c r="C886" s="3">
        <f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>0</v>
      </c>
      <c r="D886" s="3">
        <f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>0</v>
      </c>
      <c r="H886">
        <v>0</v>
      </c>
      <c r="I886">
        <v>0</v>
      </c>
      <c r="J886">
        <v>0</v>
      </c>
      <c r="K886">
        <f>IF(L886,TRUE,AND(O886:Q886))</f>
        <v>0</v>
      </c>
      <c r="L886">
        <f>COUNTBLANK(Metadata!B886:D886)=COLUMNS(Metadata!B886:D886)</f>
        <v>0</v>
      </c>
      <c r="M886">
        <v>0</v>
      </c>
      <c r="O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>
        <f>AND(IF(Metadata!C886="",FALSE,TRUE),exact(Metadata!C886,"rat metagenome"))</f>
        <v>0</v>
      </c>
      <c r="Q886">
        <f>AND(IF(Metadata!D886="",FALSE,TRUE),exact(Metadata!D886,"1427740"))</f>
        <v>0</v>
      </c>
    </row>
    <row r="887" spans="1:17">
      <c r="A887" s="4">
        <f>IF(B887=" "," ",HYPERLINK(CONCATENATE("#metadata!",ADDRESS(INDEX($J$2:$J$1001,MATCH(ROWS($H$2:H887),$H$2:$H$1001,0),0),1)),INDEX($M$2:$M$1001,MATCH(ROWS($H$2:H887),$H$2:$H$1001,0),0)))</f>
        <v>0</v>
      </c>
      <c r="B887" s="3">
        <f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>0</v>
      </c>
      <c r="C887" s="3">
        <f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>0</v>
      </c>
      <c r="D887" s="3">
        <f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>0</v>
      </c>
      <c r="H887">
        <v>0</v>
      </c>
      <c r="I887">
        <v>0</v>
      </c>
      <c r="J887">
        <v>0</v>
      </c>
      <c r="K887">
        <f>IF(L887,TRUE,AND(O887:Q887))</f>
        <v>0</v>
      </c>
      <c r="L887">
        <f>COUNTBLANK(Metadata!B887:D887)=COLUMNS(Metadata!B887:D887)</f>
        <v>0</v>
      </c>
      <c r="M887">
        <v>0</v>
      </c>
      <c r="O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>
        <f>AND(IF(Metadata!C887="",FALSE,TRUE),exact(Metadata!C887,"rat metagenome"))</f>
        <v>0</v>
      </c>
      <c r="Q887">
        <f>AND(IF(Metadata!D887="",FALSE,TRUE),exact(Metadata!D887,"1427740"))</f>
        <v>0</v>
      </c>
    </row>
    <row r="888" spans="1:17">
      <c r="A888" s="4">
        <f>IF(B888=" "," ",HYPERLINK(CONCATENATE("#metadata!",ADDRESS(INDEX($J$2:$J$1001,MATCH(ROWS($H$2:H888),$H$2:$H$1001,0),0),1)),INDEX($M$2:$M$1001,MATCH(ROWS($H$2:H888),$H$2:$H$1001,0),0)))</f>
        <v>0</v>
      </c>
      <c r="B888" s="3">
        <f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>0</v>
      </c>
      <c r="C888" s="3">
        <f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>0</v>
      </c>
      <c r="D888" s="3">
        <f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>0</v>
      </c>
      <c r="H888">
        <v>0</v>
      </c>
      <c r="I888">
        <v>0</v>
      </c>
      <c r="J888">
        <v>0</v>
      </c>
      <c r="K888">
        <f>IF(L888,TRUE,AND(O888:Q888))</f>
        <v>0</v>
      </c>
      <c r="L888">
        <f>COUNTBLANK(Metadata!B888:D888)=COLUMNS(Metadata!B888:D888)</f>
        <v>0</v>
      </c>
      <c r="M888">
        <v>0</v>
      </c>
      <c r="O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>
        <f>AND(IF(Metadata!C888="",FALSE,TRUE),exact(Metadata!C888,"rat metagenome"))</f>
        <v>0</v>
      </c>
      <c r="Q888">
        <f>AND(IF(Metadata!D888="",FALSE,TRUE),exact(Metadata!D888,"1427740"))</f>
        <v>0</v>
      </c>
    </row>
    <row r="889" spans="1:17">
      <c r="A889" s="4">
        <f>IF(B889=" "," ",HYPERLINK(CONCATENATE("#metadata!",ADDRESS(INDEX($J$2:$J$1001,MATCH(ROWS($H$2:H889),$H$2:$H$1001,0),0),1)),INDEX($M$2:$M$1001,MATCH(ROWS($H$2:H889),$H$2:$H$1001,0),0)))</f>
        <v>0</v>
      </c>
      <c r="B889" s="3">
        <f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>0</v>
      </c>
      <c r="C889" s="3">
        <f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>0</v>
      </c>
      <c r="D889" s="3">
        <f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>0</v>
      </c>
      <c r="H889">
        <v>0</v>
      </c>
      <c r="I889">
        <v>0</v>
      </c>
      <c r="J889">
        <v>0</v>
      </c>
      <c r="K889">
        <f>IF(L889,TRUE,AND(O889:Q889))</f>
        <v>0</v>
      </c>
      <c r="L889">
        <f>COUNTBLANK(Metadata!B889:D889)=COLUMNS(Metadata!B889:D889)</f>
        <v>0</v>
      </c>
      <c r="M889">
        <v>0</v>
      </c>
      <c r="O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>
        <f>AND(IF(Metadata!C889="",FALSE,TRUE),exact(Metadata!C889,"rat metagenome"))</f>
        <v>0</v>
      </c>
      <c r="Q889">
        <f>AND(IF(Metadata!D889="",FALSE,TRUE),exact(Metadata!D889,"1427740"))</f>
        <v>0</v>
      </c>
    </row>
    <row r="890" spans="1:17">
      <c r="A890" s="4">
        <f>IF(B890=" "," ",HYPERLINK(CONCATENATE("#metadata!",ADDRESS(INDEX($J$2:$J$1001,MATCH(ROWS($H$2:H890),$H$2:$H$1001,0),0),1)),INDEX($M$2:$M$1001,MATCH(ROWS($H$2:H890),$H$2:$H$1001,0),0)))</f>
        <v>0</v>
      </c>
      <c r="B890" s="3">
        <f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>0</v>
      </c>
      <c r="C890" s="3">
        <f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>0</v>
      </c>
      <c r="D890" s="3">
        <f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>0</v>
      </c>
      <c r="H890">
        <v>0</v>
      </c>
      <c r="I890">
        <v>0</v>
      </c>
      <c r="J890">
        <v>0</v>
      </c>
      <c r="K890">
        <f>IF(L890,TRUE,AND(O890:Q890))</f>
        <v>0</v>
      </c>
      <c r="L890">
        <f>COUNTBLANK(Metadata!B890:D890)=COLUMNS(Metadata!B890:D890)</f>
        <v>0</v>
      </c>
      <c r="M890">
        <v>0</v>
      </c>
      <c r="O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>
        <f>AND(IF(Metadata!C890="",FALSE,TRUE),exact(Metadata!C890,"rat metagenome"))</f>
        <v>0</v>
      </c>
      <c r="Q890">
        <f>AND(IF(Metadata!D890="",FALSE,TRUE),exact(Metadata!D890,"1427740"))</f>
        <v>0</v>
      </c>
    </row>
    <row r="891" spans="1:17">
      <c r="A891" s="4">
        <f>IF(B891=" "," ",HYPERLINK(CONCATENATE("#metadata!",ADDRESS(INDEX($J$2:$J$1001,MATCH(ROWS($H$2:H891),$H$2:$H$1001,0),0),1)),INDEX($M$2:$M$1001,MATCH(ROWS($H$2:H891),$H$2:$H$1001,0),0)))</f>
        <v>0</v>
      </c>
      <c r="B891" s="3">
        <f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>0</v>
      </c>
      <c r="C891" s="3">
        <f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>0</v>
      </c>
      <c r="D891" s="3">
        <f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>0</v>
      </c>
      <c r="H891">
        <v>0</v>
      </c>
      <c r="I891">
        <v>0</v>
      </c>
      <c r="J891">
        <v>0</v>
      </c>
      <c r="K891">
        <f>IF(L891,TRUE,AND(O891:Q891))</f>
        <v>0</v>
      </c>
      <c r="L891">
        <f>COUNTBLANK(Metadata!B891:D891)=COLUMNS(Metadata!B891:D891)</f>
        <v>0</v>
      </c>
      <c r="M891">
        <v>0</v>
      </c>
      <c r="O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>
        <f>AND(IF(Metadata!C891="",FALSE,TRUE),exact(Metadata!C891,"rat metagenome"))</f>
        <v>0</v>
      </c>
      <c r="Q891">
        <f>AND(IF(Metadata!D891="",FALSE,TRUE),exact(Metadata!D891,"1427740"))</f>
        <v>0</v>
      </c>
    </row>
    <row r="892" spans="1:17">
      <c r="A892" s="4">
        <f>IF(B892=" "," ",HYPERLINK(CONCATENATE("#metadata!",ADDRESS(INDEX($J$2:$J$1001,MATCH(ROWS($H$2:H892),$H$2:$H$1001,0),0),1)),INDEX($M$2:$M$1001,MATCH(ROWS($H$2:H892),$H$2:$H$1001,0),0)))</f>
        <v>0</v>
      </c>
      <c r="B892" s="3">
        <f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>0</v>
      </c>
      <c r="C892" s="3">
        <f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>0</v>
      </c>
      <c r="D892" s="3">
        <f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>0</v>
      </c>
      <c r="H892">
        <v>0</v>
      </c>
      <c r="I892">
        <v>0</v>
      </c>
      <c r="J892">
        <v>0</v>
      </c>
      <c r="K892">
        <f>IF(L892,TRUE,AND(O892:Q892))</f>
        <v>0</v>
      </c>
      <c r="L892">
        <f>COUNTBLANK(Metadata!B892:D892)=COLUMNS(Metadata!B892:D892)</f>
        <v>0</v>
      </c>
      <c r="M892">
        <v>0</v>
      </c>
      <c r="O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>
        <f>AND(IF(Metadata!C892="",FALSE,TRUE),exact(Metadata!C892,"rat metagenome"))</f>
        <v>0</v>
      </c>
      <c r="Q892">
        <f>AND(IF(Metadata!D892="",FALSE,TRUE),exact(Metadata!D892,"1427740"))</f>
        <v>0</v>
      </c>
    </row>
    <row r="893" spans="1:17">
      <c r="A893" s="4">
        <f>IF(B893=" "," ",HYPERLINK(CONCATENATE("#metadata!",ADDRESS(INDEX($J$2:$J$1001,MATCH(ROWS($H$2:H893),$H$2:$H$1001,0),0),1)),INDEX($M$2:$M$1001,MATCH(ROWS($H$2:H893),$H$2:$H$1001,0),0)))</f>
        <v>0</v>
      </c>
      <c r="B893" s="3">
        <f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>0</v>
      </c>
      <c r="C893" s="3">
        <f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>0</v>
      </c>
      <c r="D893" s="3">
        <f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>0</v>
      </c>
      <c r="H893">
        <v>0</v>
      </c>
      <c r="I893">
        <v>0</v>
      </c>
      <c r="J893">
        <v>0</v>
      </c>
      <c r="K893">
        <f>IF(L893,TRUE,AND(O893:Q893))</f>
        <v>0</v>
      </c>
      <c r="L893">
        <f>COUNTBLANK(Metadata!B893:D893)=COLUMNS(Metadata!B893:D893)</f>
        <v>0</v>
      </c>
      <c r="M893">
        <v>0</v>
      </c>
      <c r="O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>
        <f>AND(IF(Metadata!C893="",FALSE,TRUE),exact(Metadata!C893,"rat metagenome"))</f>
        <v>0</v>
      </c>
      <c r="Q893">
        <f>AND(IF(Metadata!D893="",FALSE,TRUE),exact(Metadata!D893,"1427740"))</f>
        <v>0</v>
      </c>
    </row>
    <row r="894" spans="1:17">
      <c r="A894" s="4">
        <f>IF(B894=" "," ",HYPERLINK(CONCATENATE("#metadata!",ADDRESS(INDEX($J$2:$J$1001,MATCH(ROWS($H$2:H894),$H$2:$H$1001,0),0),1)),INDEX($M$2:$M$1001,MATCH(ROWS($H$2:H894),$H$2:$H$1001,0),0)))</f>
        <v>0</v>
      </c>
      <c r="B894" s="3">
        <f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>0</v>
      </c>
      <c r="C894" s="3">
        <f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>0</v>
      </c>
      <c r="D894" s="3">
        <f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>0</v>
      </c>
      <c r="H894">
        <v>0</v>
      </c>
      <c r="I894">
        <v>0</v>
      </c>
      <c r="J894">
        <v>0</v>
      </c>
      <c r="K894">
        <f>IF(L894,TRUE,AND(O894:Q894))</f>
        <v>0</v>
      </c>
      <c r="L894">
        <f>COUNTBLANK(Metadata!B894:D894)=COLUMNS(Metadata!B894:D894)</f>
        <v>0</v>
      </c>
      <c r="M894">
        <v>0</v>
      </c>
      <c r="O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>
        <f>AND(IF(Metadata!C894="",FALSE,TRUE),exact(Metadata!C894,"rat metagenome"))</f>
        <v>0</v>
      </c>
      <c r="Q894">
        <f>AND(IF(Metadata!D894="",FALSE,TRUE),exact(Metadata!D894,"1427740"))</f>
        <v>0</v>
      </c>
    </row>
    <row r="895" spans="1:17">
      <c r="A895" s="4">
        <f>IF(B895=" "," ",HYPERLINK(CONCATENATE("#metadata!",ADDRESS(INDEX($J$2:$J$1001,MATCH(ROWS($H$2:H895),$H$2:$H$1001,0),0),1)),INDEX($M$2:$M$1001,MATCH(ROWS($H$2:H895),$H$2:$H$1001,0),0)))</f>
        <v>0</v>
      </c>
      <c r="B895" s="3">
        <f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>0</v>
      </c>
      <c r="C895" s="3">
        <f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>0</v>
      </c>
      <c r="D895" s="3">
        <f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>0</v>
      </c>
      <c r="H895">
        <v>0</v>
      </c>
      <c r="I895">
        <v>0</v>
      </c>
      <c r="J895">
        <v>0</v>
      </c>
      <c r="K895">
        <f>IF(L895,TRUE,AND(O895:Q895))</f>
        <v>0</v>
      </c>
      <c r="L895">
        <f>COUNTBLANK(Metadata!B895:D895)=COLUMNS(Metadata!B895:D895)</f>
        <v>0</v>
      </c>
      <c r="M895">
        <v>0</v>
      </c>
      <c r="O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>
        <f>AND(IF(Metadata!C895="",FALSE,TRUE),exact(Metadata!C895,"rat metagenome"))</f>
        <v>0</v>
      </c>
      <c r="Q895">
        <f>AND(IF(Metadata!D895="",FALSE,TRUE),exact(Metadata!D895,"1427740"))</f>
        <v>0</v>
      </c>
    </row>
    <row r="896" spans="1:17">
      <c r="A896" s="4">
        <f>IF(B896=" "," ",HYPERLINK(CONCATENATE("#metadata!",ADDRESS(INDEX($J$2:$J$1001,MATCH(ROWS($H$2:H896),$H$2:$H$1001,0),0),1)),INDEX($M$2:$M$1001,MATCH(ROWS($H$2:H896),$H$2:$H$1001,0),0)))</f>
        <v>0</v>
      </c>
      <c r="B896" s="3">
        <f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>0</v>
      </c>
      <c r="C896" s="3">
        <f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>0</v>
      </c>
      <c r="D896" s="3">
        <f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>0</v>
      </c>
      <c r="H896">
        <v>0</v>
      </c>
      <c r="I896">
        <v>0</v>
      </c>
      <c r="J896">
        <v>0</v>
      </c>
      <c r="K896">
        <f>IF(L896,TRUE,AND(O896:Q896))</f>
        <v>0</v>
      </c>
      <c r="L896">
        <f>COUNTBLANK(Metadata!B896:D896)=COLUMNS(Metadata!B896:D896)</f>
        <v>0</v>
      </c>
      <c r="M896">
        <v>0</v>
      </c>
      <c r="O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>
        <f>AND(IF(Metadata!C896="",FALSE,TRUE),exact(Metadata!C896,"rat metagenome"))</f>
        <v>0</v>
      </c>
      <c r="Q896">
        <f>AND(IF(Metadata!D896="",FALSE,TRUE),exact(Metadata!D896,"1427740"))</f>
        <v>0</v>
      </c>
    </row>
    <row r="897" spans="1:17">
      <c r="A897" s="4">
        <f>IF(B897=" "," ",HYPERLINK(CONCATENATE("#metadata!",ADDRESS(INDEX($J$2:$J$1001,MATCH(ROWS($H$2:H897),$H$2:$H$1001,0),0),1)),INDEX($M$2:$M$1001,MATCH(ROWS($H$2:H897),$H$2:$H$1001,0),0)))</f>
        <v>0</v>
      </c>
      <c r="B897" s="3">
        <f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>0</v>
      </c>
      <c r="C897" s="3">
        <f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>0</v>
      </c>
      <c r="D897" s="3">
        <f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>0</v>
      </c>
      <c r="H897">
        <v>0</v>
      </c>
      <c r="I897">
        <v>0</v>
      </c>
      <c r="J897">
        <v>0</v>
      </c>
      <c r="K897">
        <f>IF(L897,TRUE,AND(O897:Q897))</f>
        <v>0</v>
      </c>
      <c r="L897">
        <f>COUNTBLANK(Metadata!B897:D897)=COLUMNS(Metadata!B897:D897)</f>
        <v>0</v>
      </c>
      <c r="M897">
        <v>0</v>
      </c>
      <c r="O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>
        <f>AND(IF(Metadata!C897="",FALSE,TRUE),exact(Metadata!C897,"rat metagenome"))</f>
        <v>0</v>
      </c>
      <c r="Q897">
        <f>AND(IF(Metadata!D897="",FALSE,TRUE),exact(Metadata!D897,"1427740"))</f>
        <v>0</v>
      </c>
    </row>
    <row r="898" spans="1:17">
      <c r="A898" s="4">
        <f>IF(B898=" "," ",HYPERLINK(CONCATENATE("#metadata!",ADDRESS(INDEX($J$2:$J$1001,MATCH(ROWS($H$2:H898),$H$2:$H$1001,0),0),1)),INDEX($M$2:$M$1001,MATCH(ROWS($H$2:H898),$H$2:$H$1001,0),0)))</f>
        <v>0</v>
      </c>
      <c r="B898" s="3">
        <f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>0</v>
      </c>
      <c r="C898" s="3">
        <f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>0</v>
      </c>
      <c r="D898" s="3">
        <f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>0</v>
      </c>
      <c r="H898">
        <v>0</v>
      </c>
      <c r="I898">
        <v>0</v>
      </c>
      <c r="J898">
        <v>0</v>
      </c>
      <c r="K898">
        <f>IF(L898,TRUE,AND(O898:Q898))</f>
        <v>0</v>
      </c>
      <c r="L898">
        <f>COUNTBLANK(Metadata!B898:D898)=COLUMNS(Metadata!B898:D898)</f>
        <v>0</v>
      </c>
      <c r="M898">
        <v>0</v>
      </c>
      <c r="O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>
        <f>AND(IF(Metadata!C898="",FALSE,TRUE),exact(Metadata!C898,"rat metagenome"))</f>
        <v>0</v>
      </c>
      <c r="Q898">
        <f>AND(IF(Metadata!D898="",FALSE,TRUE),exact(Metadata!D898,"1427740"))</f>
        <v>0</v>
      </c>
    </row>
    <row r="899" spans="1:17">
      <c r="A899" s="4">
        <f>IF(B899=" "," ",HYPERLINK(CONCATENATE("#metadata!",ADDRESS(INDEX($J$2:$J$1001,MATCH(ROWS($H$2:H899),$H$2:$H$1001,0),0),1)),INDEX($M$2:$M$1001,MATCH(ROWS($H$2:H899),$H$2:$H$1001,0),0)))</f>
        <v>0</v>
      </c>
      <c r="B899" s="3">
        <f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>0</v>
      </c>
      <c r="C899" s="3">
        <f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>0</v>
      </c>
      <c r="D899" s="3">
        <f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>0</v>
      </c>
      <c r="H899">
        <v>0</v>
      </c>
      <c r="I899">
        <v>0</v>
      </c>
      <c r="J899">
        <v>0</v>
      </c>
      <c r="K899">
        <f>IF(L899,TRUE,AND(O899:Q899))</f>
        <v>0</v>
      </c>
      <c r="L899">
        <f>COUNTBLANK(Metadata!B899:D899)=COLUMNS(Metadata!B899:D899)</f>
        <v>0</v>
      </c>
      <c r="M899">
        <v>0</v>
      </c>
      <c r="O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>
        <f>AND(IF(Metadata!C899="",FALSE,TRUE),exact(Metadata!C899,"rat metagenome"))</f>
        <v>0</v>
      </c>
      <c r="Q899">
        <f>AND(IF(Metadata!D899="",FALSE,TRUE),exact(Metadata!D899,"1427740"))</f>
        <v>0</v>
      </c>
    </row>
    <row r="900" spans="1:17">
      <c r="A900" s="4">
        <f>IF(B900=" "," ",HYPERLINK(CONCATENATE("#metadata!",ADDRESS(INDEX($J$2:$J$1001,MATCH(ROWS($H$2:H900),$H$2:$H$1001,0),0),1)),INDEX($M$2:$M$1001,MATCH(ROWS($H$2:H900),$H$2:$H$1001,0),0)))</f>
        <v>0</v>
      </c>
      <c r="B900" s="3">
        <f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>0</v>
      </c>
      <c r="C900" s="3">
        <f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>0</v>
      </c>
      <c r="D900" s="3">
        <f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>0</v>
      </c>
      <c r="H900">
        <v>0</v>
      </c>
      <c r="I900">
        <v>0</v>
      </c>
      <c r="J900">
        <v>0</v>
      </c>
      <c r="K900">
        <f>IF(L900,TRUE,AND(O900:Q900))</f>
        <v>0</v>
      </c>
      <c r="L900">
        <f>COUNTBLANK(Metadata!B900:D900)=COLUMNS(Metadata!B900:D900)</f>
        <v>0</v>
      </c>
      <c r="M900">
        <v>0</v>
      </c>
      <c r="O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>
        <f>AND(IF(Metadata!C900="",FALSE,TRUE),exact(Metadata!C900,"rat metagenome"))</f>
        <v>0</v>
      </c>
      <c r="Q900">
        <f>AND(IF(Metadata!D900="",FALSE,TRUE),exact(Metadata!D900,"1427740"))</f>
        <v>0</v>
      </c>
    </row>
    <row r="901" spans="1:17">
      <c r="A901" s="4">
        <f>IF(B901=" "," ",HYPERLINK(CONCATENATE("#metadata!",ADDRESS(INDEX($J$2:$J$1001,MATCH(ROWS($H$2:H901),$H$2:$H$1001,0),0),1)),INDEX($M$2:$M$1001,MATCH(ROWS($H$2:H901),$H$2:$H$1001,0),0)))</f>
        <v>0</v>
      </c>
      <c r="B901" s="3">
        <f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>0</v>
      </c>
      <c r="C901" s="3">
        <f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>0</v>
      </c>
      <c r="D901" s="3">
        <f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>0</v>
      </c>
      <c r="H901">
        <v>0</v>
      </c>
      <c r="I901">
        <v>0</v>
      </c>
      <c r="J901">
        <v>0</v>
      </c>
      <c r="K901">
        <f>IF(L901,TRUE,AND(O901:Q901))</f>
        <v>0</v>
      </c>
      <c r="L901">
        <f>COUNTBLANK(Metadata!B901:D901)=COLUMNS(Metadata!B901:D901)</f>
        <v>0</v>
      </c>
      <c r="M901">
        <v>0</v>
      </c>
      <c r="O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>
        <f>AND(IF(Metadata!C901="",FALSE,TRUE),exact(Metadata!C901,"rat metagenome"))</f>
        <v>0</v>
      </c>
      <c r="Q901">
        <f>AND(IF(Metadata!D901="",FALSE,TRUE),exact(Metadata!D901,"1427740"))</f>
        <v>0</v>
      </c>
    </row>
    <row r="902" spans="1:17">
      <c r="A902" s="4">
        <f>IF(B902=" "," ",HYPERLINK(CONCATENATE("#metadata!",ADDRESS(INDEX($J$2:$J$1001,MATCH(ROWS($H$2:H902),$H$2:$H$1001,0),0),1)),INDEX($M$2:$M$1001,MATCH(ROWS($H$2:H902),$H$2:$H$1001,0),0)))</f>
        <v>0</v>
      </c>
      <c r="B902" s="3">
        <f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>0</v>
      </c>
      <c r="C902" s="3">
        <f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>0</v>
      </c>
      <c r="D902" s="3">
        <f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>0</v>
      </c>
      <c r="H902">
        <v>0</v>
      </c>
      <c r="I902">
        <v>0</v>
      </c>
      <c r="J902">
        <v>0</v>
      </c>
      <c r="K902">
        <f>IF(L902,TRUE,AND(O902:Q902))</f>
        <v>0</v>
      </c>
      <c r="L902">
        <f>COUNTBLANK(Metadata!B902:D902)=COLUMNS(Metadata!B902:D902)</f>
        <v>0</v>
      </c>
      <c r="M902">
        <v>0</v>
      </c>
      <c r="O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>
        <f>AND(IF(Metadata!C902="",FALSE,TRUE),exact(Metadata!C902,"rat metagenome"))</f>
        <v>0</v>
      </c>
      <c r="Q902">
        <f>AND(IF(Metadata!D902="",FALSE,TRUE),exact(Metadata!D902,"1427740"))</f>
        <v>0</v>
      </c>
    </row>
    <row r="903" spans="1:17">
      <c r="A903" s="4">
        <f>IF(B903=" "," ",HYPERLINK(CONCATENATE("#metadata!",ADDRESS(INDEX($J$2:$J$1001,MATCH(ROWS($H$2:H903),$H$2:$H$1001,0),0),1)),INDEX($M$2:$M$1001,MATCH(ROWS($H$2:H903),$H$2:$H$1001,0),0)))</f>
        <v>0</v>
      </c>
      <c r="B903" s="3">
        <f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>0</v>
      </c>
      <c r="C903" s="3">
        <f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>0</v>
      </c>
      <c r="D903" s="3">
        <f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>0</v>
      </c>
      <c r="H903">
        <v>0</v>
      </c>
      <c r="I903">
        <v>0</v>
      </c>
      <c r="J903">
        <v>0</v>
      </c>
      <c r="K903">
        <f>IF(L903,TRUE,AND(O903:Q903))</f>
        <v>0</v>
      </c>
      <c r="L903">
        <f>COUNTBLANK(Metadata!B903:D903)=COLUMNS(Metadata!B903:D903)</f>
        <v>0</v>
      </c>
      <c r="M903">
        <v>0</v>
      </c>
      <c r="O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>
        <f>AND(IF(Metadata!C903="",FALSE,TRUE),exact(Metadata!C903,"rat metagenome"))</f>
        <v>0</v>
      </c>
      <c r="Q903">
        <f>AND(IF(Metadata!D903="",FALSE,TRUE),exact(Metadata!D903,"1427740"))</f>
        <v>0</v>
      </c>
    </row>
    <row r="904" spans="1:17">
      <c r="A904" s="4">
        <f>IF(B904=" "," ",HYPERLINK(CONCATENATE("#metadata!",ADDRESS(INDEX($J$2:$J$1001,MATCH(ROWS($H$2:H904),$H$2:$H$1001,0),0),1)),INDEX($M$2:$M$1001,MATCH(ROWS($H$2:H904),$H$2:$H$1001,0),0)))</f>
        <v>0</v>
      </c>
      <c r="B904" s="3">
        <f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>0</v>
      </c>
      <c r="C904" s="3">
        <f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>0</v>
      </c>
      <c r="D904" s="3">
        <f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>0</v>
      </c>
      <c r="H904">
        <v>0</v>
      </c>
      <c r="I904">
        <v>0</v>
      </c>
      <c r="J904">
        <v>0</v>
      </c>
      <c r="K904">
        <f>IF(L904,TRUE,AND(O904:Q904))</f>
        <v>0</v>
      </c>
      <c r="L904">
        <f>COUNTBLANK(Metadata!B904:D904)=COLUMNS(Metadata!B904:D904)</f>
        <v>0</v>
      </c>
      <c r="M904">
        <v>0</v>
      </c>
      <c r="O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>
        <f>AND(IF(Metadata!C904="",FALSE,TRUE),exact(Metadata!C904,"rat metagenome"))</f>
        <v>0</v>
      </c>
      <c r="Q904">
        <f>AND(IF(Metadata!D904="",FALSE,TRUE),exact(Metadata!D904,"1427740"))</f>
        <v>0</v>
      </c>
    </row>
    <row r="905" spans="1:17">
      <c r="A905" s="4">
        <f>IF(B905=" "," ",HYPERLINK(CONCATENATE("#metadata!",ADDRESS(INDEX($J$2:$J$1001,MATCH(ROWS($H$2:H905),$H$2:$H$1001,0),0),1)),INDEX($M$2:$M$1001,MATCH(ROWS($H$2:H905),$H$2:$H$1001,0),0)))</f>
        <v>0</v>
      </c>
      <c r="B905" s="3">
        <f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>0</v>
      </c>
      <c r="C905" s="3">
        <f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>0</v>
      </c>
      <c r="D905" s="3">
        <f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>0</v>
      </c>
      <c r="H905">
        <v>0</v>
      </c>
      <c r="I905">
        <v>0</v>
      </c>
      <c r="J905">
        <v>0</v>
      </c>
      <c r="K905">
        <f>IF(L905,TRUE,AND(O905:Q905))</f>
        <v>0</v>
      </c>
      <c r="L905">
        <f>COUNTBLANK(Metadata!B905:D905)=COLUMNS(Metadata!B905:D905)</f>
        <v>0</v>
      </c>
      <c r="M905">
        <v>0</v>
      </c>
      <c r="O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>
        <f>AND(IF(Metadata!C905="",FALSE,TRUE),exact(Metadata!C905,"rat metagenome"))</f>
        <v>0</v>
      </c>
      <c r="Q905">
        <f>AND(IF(Metadata!D905="",FALSE,TRUE),exact(Metadata!D905,"1427740"))</f>
        <v>0</v>
      </c>
    </row>
    <row r="906" spans="1:17">
      <c r="A906" s="4">
        <f>IF(B906=" "," ",HYPERLINK(CONCATENATE("#metadata!",ADDRESS(INDEX($J$2:$J$1001,MATCH(ROWS($H$2:H906),$H$2:$H$1001,0),0),1)),INDEX($M$2:$M$1001,MATCH(ROWS($H$2:H906),$H$2:$H$1001,0),0)))</f>
        <v>0</v>
      </c>
      <c r="B906" s="3">
        <f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>0</v>
      </c>
      <c r="C906" s="3">
        <f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>0</v>
      </c>
      <c r="D906" s="3">
        <f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>0</v>
      </c>
      <c r="H906">
        <v>0</v>
      </c>
      <c r="I906">
        <v>0</v>
      </c>
      <c r="J906">
        <v>0</v>
      </c>
      <c r="K906">
        <f>IF(L906,TRUE,AND(O906:Q906))</f>
        <v>0</v>
      </c>
      <c r="L906">
        <f>COUNTBLANK(Metadata!B906:D906)=COLUMNS(Metadata!B906:D906)</f>
        <v>0</v>
      </c>
      <c r="M906">
        <v>0</v>
      </c>
      <c r="O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>
        <f>AND(IF(Metadata!C906="",FALSE,TRUE),exact(Metadata!C906,"rat metagenome"))</f>
        <v>0</v>
      </c>
      <c r="Q906">
        <f>AND(IF(Metadata!D906="",FALSE,TRUE),exact(Metadata!D906,"1427740"))</f>
        <v>0</v>
      </c>
    </row>
    <row r="907" spans="1:17">
      <c r="A907" s="4">
        <f>IF(B907=" "," ",HYPERLINK(CONCATENATE("#metadata!",ADDRESS(INDEX($J$2:$J$1001,MATCH(ROWS($H$2:H907),$H$2:$H$1001,0),0),1)),INDEX($M$2:$M$1001,MATCH(ROWS($H$2:H907),$H$2:$H$1001,0),0)))</f>
        <v>0</v>
      </c>
      <c r="B907" s="3">
        <f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>0</v>
      </c>
      <c r="C907" s="3">
        <f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>0</v>
      </c>
      <c r="D907" s="3">
        <f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>0</v>
      </c>
      <c r="H907">
        <v>0</v>
      </c>
      <c r="I907">
        <v>0</v>
      </c>
      <c r="J907">
        <v>0</v>
      </c>
      <c r="K907">
        <f>IF(L907,TRUE,AND(O907:Q907))</f>
        <v>0</v>
      </c>
      <c r="L907">
        <f>COUNTBLANK(Metadata!B907:D907)=COLUMNS(Metadata!B907:D907)</f>
        <v>0</v>
      </c>
      <c r="M907">
        <v>0</v>
      </c>
      <c r="O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>
        <f>AND(IF(Metadata!C907="",FALSE,TRUE),exact(Metadata!C907,"rat metagenome"))</f>
        <v>0</v>
      </c>
      <c r="Q907">
        <f>AND(IF(Metadata!D907="",FALSE,TRUE),exact(Metadata!D907,"1427740"))</f>
        <v>0</v>
      </c>
    </row>
    <row r="908" spans="1:17">
      <c r="A908" s="4">
        <f>IF(B908=" "," ",HYPERLINK(CONCATENATE("#metadata!",ADDRESS(INDEX($J$2:$J$1001,MATCH(ROWS($H$2:H908),$H$2:$H$1001,0),0),1)),INDEX($M$2:$M$1001,MATCH(ROWS($H$2:H908),$H$2:$H$1001,0),0)))</f>
        <v>0</v>
      </c>
      <c r="B908" s="3">
        <f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>0</v>
      </c>
      <c r="C908" s="3">
        <f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>0</v>
      </c>
      <c r="D908" s="3">
        <f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>0</v>
      </c>
      <c r="H908">
        <v>0</v>
      </c>
      <c r="I908">
        <v>0</v>
      </c>
      <c r="J908">
        <v>0</v>
      </c>
      <c r="K908">
        <f>IF(L908,TRUE,AND(O908:Q908))</f>
        <v>0</v>
      </c>
      <c r="L908">
        <f>COUNTBLANK(Metadata!B908:D908)=COLUMNS(Metadata!B908:D908)</f>
        <v>0</v>
      </c>
      <c r="M908">
        <v>0</v>
      </c>
      <c r="O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>
        <f>AND(IF(Metadata!C908="",FALSE,TRUE),exact(Metadata!C908,"rat metagenome"))</f>
        <v>0</v>
      </c>
      <c r="Q908">
        <f>AND(IF(Metadata!D908="",FALSE,TRUE),exact(Metadata!D908,"1427740"))</f>
        <v>0</v>
      </c>
    </row>
    <row r="909" spans="1:17">
      <c r="A909" s="4">
        <f>IF(B909=" "," ",HYPERLINK(CONCATENATE("#metadata!",ADDRESS(INDEX($J$2:$J$1001,MATCH(ROWS($H$2:H909),$H$2:$H$1001,0),0),1)),INDEX($M$2:$M$1001,MATCH(ROWS($H$2:H909),$H$2:$H$1001,0),0)))</f>
        <v>0</v>
      </c>
      <c r="B909" s="3">
        <f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>0</v>
      </c>
      <c r="C909" s="3">
        <f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>0</v>
      </c>
      <c r="D909" s="3">
        <f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>0</v>
      </c>
      <c r="H909">
        <v>0</v>
      </c>
      <c r="I909">
        <v>0</v>
      </c>
      <c r="J909">
        <v>0</v>
      </c>
      <c r="K909">
        <f>IF(L909,TRUE,AND(O909:Q909))</f>
        <v>0</v>
      </c>
      <c r="L909">
        <f>COUNTBLANK(Metadata!B909:D909)=COLUMNS(Metadata!B909:D909)</f>
        <v>0</v>
      </c>
      <c r="M909">
        <v>0</v>
      </c>
      <c r="O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>
        <f>AND(IF(Metadata!C909="",FALSE,TRUE),exact(Metadata!C909,"rat metagenome"))</f>
        <v>0</v>
      </c>
      <c r="Q909">
        <f>AND(IF(Metadata!D909="",FALSE,TRUE),exact(Metadata!D909,"1427740"))</f>
        <v>0</v>
      </c>
    </row>
    <row r="910" spans="1:17">
      <c r="A910" s="4">
        <f>IF(B910=" "," ",HYPERLINK(CONCATENATE("#metadata!",ADDRESS(INDEX($J$2:$J$1001,MATCH(ROWS($H$2:H910),$H$2:$H$1001,0),0),1)),INDEX($M$2:$M$1001,MATCH(ROWS($H$2:H910),$H$2:$H$1001,0),0)))</f>
        <v>0</v>
      </c>
      <c r="B910" s="3">
        <f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>0</v>
      </c>
      <c r="C910" s="3">
        <f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>0</v>
      </c>
      <c r="D910" s="3">
        <f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>0</v>
      </c>
      <c r="H910">
        <v>0</v>
      </c>
      <c r="I910">
        <v>0</v>
      </c>
      <c r="J910">
        <v>0</v>
      </c>
      <c r="K910">
        <f>IF(L910,TRUE,AND(O910:Q910))</f>
        <v>0</v>
      </c>
      <c r="L910">
        <f>COUNTBLANK(Metadata!B910:D910)=COLUMNS(Metadata!B910:D910)</f>
        <v>0</v>
      </c>
      <c r="M910">
        <v>0</v>
      </c>
      <c r="O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>
        <f>AND(IF(Metadata!C910="",FALSE,TRUE),exact(Metadata!C910,"rat metagenome"))</f>
        <v>0</v>
      </c>
      <c r="Q910">
        <f>AND(IF(Metadata!D910="",FALSE,TRUE),exact(Metadata!D910,"1427740"))</f>
        <v>0</v>
      </c>
    </row>
    <row r="911" spans="1:17">
      <c r="A911" s="4">
        <f>IF(B911=" "," ",HYPERLINK(CONCATENATE("#metadata!",ADDRESS(INDEX($J$2:$J$1001,MATCH(ROWS($H$2:H911),$H$2:$H$1001,0),0),1)),INDEX($M$2:$M$1001,MATCH(ROWS($H$2:H911),$H$2:$H$1001,0),0)))</f>
        <v>0</v>
      </c>
      <c r="B911" s="3">
        <f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>0</v>
      </c>
      <c r="C911" s="3">
        <f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>0</v>
      </c>
      <c r="D911" s="3">
        <f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>0</v>
      </c>
      <c r="H911">
        <v>0</v>
      </c>
      <c r="I911">
        <v>0</v>
      </c>
      <c r="J911">
        <v>0</v>
      </c>
      <c r="K911">
        <f>IF(L911,TRUE,AND(O911:Q911))</f>
        <v>0</v>
      </c>
      <c r="L911">
        <f>COUNTBLANK(Metadata!B911:D911)=COLUMNS(Metadata!B911:D911)</f>
        <v>0</v>
      </c>
      <c r="M911">
        <v>0</v>
      </c>
      <c r="O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>
        <f>AND(IF(Metadata!C911="",FALSE,TRUE),exact(Metadata!C911,"rat metagenome"))</f>
        <v>0</v>
      </c>
      <c r="Q911">
        <f>AND(IF(Metadata!D911="",FALSE,TRUE),exact(Metadata!D911,"1427740"))</f>
        <v>0</v>
      </c>
    </row>
    <row r="912" spans="1:17">
      <c r="A912" s="4">
        <f>IF(B912=" "," ",HYPERLINK(CONCATENATE("#metadata!",ADDRESS(INDEX($J$2:$J$1001,MATCH(ROWS($H$2:H912),$H$2:$H$1001,0),0),1)),INDEX($M$2:$M$1001,MATCH(ROWS($H$2:H912),$H$2:$H$1001,0),0)))</f>
        <v>0</v>
      </c>
      <c r="B912" s="3">
        <f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>0</v>
      </c>
      <c r="C912" s="3">
        <f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>0</v>
      </c>
      <c r="D912" s="3">
        <f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>0</v>
      </c>
      <c r="H912">
        <v>0</v>
      </c>
      <c r="I912">
        <v>0</v>
      </c>
      <c r="J912">
        <v>0</v>
      </c>
      <c r="K912">
        <f>IF(L912,TRUE,AND(O912:Q912))</f>
        <v>0</v>
      </c>
      <c r="L912">
        <f>COUNTBLANK(Metadata!B912:D912)=COLUMNS(Metadata!B912:D912)</f>
        <v>0</v>
      </c>
      <c r="M912">
        <v>0</v>
      </c>
      <c r="O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>
        <f>AND(IF(Metadata!C912="",FALSE,TRUE),exact(Metadata!C912,"rat metagenome"))</f>
        <v>0</v>
      </c>
      <c r="Q912">
        <f>AND(IF(Metadata!D912="",FALSE,TRUE),exact(Metadata!D912,"1427740"))</f>
        <v>0</v>
      </c>
    </row>
    <row r="913" spans="1:17">
      <c r="A913" s="4">
        <f>IF(B913=" "," ",HYPERLINK(CONCATENATE("#metadata!",ADDRESS(INDEX($J$2:$J$1001,MATCH(ROWS($H$2:H913),$H$2:$H$1001,0),0),1)),INDEX($M$2:$M$1001,MATCH(ROWS($H$2:H913),$H$2:$H$1001,0),0)))</f>
        <v>0</v>
      </c>
      <c r="B913" s="3">
        <f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>0</v>
      </c>
      <c r="C913" s="3">
        <f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>0</v>
      </c>
      <c r="D913" s="3">
        <f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>0</v>
      </c>
      <c r="H913">
        <v>0</v>
      </c>
      <c r="I913">
        <v>0</v>
      </c>
      <c r="J913">
        <v>0</v>
      </c>
      <c r="K913">
        <f>IF(L913,TRUE,AND(O913:Q913))</f>
        <v>0</v>
      </c>
      <c r="L913">
        <f>COUNTBLANK(Metadata!B913:D913)=COLUMNS(Metadata!B913:D913)</f>
        <v>0</v>
      </c>
      <c r="M913">
        <v>0</v>
      </c>
      <c r="O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>
        <f>AND(IF(Metadata!C913="",FALSE,TRUE),exact(Metadata!C913,"rat metagenome"))</f>
        <v>0</v>
      </c>
      <c r="Q913">
        <f>AND(IF(Metadata!D913="",FALSE,TRUE),exact(Metadata!D913,"1427740"))</f>
        <v>0</v>
      </c>
    </row>
    <row r="914" spans="1:17">
      <c r="A914" s="4">
        <f>IF(B914=" "," ",HYPERLINK(CONCATENATE("#metadata!",ADDRESS(INDEX($J$2:$J$1001,MATCH(ROWS($H$2:H914),$H$2:$H$1001,0),0),1)),INDEX($M$2:$M$1001,MATCH(ROWS($H$2:H914),$H$2:$H$1001,0),0)))</f>
        <v>0</v>
      </c>
      <c r="B914" s="3">
        <f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>0</v>
      </c>
      <c r="C914" s="3">
        <f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>0</v>
      </c>
      <c r="D914" s="3">
        <f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>0</v>
      </c>
      <c r="H914">
        <v>0</v>
      </c>
      <c r="I914">
        <v>0</v>
      </c>
      <c r="J914">
        <v>0</v>
      </c>
      <c r="K914">
        <f>IF(L914,TRUE,AND(O914:Q914))</f>
        <v>0</v>
      </c>
      <c r="L914">
        <f>COUNTBLANK(Metadata!B914:D914)=COLUMNS(Metadata!B914:D914)</f>
        <v>0</v>
      </c>
      <c r="M914">
        <v>0</v>
      </c>
      <c r="O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>
        <f>AND(IF(Metadata!C914="",FALSE,TRUE),exact(Metadata!C914,"rat metagenome"))</f>
        <v>0</v>
      </c>
      <c r="Q914">
        <f>AND(IF(Metadata!D914="",FALSE,TRUE),exact(Metadata!D914,"1427740"))</f>
        <v>0</v>
      </c>
    </row>
    <row r="915" spans="1:17">
      <c r="A915" s="4">
        <f>IF(B915=" "," ",HYPERLINK(CONCATENATE("#metadata!",ADDRESS(INDEX($J$2:$J$1001,MATCH(ROWS($H$2:H915),$H$2:$H$1001,0),0),1)),INDEX($M$2:$M$1001,MATCH(ROWS($H$2:H915),$H$2:$H$1001,0),0)))</f>
        <v>0</v>
      </c>
      <c r="B915" s="3">
        <f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>0</v>
      </c>
      <c r="C915" s="3">
        <f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>0</v>
      </c>
      <c r="D915" s="3">
        <f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>0</v>
      </c>
      <c r="H915">
        <v>0</v>
      </c>
      <c r="I915">
        <v>0</v>
      </c>
      <c r="J915">
        <v>0</v>
      </c>
      <c r="K915">
        <f>IF(L915,TRUE,AND(O915:Q915))</f>
        <v>0</v>
      </c>
      <c r="L915">
        <f>COUNTBLANK(Metadata!B915:D915)=COLUMNS(Metadata!B915:D915)</f>
        <v>0</v>
      </c>
      <c r="M915">
        <v>0</v>
      </c>
      <c r="O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>
        <f>AND(IF(Metadata!C915="",FALSE,TRUE),exact(Metadata!C915,"rat metagenome"))</f>
        <v>0</v>
      </c>
      <c r="Q915">
        <f>AND(IF(Metadata!D915="",FALSE,TRUE),exact(Metadata!D915,"1427740"))</f>
        <v>0</v>
      </c>
    </row>
    <row r="916" spans="1:17">
      <c r="A916" s="4">
        <f>IF(B916=" "," ",HYPERLINK(CONCATENATE("#metadata!",ADDRESS(INDEX($J$2:$J$1001,MATCH(ROWS($H$2:H916),$H$2:$H$1001,0),0),1)),INDEX($M$2:$M$1001,MATCH(ROWS($H$2:H916),$H$2:$H$1001,0),0)))</f>
        <v>0</v>
      </c>
      <c r="B916" s="3">
        <f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>0</v>
      </c>
      <c r="C916" s="3">
        <f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>0</v>
      </c>
      <c r="D916" s="3">
        <f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>0</v>
      </c>
      <c r="H916">
        <v>0</v>
      </c>
      <c r="I916">
        <v>0</v>
      </c>
      <c r="J916">
        <v>0</v>
      </c>
      <c r="K916">
        <f>IF(L916,TRUE,AND(O916:Q916))</f>
        <v>0</v>
      </c>
      <c r="L916">
        <f>COUNTBLANK(Metadata!B916:D916)=COLUMNS(Metadata!B916:D916)</f>
        <v>0</v>
      </c>
      <c r="M916">
        <v>0</v>
      </c>
      <c r="O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>
        <f>AND(IF(Metadata!C916="",FALSE,TRUE),exact(Metadata!C916,"rat metagenome"))</f>
        <v>0</v>
      </c>
      <c r="Q916">
        <f>AND(IF(Metadata!D916="",FALSE,TRUE),exact(Metadata!D916,"1427740"))</f>
        <v>0</v>
      </c>
    </row>
    <row r="917" spans="1:17">
      <c r="A917" s="4">
        <f>IF(B917=" "," ",HYPERLINK(CONCATENATE("#metadata!",ADDRESS(INDEX($J$2:$J$1001,MATCH(ROWS($H$2:H917),$H$2:$H$1001,0),0),1)),INDEX($M$2:$M$1001,MATCH(ROWS($H$2:H917),$H$2:$H$1001,0),0)))</f>
        <v>0</v>
      </c>
      <c r="B917" s="3">
        <f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>0</v>
      </c>
      <c r="C917" s="3">
        <f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>0</v>
      </c>
      <c r="D917" s="3">
        <f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>0</v>
      </c>
      <c r="H917">
        <v>0</v>
      </c>
      <c r="I917">
        <v>0</v>
      </c>
      <c r="J917">
        <v>0</v>
      </c>
      <c r="K917">
        <f>IF(L917,TRUE,AND(O917:Q917))</f>
        <v>0</v>
      </c>
      <c r="L917">
        <f>COUNTBLANK(Metadata!B917:D917)=COLUMNS(Metadata!B917:D917)</f>
        <v>0</v>
      </c>
      <c r="M917">
        <v>0</v>
      </c>
      <c r="O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>
        <f>AND(IF(Metadata!C917="",FALSE,TRUE),exact(Metadata!C917,"rat metagenome"))</f>
        <v>0</v>
      </c>
      <c r="Q917">
        <f>AND(IF(Metadata!D917="",FALSE,TRUE),exact(Metadata!D917,"1427740"))</f>
        <v>0</v>
      </c>
    </row>
    <row r="918" spans="1:17">
      <c r="A918" s="4">
        <f>IF(B918=" "," ",HYPERLINK(CONCATENATE("#metadata!",ADDRESS(INDEX($J$2:$J$1001,MATCH(ROWS($H$2:H918),$H$2:$H$1001,0),0),1)),INDEX($M$2:$M$1001,MATCH(ROWS($H$2:H918),$H$2:$H$1001,0),0)))</f>
        <v>0</v>
      </c>
      <c r="B918" s="3">
        <f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>0</v>
      </c>
      <c r="C918" s="3">
        <f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>0</v>
      </c>
      <c r="D918" s="3">
        <f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>0</v>
      </c>
      <c r="H918">
        <v>0</v>
      </c>
      <c r="I918">
        <v>0</v>
      </c>
      <c r="J918">
        <v>0</v>
      </c>
      <c r="K918">
        <f>IF(L918,TRUE,AND(O918:Q918))</f>
        <v>0</v>
      </c>
      <c r="L918">
        <f>COUNTBLANK(Metadata!B918:D918)=COLUMNS(Metadata!B918:D918)</f>
        <v>0</v>
      </c>
      <c r="M918">
        <v>0</v>
      </c>
      <c r="O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>
        <f>AND(IF(Metadata!C918="",FALSE,TRUE),exact(Metadata!C918,"rat metagenome"))</f>
        <v>0</v>
      </c>
      <c r="Q918">
        <f>AND(IF(Metadata!D918="",FALSE,TRUE),exact(Metadata!D918,"1427740"))</f>
        <v>0</v>
      </c>
    </row>
    <row r="919" spans="1:17">
      <c r="A919" s="4">
        <f>IF(B919=" "," ",HYPERLINK(CONCATENATE("#metadata!",ADDRESS(INDEX($J$2:$J$1001,MATCH(ROWS($H$2:H919),$H$2:$H$1001,0),0),1)),INDEX($M$2:$M$1001,MATCH(ROWS($H$2:H919),$H$2:$H$1001,0),0)))</f>
        <v>0</v>
      </c>
      <c r="B919" s="3">
        <f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>0</v>
      </c>
      <c r="C919" s="3">
        <f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>0</v>
      </c>
      <c r="D919" s="3">
        <f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>0</v>
      </c>
      <c r="H919">
        <v>0</v>
      </c>
      <c r="I919">
        <v>0</v>
      </c>
      <c r="J919">
        <v>0</v>
      </c>
      <c r="K919">
        <f>IF(L919,TRUE,AND(O919:Q919))</f>
        <v>0</v>
      </c>
      <c r="L919">
        <f>COUNTBLANK(Metadata!B919:D919)=COLUMNS(Metadata!B919:D919)</f>
        <v>0</v>
      </c>
      <c r="M919">
        <v>0</v>
      </c>
      <c r="O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>
        <f>AND(IF(Metadata!C919="",FALSE,TRUE),exact(Metadata!C919,"rat metagenome"))</f>
        <v>0</v>
      </c>
      <c r="Q919">
        <f>AND(IF(Metadata!D919="",FALSE,TRUE),exact(Metadata!D919,"1427740"))</f>
        <v>0</v>
      </c>
    </row>
    <row r="920" spans="1:17">
      <c r="A920" s="4">
        <f>IF(B920=" "," ",HYPERLINK(CONCATENATE("#metadata!",ADDRESS(INDEX($J$2:$J$1001,MATCH(ROWS($H$2:H920),$H$2:$H$1001,0),0),1)),INDEX($M$2:$M$1001,MATCH(ROWS($H$2:H920),$H$2:$H$1001,0),0)))</f>
        <v>0</v>
      </c>
      <c r="B920" s="3">
        <f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>0</v>
      </c>
      <c r="C920" s="3">
        <f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>0</v>
      </c>
      <c r="D920" s="3">
        <f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>0</v>
      </c>
      <c r="H920">
        <v>0</v>
      </c>
      <c r="I920">
        <v>0</v>
      </c>
      <c r="J920">
        <v>0</v>
      </c>
      <c r="K920">
        <f>IF(L920,TRUE,AND(O920:Q920))</f>
        <v>0</v>
      </c>
      <c r="L920">
        <f>COUNTBLANK(Metadata!B920:D920)=COLUMNS(Metadata!B920:D920)</f>
        <v>0</v>
      </c>
      <c r="M920">
        <v>0</v>
      </c>
      <c r="O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>
        <f>AND(IF(Metadata!C920="",FALSE,TRUE),exact(Metadata!C920,"rat metagenome"))</f>
        <v>0</v>
      </c>
      <c r="Q920">
        <f>AND(IF(Metadata!D920="",FALSE,TRUE),exact(Metadata!D920,"1427740"))</f>
        <v>0</v>
      </c>
    </row>
    <row r="921" spans="1:17">
      <c r="A921" s="4">
        <f>IF(B921=" "," ",HYPERLINK(CONCATENATE("#metadata!",ADDRESS(INDEX($J$2:$J$1001,MATCH(ROWS($H$2:H921),$H$2:$H$1001,0),0),1)),INDEX($M$2:$M$1001,MATCH(ROWS($H$2:H921),$H$2:$H$1001,0),0)))</f>
        <v>0</v>
      </c>
      <c r="B921" s="3">
        <f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>0</v>
      </c>
      <c r="C921" s="3">
        <f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>0</v>
      </c>
      <c r="D921" s="3">
        <f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>0</v>
      </c>
      <c r="H921">
        <v>0</v>
      </c>
      <c r="I921">
        <v>0</v>
      </c>
      <c r="J921">
        <v>0</v>
      </c>
      <c r="K921">
        <f>IF(L921,TRUE,AND(O921:Q921))</f>
        <v>0</v>
      </c>
      <c r="L921">
        <f>COUNTBLANK(Metadata!B921:D921)=COLUMNS(Metadata!B921:D921)</f>
        <v>0</v>
      </c>
      <c r="M921">
        <v>0</v>
      </c>
      <c r="O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>
        <f>AND(IF(Metadata!C921="",FALSE,TRUE),exact(Metadata!C921,"rat metagenome"))</f>
        <v>0</v>
      </c>
      <c r="Q921">
        <f>AND(IF(Metadata!D921="",FALSE,TRUE),exact(Metadata!D921,"1427740"))</f>
        <v>0</v>
      </c>
    </row>
    <row r="922" spans="1:17">
      <c r="A922" s="4">
        <f>IF(B922=" "," ",HYPERLINK(CONCATENATE("#metadata!",ADDRESS(INDEX($J$2:$J$1001,MATCH(ROWS($H$2:H922),$H$2:$H$1001,0),0),1)),INDEX($M$2:$M$1001,MATCH(ROWS($H$2:H922),$H$2:$H$1001,0),0)))</f>
        <v>0</v>
      </c>
      <c r="B922" s="3">
        <f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>0</v>
      </c>
      <c r="C922" s="3">
        <f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>0</v>
      </c>
      <c r="D922" s="3">
        <f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>0</v>
      </c>
      <c r="H922">
        <v>0</v>
      </c>
      <c r="I922">
        <v>0</v>
      </c>
      <c r="J922">
        <v>0</v>
      </c>
      <c r="K922">
        <f>IF(L922,TRUE,AND(O922:Q922))</f>
        <v>0</v>
      </c>
      <c r="L922">
        <f>COUNTBLANK(Metadata!B922:D922)=COLUMNS(Metadata!B922:D922)</f>
        <v>0</v>
      </c>
      <c r="M922">
        <v>0</v>
      </c>
      <c r="O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>
        <f>AND(IF(Metadata!C922="",FALSE,TRUE),exact(Metadata!C922,"rat metagenome"))</f>
        <v>0</v>
      </c>
      <c r="Q922">
        <f>AND(IF(Metadata!D922="",FALSE,TRUE),exact(Metadata!D922,"1427740"))</f>
        <v>0</v>
      </c>
    </row>
    <row r="923" spans="1:17">
      <c r="A923" s="4">
        <f>IF(B923=" "," ",HYPERLINK(CONCATENATE("#metadata!",ADDRESS(INDEX($J$2:$J$1001,MATCH(ROWS($H$2:H923),$H$2:$H$1001,0),0),1)),INDEX($M$2:$M$1001,MATCH(ROWS($H$2:H923),$H$2:$H$1001,0),0)))</f>
        <v>0</v>
      </c>
      <c r="B923" s="3">
        <f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>0</v>
      </c>
      <c r="C923" s="3">
        <f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>0</v>
      </c>
      <c r="D923" s="3">
        <f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>0</v>
      </c>
      <c r="H923">
        <v>0</v>
      </c>
      <c r="I923">
        <v>0</v>
      </c>
      <c r="J923">
        <v>0</v>
      </c>
      <c r="K923">
        <f>IF(L923,TRUE,AND(O923:Q923))</f>
        <v>0</v>
      </c>
      <c r="L923">
        <f>COUNTBLANK(Metadata!B923:D923)=COLUMNS(Metadata!B923:D923)</f>
        <v>0</v>
      </c>
      <c r="M923">
        <v>0</v>
      </c>
      <c r="O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>
        <f>AND(IF(Metadata!C923="",FALSE,TRUE),exact(Metadata!C923,"rat metagenome"))</f>
        <v>0</v>
      </c>
      <c r="Q923">
        <f>AND(IF(Metadata!D923="",FALSE,TRUE),exact(Metadata!D923,"1427740"))</f>
        <v>0</v>
      </c>
    </row>
    <row r="924" spans="1:17">
      <c r="A924" s="4">
        <f>IF(B924=" "," ",HYPERLINK(CONCATENATE("#metadata!",ADDRESS(INDEX($J$2:$J$1001,MATCH(ROWS($H$2:H924),$H$2:$H$1001,0),0),1)),INDEX($M$2:$M$1001,MATCH(ROWS($H$2:H924),$H$2:$H$1001,0),0)))</f>
        <v>0</v>
      </c>
      <c r="B924" s="3">
        <f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>0</v>
      </c>
      <c r="C924" s="3">
        <f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>0</v>
      </c>
      <c r="D924" s="3">
        <f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>0</v>
      </c>
      <c r="H924">
        <v>0</v>
      </c>
      <c r="I924">
        <v>0</v>
      </c>
      <c r="J924">
        <v>0</v>
      </c>
      <c r="K924">
        <f>IF(L924,TRUE,AND(O924:Q924))</f>
        <v>0</v>
      </c>
      <c r="L924">
        <f>COUNTBLANK(Metadata!B924:D924)=COLUMNS(Metadata!B924:D924)</f>
        <v>0</v>
      </c>
      <c r="M924">
        <v>0</v>
      </c>
      <c r="O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>
        <f>AND(IF(Metadata!C924="",FALSE,TRUE),exact(Metadata!C924,"rat metagenome"))</f>
        <v>0</v>
      </c>
      <c r="Q924">
        <f>AND(IF(Metadata!D924="",FALSE,TRUE),exact(Metadata!D924,"1427740"))</f>
        <v>0</v>
      </c>
    </row>
    <row r="925" spans="1:17">
      <c r="A925" s="4">
        <f>IF(B925=" "," ",HYPERLINK(CONCATENATE("#metadata!",ADDRESS(INDEX($J$2:$J$1001,MATCH(ROWS($H$2:H925),$H$2:$H$1001,0),0),1)),INDEX($M$2:$M$1001,MATCH(ROWS($H$2:H925),$H$2:$H$1001,0),0)))</f>
        <v>0</v>
      </c>
      <c r="B925" s="3">
        <f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>0</v>
      </c>
      <c r="C925" s="3">
        <f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>0</v>
      </c>
      <c r="D925" s="3">
        <f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>0</v>
      </c>
      <c r="H925">
        <v>0</v>
      </c>
      <c r="I925">
        <v>0</v>
      </c>
      <c r="J925">
        <v>0</v>
      </c>
      <c r="K925">
        <f>IF(L925,TRUE,AND(O925:Q925))</f>
        <v>0</v>
      </c>
      <c r="L925">
        <f>COUNTBLANK(Metadata!B925:D925)=COLUMNS(Metadata!B925:D925)</f>
        <v>0</v>
      </c>
      <c r="M925">
        <v>0</v>
      </c>
      <c r="O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>
        <f>AND(IF(Metadata!C925="",FALSE,TRUE),exact(Metadata!C925,"rat metagenome"))</f>
        <v>0</v>
      </c>
      <c r="Q925">
        <f>AND(IF(Metadata!D925="",FALSE,TRUE),exact(Metadata!D925,"1427740"))</f>
        <v>0</v>
      </c>
    </row>
    <row r="926" spans="1:17">
      <c r="A926" s="4">
        <f>IF(B926=" "," ",HYPERLINK(CONCATENATE("#metadata!",ADDRESS(INDEX($J$2:$J$1001,MATCH(ROWS($H$2:H926),$H$2:$H$1001,0),0),1)),INDEX($M$2:$M$1001,MATCH(ROWS($H$2:H926),$H$2:$H$1001,0),0)))</f>
        <v>0</v>
      </c>
      <c r="B926" s="3">
        <f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>0</v>
      </c>
      <c r="C926" s="3">
        <f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>0</v>
      </c>
      <c r="D926" s="3">
        <f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>0</v>
      </c>
      <c r="H926">
        <v>0</v>
      </c>
      <c r="I926">
        <v>0</v>
      </c>
      <c r="J926">
        <v>0</v>
      </c>
      <c r="K926">
        <f>IF(L926,TRUE,AND(O926:Q926))</f>
        <v>0</v>
      </c>
      <c r="L926">
        <f>COUNTBLANK(Metadata!B926:D926)=COLUMNS(Metadata!B926:D926)</f>
        <v>0</v>
      </c>
      <c r="M926">
        <v>0</v>
      </c>
      <c r="O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>
        <f>AND(IF(Metadata!C926="",FALSE,TRUE),exact(Metadata!C926,"rat metagenome"))</f>
        <v>0</v>
      </c>
      <c r="Q926">
        <f>AND(IF(Metadata!D926="",FALSE,TRUE),exact(Metadata!D926,"1427740"))</f>
        <v>0</v>
      </c>
    </row>
    <row r="927" spans="1:17">
      <c r="A927" s="4">
        <f>IF(B927=" "," ",HYPERLINK(CONCATENATE("#metadata!",ADDRESS(INDEX($J$2:$J$1001,MATCH(ROWS($H$2:H927),$H$2:$H$1001,0),0),1)),INDEX($M$2:$M$1001,MATCH(ROWS($H$2:H927),$H$2:$H$1001,0),0)))</f>
        <v>0</v>
      </c>
      <c r="B927" s="3">
        <f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>0</v>
      </c>
      <c r="C927" s="3">
        <f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>0</v>
      </c>
      <c r="D927" s="3">
        <f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>0</v>
      </c>
      <c r="H927">
        <v>0</v>
      </c>
      <c r="I927">
        <v>0</v>
      </c>
      <c r="J927">
        <v>0</v>
      </c>
      <c r="K927">
        <f>IF(L927,TRUE,AND(O927:Q927))</f>
        <v>0</v>
      </c>
      <c r="L927">
        <f>COUNTBLANK(Metadata!B927:D927)=COLUMNS(Metadata!B927:D927)</f>
        <v>0</v>
      </c>
      <c r="M927">
        <v>0</v>
      </c>
      <c r="O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>
        <f>AND(IF(Metadata!C927="",FALSE,TRUE),exact(Metadata!C927,"rat metagenome"))</f>
        <v>0</v>
      </c>
      <c r="Q927">
        <f>AND(IF(Metadata!D927="",FALSE,TRUE),exact(Metadata!D927,"1427740"))</f>
        <v>0</v>
      </c>
    </row>
    <row r="928" spans="1:17">
      <c r="A928" s="4">
        <f>IF(B928=" "," ",HYPERLINK(CONCATENATE("#metadata!",ADDRESS(INDEX($J$2:$J$1001,MATCH(ROWS($H$2:H928),$H$2:$H$1001,0),0),1)),INDEX($M$2:$M$1001,MATCH(ROWS($H$2:H928),$H$2:$H$1001,0),0)))</f>
        <v>0</v>
      </c>
      <c r="B928" s="3">
        <f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>0</v>
      </c>
      <c r="C928" s="3">
        <f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>0</v>
      </c>
      <c r="D928" s="3">
        <f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>0</v>
      </c>
      <c r="H928">
        <v>0</v>
      </c>
      <c r="I928">
        <v>0</v>
      </c>
      <c r="J928">
        <v>0</v>
      </c>
      <c r="K928">
        <f>IF(L928,TRUE,AND(O928:Q928))</f>
        <v>0</v>
      </c>
      <c r="L928">
        <f>COUNTBLANK(Metadata!B928:D928)=COLUMNS(Metadata!B928:D928)</f>
        <v>0</v>
      </c>
      <c r="M928">
        <v>0</v>
      </c>
      <c r="O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>
        <f>AND(IF(Metadata!C928="",FALSE,TRUE),exact(Metadata!C928,"rat metagenome"))</f>
        <v>0</v>
      </c>
      <c r="Q928">
        <f>AND(IF(Metadata!D928="",FALSE,TRUE),exact(Metadata!D928,"1427740"))</f>
        <v>0</v>
      </c>
    </row>
    <row r="929" spans="1:17">
      <c r="A929" s="4">
        <f>IF(B929=" "," ",HYPERLINK(CONCATENATE("#metadata!",ADDRESS(INDEX($J$2:$J$1001,MATCH(ROWS($H$2:H929),$H$2:$H$1001,0),0),1)),INDEX($M$2:$M$1001,MATCH(ROWS($H$2:H929),$H$2:$H$1001,0),0)))</f>
        <v>0</v>
      </c>
      <c r="B929" s="3">
        <f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>0</v>
      </c>
      <c r="C929" s="3">
        <f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>0</v>
      </c>
      <c r="D929" s="3">
        <f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>0</v>
      </c>
      <c r="H929">
        <v>0</v>
      </c>
      <c r="I929">
        <v>0</v>
      </c>
      <c r="J929">
        <v>0</v>
      </c>
      <c r="K929">
        <f>IF(L929,TRUE,AND(O929:Q929))</f>
        <v>0</v>
      </c>
      <c r="L929">
        <f>COUNTBLANK(Metadata!B929:D929)=COLUMNS(Metadata!B929:D929)</f>
        <v>0</v>
      </c>
      <c r="M929">
        <v>0</v>
      </c>
      <c r="O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>
        <f>AND(IF(Metadata!C929="",FALSE,TRUE),exact(Metadata!C929,"rat metagenome"))</f>
        <v>0</v>
      </c>
      <c r="Q929">
        <f>AND(IF(Metadata!D929="",FALSE,TRUE),exact(Metadata!D929,"1427740"))</f>
        <v>0</v>
      </c>
    </row>
    <row r="930" spans="1:17">
      <c r="A930" s="4">
        <f>IF(B930=" "," ",HYPERLINK(CONCATENATE("#metadata!",ADDRESS(INDEX($J$2:$J$1001,MATCH(ROWS($H$2:H930),$H$2:$H$1001,0),0),1)),INDEX($M$2:$M$1001,MATCH(ROWS($H$2:H930),$H$2:$H$1001,0),0)))</f>
        <v>0</v>
      </c>
      <c r="B930" s="3">
        <f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>0</v>
      </c>
      <c r="C930" s="3">
        <f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>0</v>
      </c>
      <c r="D930" s="3">
        <f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>0</v>
      </c>
      <c r="H930">
        <v>0</v>
      </c>
      <c r="I930">
        <v>0</v>
      </c>
      <c r="J930">
        <v>0</v>
      </c>
      <c r="K930">
        <f>IF(L930,TRUE,AND(O930:Q930))</f>
        <v>0</v>
      </c>
      <c r="L930">
        <f>COUNTBLANK(Metadata!B930:D930)=COLUMNS(Metadata!B930:D930)</f>
        <v>0</v>
      </c>
      <c r="M930">
        <v>0</v>
      </c>
      <c r="O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>
        <f>AND(IF(Metadata!C930="",FALSE,TRUE),exact(Metadata!C930,"rat metagenome"))</f>
        <v>0</v>
      </c>
      <c r="Q930">
        <f>AND(IF(Metadata!D930="",FALSE,TRUE),exact(Metadata!D930,"1427740"))</f>
        <v>0</v>
      </c>
    </row>
    <row r="931" spans="1:17">
      <c r="A931" s="4">
        <f>IF(B931=" "," ",HYPERLINK(CONCATENATE("#metadata!",ADDRESS(INDEX($J$2:$J$1001,MATCH(ROWS($H$2:H931),$H$2:$H$1001,0),0),1)),INDEX($M$2:$M$1001,MATCH(ROWS($H$2:H931),$H$2:$H$1001,0),0)))</f>
        <v>0</v>
      </c>
      <c r="B931" s="3">
        <f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>0</v>
      </c>
      <c r="C931" s="3">
        <f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>0</v>
      </c>
      <c r="D931" s="3">
        <f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>0</v>
      </c>
      <c r="H931">
        <v>0</v>
      </c>
      <c r="I931">
        <v>0</v>
      </c>
      <c r="J931">
        <v>0</v>
      </c>
      <c r="K931">
        <f>IF(L931,TRUE,AND(O931:Q931))</f>
        <v>0</v>
      </c>
      <c r="L931">
        <f>COUNTBLANK(Metadata!B931:D931)=COLUMNS(Metadata!B931:D931)</f>
        <v>0</v>
      </c>
      <c r="M931">
        <v>0</v>
      </c>
      <c r="O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>
        <f>AND(IF(Metadata!C931="",FALSE,TRUE),exact(Metadata!C931,"rat metagenome"))</f>
        <v>0</v>
      </c>
      <c r="Q931">
        <f>AND(IF(Metadata!D931="",FALSE,TRUE),exact(Metadata!D931,"1427740"))</f>
        <v>0</v>
      </c>
    </row>
    <row r="932" spans="1:17">
      <c r="A932" s="4">
        <f>IF(B932=" "," ",HYPERLINK(CONCATENATE("#metadata!",ADDRESS(INDEX($J$2:$J$1001,MATCH(ROWS($H$2:H932),$H$2:$H$1001,0),0),1)),INDEX($M$2:$M$1001,MATCH(ROWS($H$2:H932),$H$2:$H$1001,0),0)))</f>
        <v>0</v>
      </c>
      <c r="B932" s="3">
        <f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>0</v>
      </c>
      <c r="C932" s="3">
        <f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>0</v>
      </c>
      <c r="D932" s="3">
        <f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>0</v>
      </c>
      <c r="H932">
        <v>0</v>
      </c>
      <c r="I932">
        <v>0</v>
      </c>
      <c r="J932">
        <v>0</v>
      </c>
      <c r="K932">
        <f>IF(L932,TRUE,AND(O932:Q932))</f>
        <v>0</v>
      </c>
      <c r="L932">
        <f>COUNTBLANK(Metadata!B932:D932)=COLUMNS(Metadata!B932:D932)</f>
        <v>0</v>
      </c>
      <c r="M932">
        <v>0</v>
      </c>
      <c r="O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>
        <f>AND(IF(Metadata!C932="",FALSE,TRUE),exact(Metadata!C932,"rat metagenome"))</f>
        <v>0</v>
      </c>
      <c r="Q932">
        <f>AND(IF(Metadata!D932="",FALSE,TRUE),exact(Metadata!D932,"1427740"))</f>
        <v>0</v>
      </c>
    </row>
    <row r="933" spans="1:17">
      <c r="A933" s="4">
        <f>IF(B933=" "," ",HYPERLINK(CONCATENATE("#metadata!",ADDRESS(INDEX($J$2:$J$1001,MATCH(ROWS($H$2:H933),$H$2:$H$1001,0),0),1)),INDEX($M$2:$M$1001,MATCH(ROWS($H$2:H933),$H$2:$H$1001,0),0)))</f>
        <v>0</v>
      </c>
      <c r="B933" s="3">
        <f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>0</v>
      </c>
      <c r="C933" s="3">
        <f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>0</v>
      </c>
      <c r="D933" s="3">
        <f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>0</v>
      </c>
      <c r="H933">
        <v>0</v>
      </c>
      <c r="I933">
        <v>0</v>
      </c>
      <c r="J933">
        <v>0</v>
      </c>
      <c r="K933">
        <f>IF(L933,TRUE,AND(O933:Q933))</f>
        <v>0</v>
      </c>
      <c r="L933">
        <f>COUNTBLANK(Metadata!B933:D933)=COLUMNS(Metadata!B933:D933)</f>
        <v>0</v>
      </c>
      <c r="M933">
        <v>0</v>
      </c>
      <c r="O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>
        <f>AND(IF(Metadata!C933="",FALSE,TRUE),exact(Metadata!C933,"rat metagenome"))</f>
        <v>0</v>
      </c>
      <c r="Q933">
        <f>AND(IF(Metadata!D933="",FALSE,TRUE),exact(Metadata!D933,"1427740"))</f>
        <v>0</v>
      </c>
    </row>
    <row r="934" spans="1:17">
      <c r="A934" s="4">
        <f>IF(B934=" "," ",HYPERLINK(CONCATENATE("#metadata!",ADDRESS(INDEX($J$2:$J$1001,MATCH(ROWS($H$2:H934),$H$2:$H$1001,0),0),1)),INDEX($M$2:$M$1001,MATCH(ROWS($H$2:H934),$H$2:$H$1001,0),0)))</f>
        <v>0</v>
      </c>
      <c r="B934" s="3">
        <f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>0</v>
      </c>
      <c r="C934" s="3">
        <f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>0</v>
      </c>
      <c r="D934" s="3">
        <f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>0</v>
      </c>
      <c r="H934">
        <v>0</v>
      </c>
      <c r="I934">
        <v>0</v>
      </c>
      <c r="J934">
        <v>0</v>
      </c>
      <c r="K934">
        <f>IF(L934,TRUE,AND(O934:Q934))</f>
        <v>0</v>
      </c>
      <c r="L934">
        <f>COUNTBLANK(Metadata!B934:D934)=COLUMNS(Metadata!B934:D934)</f>
        <v>0</v>
      </c>
      <c r="M934">
        <v>0</v>
      </c>
      <c r="O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>
        <f>AND(IF(Metadata!C934="",FALSE,TRUE),exact(Metadata!C934,"rat metagenome"))</f>
        <v>0</v>
      </c>
      <c r="Q934">
        <f>AND(IF(Metadata!D934="",FALSE,TRUE),exact(Metadata!D934,"1427740"))</f>
        <v>0</v>
      </c>
    </row>
    <row r="935" spans="1:17">
      <c r="A935" s="4">
        <f>IF(B935=" "," ",HYPERLINK(CONCATENATE("#metadata!",ADDRESS(INDEX($J$2:$J$1001,MATCH(ROWS($H$2:H935),$H$2:$H$1001,0),0),1)),INDEX($M$2:$M$1001,MATCH(ROWS($H$2:H935),$H$2:$H$1001,0),0)))</f>
        <v>0</v>
      </c>
      <c r="B935" s="3">
        <f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>0</v>
      </c>
      <c r="C935" s="3">
        <f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>0</v>
      </c>
      <c r="D935" s="3">
        <f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>0</v>
      </c>
      <c r="H935">
        <v>0</v>
      </c>
      <c r="I935">
        <v>0</v>
      </c>
      <c r="J935">
        <v>0</v>
      </c>
      <c r="K935">
        <f>IF(L935,TRUE,AND(O935:Q935))</f>
        <v>0</v>
      </c>
      <c r="L935">
        <f>COUNTBLANK(Metadata!B935:D935)=COLUMNS(Metadata!B935:D935)</f>
        <v>0</v>
      </c>
      <c r="M935">
        <v>0</v>
      </c>
      <c r="O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>
        <f>AND(IF(Metadata!C935="",FALSE,TRUE),exact(Metadata!C935,"rat metagenome"))</f>
        <v>0</v>
      </c>
      <c r="Q935">
        <f>AND(IF(Metadata!D935="",FALSE,TRUE),exact(Metadata!D935,"1427740"))</f>
        <v>0</v>
      </c>
    </row>
    <row r="936" spans="1:17">
      <c r="A936" s="4">
        <f>IF(B936=" "," ",HYPERLINK(CONCATENATE("#metadata!",ADDRESS(INDEX($J$2:$J$1001,MATCH(ROWS($H$2:H936),$H$2:$H$1001,0),0),1)),INDEX($M$2:$M$1001,MATCH(ROWS($H$2:H936),$H$2:$H$1001,0),0)))</f>
        <v>0</v>
      </c>
      <c r="B936" s="3">
        <f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>0</v>
      </c>
      <c r="C936" s="3">
        <f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>0</v>
      </c>
      <c r="D936" s="3">
        <f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>0</v>
      </c>
      <c r="H936">
        <v>0</v>
      </c>
      <c r="I936">
        <v>0</v>
      </c>
      <c r="J936">
        <v>0</v>
      </c>
      <c r="K936">
        <f>IF(L936,TRUE,AND(O936:Q936))</f>
        <v>0</v>
      </c>
      <c r="L936">
        <f>COUNTBLANK(Metadata!B936:D936)=COLUMNS(Metadata!B936:D936)</f>
        <v>0</v>
      </c>
      <c r="M936">
        <v>0</v>
      </c>
      <c r="O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>
        <f>AND(IF(Metadata!C936="",FALSE,TRUE),exact(Metadata!C936,"rat metagenome"))</f>
        <v>0</v>
      </c>
      <c r="Q936">
        <f>AND(IF(Metadata!D936="",FALSE,TRUE),exact(Metadata!D936,"1427740"))</f>
        <v>0</v>
      </c>
    </row>
    <row r="937" spans="1:17">
      <c r="A937" s="4">
        <f>IF(B937=" "," ",HYPERLINK(CONCATENATE("#metadata!",ADDRESS(INDEX($J$2:$J$1001,MATCH(ROWS($H$2:H937),$H$2:$H$1001,0),0),1)),INDEX($M$2:$M$1001,MATCH(ROWS($H$2:H937),$H$2:$H$1001,0),0)))</f>
        <v>0</v>
      </c>
      <c r="B937" s="3">
        <f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>0</v>
      </c>
      <c r="C937" s="3">
        <f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>0</v>
      </c>
      <c r="D937" s="3">
        <f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>0</v>
      </c>
      <c r="H937">
        <v>0</v>
      </c>
      <c r="I937">
        <v>0</v>
      </c>
      <c r="J937">
        <v>0</v>
      </c>
      <c r="K937">
        <f>IF(L937,TRUE,AND(O937:Q937))</f>
        <v>0</v>
      </c>
      <c r="L937">
        <f>COUNTBLANK(Metadata!B937:D937)=COLUMNS(Metadata!B937:D937)</f>
        <v>0</v>
      </c>
      <c r="M937">
        <v>0</v>
      </c>
      <c r="O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>
        <f>AND(IF(Metadata!C937="",FALSE,TRUE),exact(Metadata!C937,"rat metagenome"))</f>
        <v>0</v>
      </c>
      <c r="Q937">
        <f>AND(IF(Metadata!D937="",FALSE,TRUE),exact(Metadata!D937,"1427740"))</f>
        <v>0</v>
      </c>
    </row>
    <row r="938" spans="1:17">
      <c r="A938" s="4">
        <f>IF(B938=" "," ",HYPERLINK(CONCATENATE("#metadata!",ADDRESS(INDEX($J$2:$J$1001,MATCH(ROWS($H$2:H938),$H$2:$H$1001,0),0),1)),INDEX($M$2:$M$1001,MATCH(ROWS($H$2:H938),$H$2:$H$1001,0),0)))</f>
        <v>0</v>
      </c>
      <c r="B938" s="3">
        <f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>0</v>
      </c>
      <c r="C938" s="3">
        <f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>0</v>
      </c>
      <c r="D938" s="3">
        <f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>0</v>
      </c>
      <c r="H938">
        <v>0</v>
      </c>
      <c r="I938">
        <v>0</v>
      </c>
      <c r="J938">
        <v>0</v>
      </c>
      <c r="K938">
        <f>IF(L938,TRUE,AND(O938:Q938))</f>
        <v>0</v>
      </c>
      <c r="L938">
        <f>COUNTBLANK(Metadata!B938:D938)=COLUMNS(Metadata!B938:D938)</f>
        <v>0</v>
      </c>
      <c r="M938">
        <v>0</v>
      </c>
      <c r="O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>
        <f>AND(IF(Metadata!C938="",FALSE,TRUE),exact(Metadata!C938,"rat metagenome"))</f>
        <v>0</v>
      </c>
      <c r="Q938">
        <f>AND(IF(Metadata!D938="",FALSE,TRUE),exact(Metadata!D938,"1427740"))</f>
        <v>0</v>
      </c>
    </row>
    <row r="939" spans="1:17">
      <c r="A939" s="4">
        <f>IF(B939=" "," ",HYPERLINK(CONCATENATE("#metadata!",ADDRESS(INDEX($J$2:$J$1001,MATCH(ROWS($H$2:H939),$H$2:$H$1001,0),0),1)),INDEX($M$2:$M$1001,MATCH(ROWS($H$2:H939),$H$2:$H$1001,0),0)))</f>
        <v>0</v>
      </c>
      <c r="B939" s="3">
        <f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>0</v>
      </c>
      <c r="C939" s="3">
        <f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>0</v>
      </c>
      <c r="D939" s="3">
        <f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>0</v>
      </c>
      <c r="H939">
        <v>0</v>
      </c>
      <c r="I939">
        <v>0</v>
      </c>
      <c r="J939">
        <v>0</v>
      </c>
      <c r="K939">
        <f>IF(L939,TRUE,AND(O939:Q939))</f>
        <v>0</v>
      </c>
      <c r="L939">
        <f>COUNTBLANK(Metadata!B939:D939)=COLUMNS(Metadata!B939:D939)</f>
        <v>0</v>
      </c>
      <c r="M939">
        <v>0</v>
      </c>
      <c r="O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>
        <f>AND(IF(Metadata!C939="",FALSE,TRUE),exact(Metadata!C939,"rat metagenome"))</f>
        <v>0</v>
      </c>
      <c r="Q939">
        <f>AND(IF(Metadata!D939="",FALSE,TRUE),exact(Metadata!D939,"1427740"))</f>
        <v>0</v>
      </c>
    </row>
    <row r="940" spans="1:17">
      <c r="A940" s="4">
        <f>IF(B940=" "," ",HYPERLINK(CONCATENATE("#metadata!",ADDRESS(INDEX($J$2:$J$1001,MATCH(ROWS($H$2:H940),$H$2:$H$1001,0),0),1)),INDEX($M$2:$M$1001,MATCH(ROWS($H$2:H940),$H$2:$H$1001,0),0)))</f>
        <v>0</v>
      </c>
      <c r="B940" s="3">
        <f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>0</v>
      </c>
      <c r="C940" s="3">
        <f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>0</v>
      </c>
      <c r="D940" s="3">
        <f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>0</v>
      </c>
      <c r="H940">
        <v>0</v>
      </c>
      <c r="I940">
        <v>0</v>
      </c>
      <c r="J940">
        <v>0</v>
      </c>
      <c r="K940">
        <f>IF(L940,TRUE,AND(O940:Q940))</f>
        <v>0</v>
      </c>
      <c r="L940">
        <f>COUNTBLANK(Metadata!B940:D940)=COLUMNS(Metadata!B940:D940)</f>
        <v>0</v>
      </c>
      <c r="M940">
        <v>0</v>
      </c>
      <c r="O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>
        <f>AND(IF(Metadata!C940="",FALSE,TRUE),exact(Metadata!C940,"rat metagenome"))</f>
        <v>0</v>
      </c>
      <c r="Q940">
        <f>AND(IF(Metadata!D940="",FALSE,TRUE),exact(Metadata!D940,"1427740"))</f>
        <v>0</v>
      </c>
    </row>
    <row r="941" spans="1:17">
      <c r="A941" s="4">
        <f>IF(B941=" "," ",HYPERLINK(CONCATENATE("#metadata!",ADDRESS(INDEX($J$2:$J$1001,MATCH(ROWS($H$2:H941),$H$2:$H$1001,0),0),1)),INDEX($M$2:$M$1001,MATCH(ROWS($H$2:H941),$H$2:$H$1001,0),0)))</f>
        <v>0</v>
      </c>
      <c r="B941" s="3">
        <f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>0</v>
      </c>
      <c r="C941" s="3">
        <f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>0</v>
      </c>
      <c r="D941" s="3">
        <f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>0</v>
      </c>
      <c r="H941">
        <v>0</v>
      </c>
      <c r="I941">
        <v>0</v>
      </c>
      <c r="J941">
        <v>0</v>
      </c>
      <c r="K941">
        <f>IF(L941,TRUE,AND(O941:Q941))</f>
        <v>0</v>
      </c>
      <c r="L941">
        <f>COUNTBLANK(Metadata!B941:D941)=COLUMNS(Metadata!B941:D941)</f>
        <v>0</v>
      </c>
      <c r="M941">
        <v>0</v>
      </c>
      <c r="O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>
        <f>AND(IF(Metadata!C941="",FALSE,TRUE),exact(Metadata!C941,"rat metagenome"))</f>
        <v>0</v>
      </c>
      <c r="Q941">
        <f>AND(IF(Metadata!D941="",FALSE,TRUE),exact(Metadata!D941,"1427740"))</f>
        <v>0</v>
      </c>
    </row>
    <row r="942" spans="1:17">
      <c r="A942" s="4">
        <f>IF(B942=" "," ",HYPERLINK(CONCATENATE("#metadata!",ADDRESS(INDEX($J$2:$J$1001,MATCH(ROWS($H$2:H942),$H$2:$H$1001,0),0),1)),INDEX($M$2:$M$1001,MATCH(ROWS($H$2:H942),$H$2:$H$1001,0),0)))</f>
        <v>0</v>
      </c>
      <c r="B942" s="3">
        <f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>0</v>
      </c>
      <c r="C942" s="3">
        <f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>0</v>
      </c>
      <c r="D942" s="3">
        <f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>0</v>
      </c>
      <c r="H942">
        <v>0</v>
      </c>
      <c r="I942">
        <v>0</v>
      </c>
      <c r="J942">
        <v>0</v>
      </c>
      <c r="K942">
        <f>IF(L942,TRUE,AND(O942:Q942))</f>
        <v>0</v>
      </c>
      <c r="L942">
        <f>COUNTBLANK(Metadata!B942:D942)=COLUMNS(Metadata!B942:D942)</f>
        <v>0</v>
      </c>
      <c r="M942">
        <v>0</v>
      </c>
      <c r="O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>
        <f>AND(IF(Metadata!C942="",FALSE,TRUE),exact(Metadata!C942,"rat metagenome"))</f>
        <v>0</v>
      </c>
      <c r="Q942">
        <f>AND(IF(Metadata!D942="",FALSE,TRUE),exact(Metadata!D942,"1427740"))</f>
        <v>0</v>
      </c>
    </row>
    <row r="943" spans="1:17">
      <c r="A943" s="4">
        <f>IF(B943=" "," ",HYPERLINK(CONCATENATE("#metadata!",ADDRESS(INDEX($J$2:$J$1001,MATCH(ROWS($H$2:H943),$H$2:$H$1001,0),0),1)),INDEX($M$2:$M$1001,MATCH(ROWS($H$2:H943),$H$2:$H$1001,0),0)))</f>
        <v>0</v>
      </c>
      <c r="B943" s="3">
        <f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>0</v>
      </c>
      <c r="C943" s="3">
        <f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>0</v>
      </c>
      <c r="D943" s="3">
        <f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>0</v>
      </c>
      <c r="H943">
        <v>0</v>
      </c>
      <c r="I943">
        <v>0</v>
      </c>
      <c r="J943">
        <v>0</v>
      </c>
      <c r="K943">
        <f>IF(L943,TRUE,AND(O943:Q943))</f>
        <v>0</v>
      </c>
      <c r="L943">
        <f>COUNTBLANK(Metadata!B943:D943)=COLUMNS(Metadata!B943:D943)</f>
        <v>0</v>
      </c>
      <c r="M943">
        <v>0</v>
      </c>
      <c r="O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>
        <f>AND(IF(Metadata!C943="",FALSE,TRUE),exact(Metadata!C943,"rat metagenome"))</f>
        <v>0</v>
      </c>
      <c r="Q943">
        <f>AND(IF(Metadata!D943="",FALSE,TRUE),exact(Metadata!D943,"1427740"))</f>
        <v>0</v>
      </c>
    </row>
    <row r="944" spans="1:17">
      <c r="A944" s="4">
        <f>IF(B944=" "," ",HYPERLINK(CONCATENATE("#metadata!",ADDRESS(INDEX($J$2:$J$1001,MATCH(ROWS($H$2:H944),$H$2:$H$1001,0),0),1)),INDEX($M$2:$M$1001,MATCH(ROWS($H$2:H944),$H$2:$H$1001,0),0)))</f>
        <v>0</v>
      </c>
      <c r="B944" s="3">
        <f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>0</v>
      </c>
      <c r="C944" s="3">
        <f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>0</v>
      </c>
      <c r="D944" s="3">
        <f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>0</v>
      </c>
      <c r="H944">
        <v>0</v>
      </c>
      <c r="I944">
        <v>0</v>
      </c>
      <c r="J944">
        <v>0</v>
      </c>
      <c r="K944">
        <f>IF(L944,TRUE,AND(O944:Q944))</f>
        <v>0</v>
      </c>
      <c r="L944">
        <f>COUNTBLANK(Metadata!B944:D944)=COLUMNS(Metadata!B944:D944)</f>
        <v>0</v>
      </c>
      <c r="M944">
        <v>0</v>
      </c>
      <c r="O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>
        <f>AND(IF(Metadata!C944="",FALSE,TRUE),exact(Metadata!C944,"rat metagenome"))</f>
        <v>0</v>
      </c>
      <c r="Q944">
        <f>AND(IF(Metadata!D944="",FALSE,TRUE),exact(Metadata!D944,"1427740"))</f>
        <v>0</v>
      </c>
    </row>
    <row r="945" spans="1:17">
      <c r="A945" s="4">
        <f>IF(B945=" "," ",HYPERLINK(CONCATENATE("#metadata!",ADDRESS(INDEX($J$2:$J$1001,MATCH(ROWS($H$2:H945),$H$2:$H$1001,0),0),1)),INDEX($M$2:$M$1001,MATCH(ROWS($H$2:H945),$H$2:$H$1001,0),0)))</f>
        <v>0</v>
      </c>
      <c r="B945" s="3">
        <f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>0</v>
      </c>
      <c r="C945" s="3">
        <f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>0</v>
      </c>
      <c r="D945" s="3">
        <f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>0</v>
      </c>
      <c r="H945">
        <v>0</v>
      </c>
      <c r="I945">
        <v>0</v>
      </c>
      <c r="J945">
        <v>0</v>
      </c>
      <c r="K945">
        <f>IF(L945,TRUE,AND(O945:Q945))</f>
        <v>0</v>
      </c>
      <c r="L945">
        <f>COUNTBLANK(Metadata!B945:D945)=COLUMNS(Metadata!B945:D945)</f>
        <v>0</v>
      </c>
      <c r="M945">
        <v>0</v>
      </c>
      <c r="O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>
        <f>AND(IF(Metadata!C945="",FALSE,TRUE),exact(Metadata!C945,"rat metagenome"))</f>
        <v>0</v>
      </c>
      <c r="Q945">
        <f>AND(IF(Metadata!D945="",FALSE,TRUE),exact(Metadata!D945,"1427740"))</f>
        <v>0</v>
      </c>
    </row>
    <row r="946" spans="1:17">
      <c r="A946" s="4">
        <f>IF(B946=" "," ",HYPERLINK(CONCATENATE("#metadata!",ADDRESS(INDEX($J$2:$J$1001,MATCH(ROWS($H$2:H946),$H$2:$H$1001,0),0),1)),INDEX($M$2:$M$1001,MATCH(ROWS($H$2:H946),$H$2:$H$1001,0),0)))</f>
        <v>0</v>
      </c>
      <c r="B946" s="3">
        <f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>0</v>
      </c>
      <c r="C946" s="3">
        <f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>0</v>
      </c>
      <c r="D946" s="3">
        <f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>0</v>
      </c>
      <c r="H946">
        <v>0</v>
      </c>
      <c r="I946">
        <v>0</v>
      </c>
      <c r="J946">
        <v>0</v>
      </c>
      <c r="K946">
        <f>IF(L946,TRUE,AND(O946:Q946))</f>
        <v>0</v>
      </c>
      <c r="L946">
        <f>COUNTBLANK(Metadata!B946:D946)=COLUMNS(Metadata!B946:D946)</f>
        <v>0</v>
      </c>
      <c r="M946">
        <v>0</v>
      </c>
      <c r="O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>
        <f>AND(IF(Metadata!C946="",FALSE,TRUE),exact(Metadata!C946,"rat metagenome"))</f>
        <v>0</v>
      </c>
      <c r="Q946">
        <f>AND(IF(Metadata!D946="",FALSE,TRUE),exact(Metadata!D946,"1427740"))</f>
        <v>0</v>
      </c>
    </row>
    <row r="947" spans="1:17">
      <c r="A947" s="4">
        <f>IF(B947=" "," ",HYPERLINK(CONCATENATE("#metadata!",ADDRESS(INDEX($J$2:$J$1001,MATCH(ROWS($H$2:H947),$H$2:$H$1001,0),0),1)),INDEX($M$2:$M$1001,MATCH(ROWS($H$2:H947),$H$2:$H$1001,0),0)))</f>
        <v>0</v>
      </c>
      <c r="B947" s="3">
        <f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>0</v>
      </c>
      <c r="C947" s="3">
        <f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>0</v>
      </c>
      <c r="D947" s="3">
        <f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>0</v>
      </c>
      <c r="H947">
        <v>0</v>
      </c>
      <c r="I947">
        <v>0</v>
      </c>
      <c r="J947">
        <v>0</v>
      </c>
      <c r="K947">
        <f>IF(L947,TRUE,AND(O947:Q947))</f>
        <v>0</v>
      </c>
      <c r="L947">
        <f>COUNTBLANK(Metadata!B947:D947)=COLUMNS(Metadata!B947:D947)</f>
        <v>0</v>
      </c>
      <c r="M947">
        <v>0</v>
      </c>
      <c r="O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>
        <f>AND(IF(Metadata!C947="",FALSE,TRUE),exact(Metadata!C947,"rat metagenome"))</f>
        <v>0</v>
      </c>
      <c r="Q947">
        <f>AND(IF(Metadata!D947="",FALSE,TRUE),exact(Metadata!D947,"1427740"))</f>
        <v>0</v>
      </c>
    </row>
    <row r="948" spans="1:17">
      <c r="A948" s="4">
        <f>IF(B948=" "," ",HYPERLINK(CONCATENATE("#metadata!",ADDRESS(INDEX($J$2:$J$1001,MATCH(ROWS($H$2:H948),$H$2:$H$1001,0),0),1)),INDEX($M$2:$M$1001,MATCH(ROWS($H$2:H948),$H$2:$H$1001,0),0)))</f>
        <v>0</v>
      </c>
      <c r="B948" s="3">
        <f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>0</v>
      </c>
      <c r="C948" s="3">
        <f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>0</v>
      </c>
      <c r="D948" s="3">
        <f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>0</v>
      </c>
      <c r="H948">
        <v>0</v>
      </c>
      <c r="I948">
        <v>0</v>
      </c>
      <c r="J948">
        <v>0</v>
      </c>
      <c r="K948">
        <f>IF(L948,TRUE,AND(O948:Q948))</f>
        <v>0</v>
      </c>
      <c r="L948">
        <f>COUNTBLANK(Metadata!B948:D948)=COLUMNS(Metadata!B948:D948)</f>
        <v>0</v>
      </c>
      <c r="M948">
        <v>0</v>
      </c>
      <c r="O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>
        <f>AND(IF(Metadata!C948="",FALSE,TRUE),exact(Metadata!C948,"rat metagenome"))</f>
        <v>0</v>
      </c>
      <c r="Q948">
        <f>AND(IF(Metadata!D948="",FALSE,TRUE),exact(Metadata!D948,"1427740"))</f>
        <v>0</v>
      </c>
    </row>
    <row r="949" spans="1:17">
      <c r="A949" s="4">
        <f>IF(B949=" "," ",HYPERLINK(CONCATENATE("#metadata!",ADDRESS(INDEX($J$2:$J$1001,MATCH(ROWS($H$2:H949),$H$2:$H$1001,0),0),1)),INDEX($M$2:$M$1001,MATCH(ROWS($H$2:H949),$H$2:$H$1001,0),0)))</f>
        <v>0</v>
      </c>
      <c r="B949" s="3">
        <f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>0</v>
      </c>
      <c r="C949" s="3">
        <f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>0</v>
      </c>
      <c r="D949" s="3">
        <f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>0</v>
      </c>
      <c r="H949">
        <v>0</v>
      </c>
      <c r="I949">
        <v>0</v>
      </c>
      <c r="J949">
        <v>0</v>
      </c>
      <c r="K949">
        <f>IF(L949,TRUE,AND(O949:Q949))</f>
        <v>0</v>
      </c>
      <c r="L949">
        <f>COUNTBLANK(Metadata!B949:D949)=COLUMNS(Metadata!B949:D949)</f>
        <v>0</v>
      </c>
      <c r="M949">
        <v>0</v>
      </c>
      <c r="O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>
        <f>AND(IF(Metadata!C949="",FALSE,TRUE),exact(Metadata!C949,"rat metagenome"))</f>
        <v>0</v>
      </c>
      <c r="Q949">
        <f>AND(IF(Metadata!D949="",FALSE,TRUE),exact(Metadata!D949,"1427740"))</f>
        <v>0</v>
      </c>
    </row>
    <row r="950" spans="1:17">
      <c r="A950" s="4">
        <f>IF(B950=" "," ",HYPERLINK(CONCATENATE("#metadata!",ADDRESS(INDEX($J$2:$J$1001,MATCH(ROWS($H$2:H950),$H$2:$H$1001,0),0),1)),INDEX($M$2:$M$1001,MATCH(ROWS($H$2:H950),$H$2:$H$1001,0),0)))</f>
        <v>0</v>
      </c>
      <c r="B950" s="3">
        <f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>0</v>
      </c>
      <c r="C950" s="3">
        <f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>0</v>
      </c>
      <c r="D950" s="3">
        <f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>0</v>
      </c>
      <c r="H950">
        <v>0</v>
      </c>
      <c r="I950">
        <v>0</v>
      </c>
      <c r="J950">
        <v>0</v>
      </c>
      <c r="K950">
        <f>IF(L950,TRUE,AND(O950:Q950))</f>
        <v>0</v>
      </c>
      <c r="L950">
        <f>COUNTBLANK(Metadata!B950:D950)=COLUMNS(Metadata!B950:D950)</f>
        <v>0</v>
      </c>
      <c r="M950">
        <v>0</v>
      </c>
      <c r="O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>
        <f>AND(IF(Metadata!C950="",FALSE,TRUE),exact(Metadata!C950,"rat metagenome"))</f>
        <v>0</v>
      </c>
      <c r="Q950">
        <f>AND(IF(Metadata!D950="",FALSE,TRUE),exact(Metadata!D950,"1427740"))</f>
        <v>0</v>
      </c>
    </row>
    <row r="951" spans="1:17">
      <c r="A951" s="4">
        <f>IF(B951=" "," ",HYPERLINK(CONCATENATE("#metadata!",ADDRESS(INDEX($J$2:$J$1001,MATCH(ROWS($H$2:H951),$H$2:$H$1001,0),0),1)),INDEX($M$2:$M$1001,MATCH(ROWS($H$2:H951),$H$2:$H$1001,0),0)))</f>
        <v>0</v>
      </c>
      <c r="B951" s="3">
        <f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>0</v>
      </c>
      <c r="C951" s="3">
        <f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>0</v>
      </c>
      <c r="D951" s="3">
        <f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>0</v>
      </c>
      <c r="H951">
        <v>0</v>
      </c>
      <c r="I951">
        <v>0</v>
      </c>
      <c r="J951">
        <v>0</v>
      </c>
      <c r="K951">
        <f>IF(L951,TRUE,AND(O951:Q951))</f>
        <v>0</v>
      </c>
      <c r="L951">
        <f>COUNTBLANK(Metadata!B951:D951)=COLUMNS(Metadata!B951:D951)</f>
        <v>0</v>
      </c>
      <c r="M951">
        <v>0</v>
      </c>
      <c r="O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>
        <f>AND(IF(Metadata!C951="",FALSE,TRUE),exact(Metadata!C951,"rat metagenome"))</f>
        <v>0</v>
      </c>
      <c r="Q951">
        <f>AND(IF(Metadata!D951="",FALSE,TRUE),exact(Metadata!D951,"1427740"))</f>
        <v>0</v>
      </c>
    </row>
    <row r="952" spans="1:17">
      <c r="A952" s="4">
        <f>IF(B952=" "," ",HYPERLINK(CONCATENATE("#metadata!",ADDRESS(INDEX($J$2:$J$1001,MATCH(ROWS($H$2:H952),$H$2:$H$1001,0),0),1)),INDEX($M$2:$M$1001,MATCH(ROWS($H$2:H952),$H$2:$H$1001,0),0)))</f>
        <v>0</v>
      </c>
      <c r="B952" s="3">
        <f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>0</v>
      </c>
      <c r="C952" s="3">
        <f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>0</v>
      </c>
      <c r="D952" s="3">
        <f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>0</v>
      </c>
      <c r="H952">
        <v>0</v>
      </c>
      <c r="I952">
        <v>0</v>
      </c>
      <c r="J952">
        <v>0</v>
      </c>
      <c r="K952">
        <f>IF(L952,TRUE,AND(O952:Q952))</f>
        <v>0</v>
      </c>
      <c r="L952">
        <f>COUNTBLANK(Metadata!B952:D952)=COLUMNS(Metadata!B952:D952)</f>
        <v>0</v>
      </c>
      <c r="M952">
        <v>0</v>
      </c>
      <c r="O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>
        <f>AND(IF(Metadata!C952="",FALSE,TRUE),exact(Metadata!C952,"rat metagenome"))</f>
        <v>0</v>
      </c>
      <c r="Q952">
        <f>AND(IF(Metadata!D952="",FALSE,TRUE),exact(Metadata!D952,"1427740"))</f>
        <v>0</v>
      </c>
    </row>
    <row r="953" spans="1:17">
      <c r="A953" s="4">
        <f>IF(B953=" "," ",HYPERLINK(CONCATENATE("#metadata!",ADDRESS(INDEX($J$2:$J$1001,MATCH(ROWS($H$2:H953),$H$2:$H$1001,0),0),1)),INDEX($M$2:$M$1001,MATCH(ROWS($H$2:H953),$H$2:$H$1001,0),0)))</f>
        <v>0</v>
      </c>
      <c r="B953" s="3">
        <f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>0</v>
      </c>
      <c r="C953" s="3">
        <f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>0</v>
      </c>
      <c r="D953" s="3">
        <f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>0</v>
      </c>
      <c r="H953">
        <v>0</v>
      </c>
      <c r="I953">
        <v>0</v>
      </c>
      <c r="J953">
        <v>0</v>
      </c>
      <c r="K953">
        <f>IF(L953,TRUE,AND(O953:Q953))</f>
        <v>0</v>
      </c>
      <c r="L953">
        <f>COUNTBLANK(Metadata!B953:D953)=COLUMNS(Metadata!B953:D953)</f>
        <v>0</v>
      </c>
      <c r="M953">
        <v>0</v>
      </c>
      <c r="O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>
        <f>AND(IF(Metadata!C953="",FALSE,TRUE),exact(Metadata!C953,"rat metagenome"))</f>
        <v>0</v>
      </c>
      <c r="Q953">
        <f>AND(IF(Metadata!D953="",FALSE,TRUE),exact(Metadata!D953,"1427740"))</f>
        <v>0</v>
      </c>
    </row>
    <row r="954" spans="1:17">
      <c r="A954" s="4">
        <f>IF(B954=" "," ",HYPERLINK(CONCATENATE("#metadata!",ADDRESS(INDEX($J$2:$J$1001,MATCH(ROWS($H$2:H954),$H$2:$H$1001,0),0),1)),INDEX($M$2:$M$1001,MATCH(ROWS($H$2:H954),$H$2:$H$1001,0),0)))</f>
        <v>0</v>
      </c>
      <c r="B954" s="3">
        <f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>0</v>
      </c>
      <c r="C954" s="3">
        <f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>0</v>
      </c>
      <c r="D954" s="3">
        <f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>0</v>
      </c>
      <c r="H954">
        <v>0</v>
      </c>
      <c r="I954">
        <v>0</v>
      </c>
      <c r="J954">
        <v>0</v>
      </c>
      <c r="K954">
        <f>IF(L954,TRUE,AND(O954:Q954))</f>
        <v>0</v>
      </c>
      <c r="L954">
        <f>COUNTBLANK(Metadata!B954:D954)=COLUMNS(Metadata!B954:D954)</f>
        <v>0</v>
      </c>
      <c r="M954">
        <v>0</v>
      </c>
      <c r="O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>
        <f>AND(IF(Metadata!C954="",FALSE,TRUE),exact(Metadata!C954,"rat metagenome"))</f>
        <v>0</v>
      </c>
      <c r="Q954">
        <f>AND(IF(Metadata!D954="",FALSE,TRUE),exact(Metadata!D954,"1427740"))</f>
        <v>0</v>
      </c>
    </row>
    <row r="955" spans="1:17">
      <c r="A955" s="4">
        <f>IF(B955=" "," ",HYPERLINK(CONCATENATE("#metadata!",ADDRESS(INDEX($J$2:$J$1001,MATCH(ROWS($H$2:H955),$H$2:$H$1001,0),0),1)),INDEX($M$2:$M$1001,MATCH(ROWS($H$2:H955),$H$2:$H$1001,0),0)))</f>
        <v>0</v>
      </c>
      <c r="B955" s="3">
        <f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>0</v>
      </c>
      <c r="C955" s="3">
        <f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>0</v>
      </c>
      <c r="D955" s="3">
        <f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>0</v>
      </c>
      <c r="H955">
        <v>0</v>
      </c>
      <c r="I955">
        <v>0</v>
      </c>
      <c r="J955">
        <v>0</v>
      </c>
      <c r="K955">
        <f>IF(L955,TRUE,AND(O955:Q955))</f>
        <v>0</v>
      </c>
      <c r="L955">
        <f>COUNTBLANK(Metadata!B955:D955)=COLUMNS(Metadata!B955:D955)</f>
        <v>0</v>
      </c>
      <c r="M955">
        <v>0</v>
      </c>
      <c r="O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>
        <f>AND(IF(Metadata!C955="",FALSE,TRUE),exact(Metadata!C955,"rat metagenome"))</f>
        <v>0</v>
      </c>
      <c r="Q955">
        <f>AND(IF(Metadata!D955="",FALSE,TRUE),exact(Metadata!D955,"1427740"))</f>
        <v>0</v>
      </c>
    </row>
    <row r="956" spans="1:17">
      <c r="A956" s="4">
        <f>IF(B956=" "," ",HYPERLINK(CONCATENATE("#metadata!",ADDRESS(INDEX($J$2:$J$1001,MATCH(ROWS($H$2:H956),$H$2:$H$1001,0),0),1)),INDEX($M$2:$M$1001,MATCH(ROWS($H$2:H956),$H$2:$H$1001,0),0)))</f>
        <v>0</v>
      </c>
      <c r="B956" s="3">
        <f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>0</v>
      </c>
      <c r="C956" s="3">
        <f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>0</v>
      </c>
      <c r="D956" s="3">
        <f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>0</v>
      </c>
      <c r="H956">
        <v>0</v>
      </c>
      <c r="I956">
        <v>0</v>
      </c>
      <c r="J956">
        <v>0</v>
      </c>
      <c r="K956">
        <f>IF(L956,TRUE,AND(O956:Q956))</f>
        <v>0</v>
      </c>
      <c r="L956">
        <f>COUNTBLANK(Metadata!B956:D956)=COLUMNS(Metadata!B956:D956)</f>
        <v>0</v>
      </c>
      <c r="M956">
        <v>0</v>
      </c>
      <c r="O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>
        <f>AND(IF(Metadata!C956="",FALSE,TRUE),exact(Metadata!C956,"rat metagenome"))</f>
        <v>0</v>
      </c>
      <c r="Q956">
        <f>AND(IF(Metadata!D956="",FALSE,TRUE),exact(Metadata!D956,"1427740"))</f>
        <v>0</v>
      </c>
    </row>
    <row r="957" spans="1:17">
      <c r="A957" s="4">
        <f>IF(B957=" "," ",HYPERLINK(CONCATENATE("#metadata!",ADDRESS(INDEX($J$2:$J$1001,MATCH(ROWS($H$2:H957),$H$2:$H$1001,0),0),1)),INDEX($M$2:$M$1001,MATCH(ROWS($H$2:H957),$H$2:$H$1001,0),0)))</f>
        <v>0</v>
      </c>
      <c r="B957" s="3">
        <f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>0</v>
      </c>
      <c r="C957" s="3">
        <f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>0</v>
      </c>
      <c r="D957" s="3">
        <f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>0</v>
      </c>
      <c r="H957">
        <v>0</v>
      </c>
      <c r="I957">
        <v>0</v>
      </c>
      <c r="J957">
        <v>0</v>
      </c>
      <c r="K957">
        <f>IF(L957,TRUE,AND(O957:Q957))</f>
        <v>0</v>
      </c>
      <c r="L957">
        <f>COUNTBLANK(Metadata!B957:D957)=COLUMNS(Metadata!B957:D957)</f>
        <v>0</v>
      </c>
      <c r="M957">
        <v>0</v>
      </c>
      <c r="O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>
        <f>AND(IF(Metadata!C957="",FALSE,TRUE),exact(Metadata!C957,"rat metagenome"))</f>
        <v>0</v>
      </c>
      <c r="Q957">
        <f>AND(IF(Metadata!D957="",FALSE,TRUE),exact(Metadata!D957,"1427740"))</f>
        <v>0</v>
      </c>
    </row>
    <row r="958" spans="1:17">
      <c r="A958" s="4">
        <f>IF(B958=" "," ",HYPERLINK(CONCATENATE("#metadata!",ADDRESS(INDEX($J$2:$J$1001,MATCH(ROWS($H$2:H958),$H$2:$H$1001,0),0),1)),INDEX($M$2:$M$1001,MATCH(ROWS($H$2:H958),$H$2:$H$1001,0),0)))</f>
        <v>0</v>
      </c>
      <c r="B958" s="3">
        <f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>0</v>
      </c>
      <c r="C958" s="3">
        <f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>0</v>
      </c>
      <c r="D958" s="3">
        <f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>0</v>
      </c>
      <c r="H958">
        <v>0</v>
      </c>
      <c r="I958">
        <v>0</v>
      </c>
      <c r="J958">
        <v>0</v>
      </c>
      <c r="K958">
        <f>IF(L958,TRUE,AND(O958:Q958))</f>
        <v>0</v>
      </c>
      <c r="L958">
        <f>COUNTBLANK(Metadata!B958:D958)=COLUMNS(Metadata!B958:D958)</f>
        <v>0</v>
      </c>
      <c r="M958">
        <v>0</v>
      </c>
      <c r="O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>
        <f>AND(IF(Metadata!C958="",FALSE,TRUE),exact(Metadata!C958,"rat metagenome"))</f>
        <v>0</v>
      </c>
      <c r="Q958">
        <f>AND(IF(Metadata!D958="",FALSE,TRUE),exact(Metadata!D958,"1427740"))</f>
        <v>0</v>
      </c>
    </row>
    <row r="959" spans="1:17">
      <c r="A959" s="4">
        <f>IF(B959=" "," ",HYPERLINK(CONCATENATE("#metadata!",ADDRESS(INDEX($J$2:$J$1001,MATCH(ROWS($H$2:H959),$H$2:$H$1001,0),0),1)),INDEX($M$2:$M$1001,MATCH(ROWS($H$2:H959),$H$2:$H$1001,0),0)))</f>
        <v>0</v>
      </c>
      <c r="B959" s="3">
        <f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>0</v>
      </c>
      <c r="C959" s="3">
        <f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>0</v>
      </c>
      <c r="D959" s="3">
        <f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>0</v>
      </c>
      <c r="H959">
        <v>0</v>
      </c>
      <c r="I959">
        <v>0</v>
      </c>
      <c r="J959">
        <v>0</v>
      </c>
      <c r="K959">
        <f>IF(L959,TRUE,AND(O959:Q959))</f>
        <v>0</v>
      </c>
      <c r="L959">
        <f>COUNTBLANK(Metadata!B959:D959)=COLUMNS(Metadata!B959:D959)</f>
        <v>0</v>
      </c>
      <c r="M959">
        <v>0</v>
      </c>
      <c r="O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>
        <f>AND(IF(Metadata!C959="",FALSE,TRUE),exact(Metadata!C959,"rat metagenome"))</f>
        <v>0</v>
      </c>
      <c r="Q959">
        <f>AND(IF(Metadata!D959="",FALSE,TRUE),exact(Metadata!D959,"1427740"))</f>
        <v>0</v>
      </c>
    </row>
    <row r="960" spans="1:17">
      <c r="A960" s="4">
        <f>IF(B960=" "," ",HYPERLINK(CONCATENATE("#metadata!",ADDRESS(INDEX($J$2:$J$1001,MATCH(ROWS($H$2:H960),$H$2:$H$1001,0),0),1)),INDEX($M$2:$M$1001,MATCH(ROWS($H$2:H960),$H$2:$H$1001,0),0)))</f>
        <v>0</v>
      </c>
      <c r="B960" s="3">
        <f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>0</v>
      </c>
      <c r="C960" s="3">
        <f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>0</v>
      </c>
      <c r="D960" s="3">
        <f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>0</v>
      </c>
      <c r="H960">
        <v>0</v>
      </c>
      <c r="I960">
        <v>0</v>
      </c>
      <c r="J960">
        <v>0</v>
      </c>
      <c r="K960">
        <f>IF(L960,TRUE,AND(O960:Q960))</f>
        <v>0</v>
      </c>
      <c r="L960">
        <f>COUNTBLANK(Metadata!B960:D960)=COLUMNS(Metadata!B960:D960)</f>
        <v>0</v>
      </c>
      <c r="M960">
        <v>0</v>
      </c>
      <c r="O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>
        <f>AND(IF(Metadata!C960="",FALSE,TRUE),exact(Metadata!C960,"rat metagenome"))</f>
        <v>0</v>
      </c>
      <c r="Q960">
        <f>AND(IF(Metadata!D960="",FALSE,TRUE),exact(Metadata!D960,"1427740"))</f>
        <v>0</v>
      </c>
    </row>
    <row r="961" spans="1:17">
      <c r="A961" s="4">
        <f>IF(B961=" "," ",HYPERLINK(CONCATENATE("#metadata!",ADDRESS(INDEX($J$2:$J$1001,MATCH(ROWS($H$2:H961),$H$2:$H$1001,0),0),1)),INDEX($M$2:$M$1001,MATCH(ROWS($H$2:H961),$H$2:$H$1001,0),0)))</f>
        <v>0</v>
      </c>
      <c r="B961" s="3">
        <f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>0</v>
      </c>
      <c r="C961" s="3">
        <f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>0</v>
      </c>
      <c r="D961" s="3">
        <f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>0</v>
      </c>
      <c r="H961">
        <v>0</v>
      </c>
      <c r="I961">
        <v>0</v>
      </c>
      <c r="J961">
        <v>0</v>
      </c>
      <c r="K961">
        <f>IF(L961,TRUE,AND(O961:Q961))</f>
        <v>0</v>
      </c>
      <c r="L961">
        <f>COUNTBLANK(Metadata!B961:D961)=COLUMNS(Metadata!B961:D961)</f>
        <v>0</v>
      </c>
      <c r="M961">
        <v>0</v>
      </c>
      <c r="O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>
        <f>AND(IF(Metadata!C961="",FALSE,TRUE),exact(Metadata!C961,"rat metagenome"))</f>
        <v>0</v>
      </c>
      <c r="Q961">
        <f>AND(IF(Metadata!D961="",FALSE,TRUE),exact(Metadata!D961,"1427740"))</f>
        <v>0</v>
      </c>
    </row>
    <row r="962" spans="1:17">
      <c r="A962" s="4">
        <f>IF(B962=" "," ",HYPERLINK(CONCATENATE("#metadata!",ADDRESS(INDEX($J$2:$J$1001,MATCH(ROWS($H$2:H962),$H$2:$H$1001,0),0),1)),INDEX($M$2:$M$1001,MATCH(ROWS($H$2:H962),$H$2:$H$1001,0),0)))</f>
        <v>0</v>
      </c>
      <c r="B962" s="3">
        <f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>0</v>
      </c>
      <c r="C962" s="3">
        <f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>0</v>
      </c>
      <c r="D962" s="3">
        <f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>0</v>
      </c>
      <c r="H962">
        <v>0</v>
      </c>
      <c r="I962">
        <v>0</v>
      </c>
      <c r="J962">
        <v>0</v>
      </c>
      <c r="K962">
        <f>IF(L962,TRUE,AND(O962:Q962))</f>
        <v>0</v>
      </c>
      <c r="L962">
        <f>COUNTBLANK(Metadata!B962:D962)=COLUMNS(Metadata!B962:D962)</f>
        <v>0</v>
      </c>
      <c r="M962">
        <v>0</v>
      </c>
      <c r="O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>
        <f>AND(IF(Metadata!C962="",FALSE,TRUE),exact(Metadata!C962,"rat metagenome"))</f>
        <v>0</v>
      </c>
      <c r="Q962">
        <f>AND(IF(Metadata!D962="",FALSE,TRUE),exact(Metadata!D962,"1427740"))</f>
        <v>0</v>
      </c>
    </row>
    <row r="963" spans="1:17">
      <c r="A963" s="4">
        <f>IF(B963=" "," ",HYPERLINK(CONCATENATE("#metadata!",ADDRESS(INDEX($J$2:$J$1001,MATCH(ROWS($H$2:H963),$H$2:$H$1001,0),0),1)),INDEX($M$2:$M$1001,MATCH(ROWS($H$2:H963),$H$2:$H$1001,0),0)))</f>
        <v>0</v>
      </c>
      <c r="B963" s="3">
        <f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>0</v>
      </c>
      <c r="C963" s="3">
        <f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>0</v>
      </c>
      <c r="D963" s="3">
        <f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>0</v>
      </c>
      <c r="H963">
        <v>0</v>
      </c>
      <c r="I963">
        <v>0</v>
      </c>
      <c r="J963">
        <v>0</v>
      </c>
      <c r="K963">
        <f>IF(L963,TRUE,AND(O963:Q963))</f>
        <v>0</v>
      </c>
      <c r="L963">
        <f>COUNTBLANK(Metadata!B963:D963)=COLUMNS(Metadata!B963:D963)</f>
        <v>0</v>
      </c>
      <c r="M963">
        <v>0</v>
      </c>
      <c r="O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>
        <f>AND(IF(Metadata!C963="",FALSE,TRUE),exact(Metadata!C963,"rat metagenome"))</f>
        <v>0</v>
      </c>
      <c r="Q963">
        <f>AND(IF(Metadata!D963="",FALSE,TRUE),exact(Metadata!D963,"1427740"))</f>
        <v>0</v>
      </c>
    </row>
    <row r="964" spans="1:17">
      <c r="A964" s="4">
        <f>IF(B964=" "," ",HYPERLINK(CONCATENATE("#metadata!",ADDRESS(INDEX($J$2:$J$1001,MATCH(ROWS($H$2:H964),$H$2:$H$1001,0),0),1)),INDEX($M$2:$M$1001,MATCH(ROWS($H$2:H964),$H$2:$H$1001,0),0)))</f>
        <v>0</v>
      </c>
      <c r="B964" s="3">
        <f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>0</v>
      </c>
      <c r="C964" s="3">
        <f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>0</v>
      </c>
      <c r="D964" s="3">
        <f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>0</v>
      </c>
      <c r="H964">
        <v>0</v>
      </c>
      <c r="I964">
        <v>0</v>
      </c>
      <c r="J964">
        <v>0</v>
      </c>
      <c r="K964">
        <f>IF(L964,TRUE,AND(O964:Q964))</f>
        <v>0</v>
      </c>
      <c r="L964">
        <f>COUNTBLANK(Metadata!B964:D964)=COLUMNS(Metadata!B964:D964)</f>
        <v>0</v>
      </c>
      <c r="M964">
        <v>0</v>
      </c>
      <c r="O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>
        <f>AND(IF(Metadata!C964="",FALSE,TRUE),exact(Metadata!C964,"rat metagenome"))</f>
        <v>0</v>
      </c>
      <c r="Q964">
        <f>AND(IF(Metadata!D964="",FALSE,TRUE),exact(Metadata!D964,"1427740"))</f>
        <v>0</v>
      </c>
    </row>
    <row r="965" spans="1:17">
      <c r="A965" s="4">
        <f>IF(B965=" "," ",HYPERLINK(CONCATENATE("#metadata!",ADDRESS(INDEX($J$2:$J$1001,MATCH(ROWS($H$2:H965),$H$2:$H$1001,0),0),1)),INDEX($M$2:$M$1001,MATCH(ROWS($H$2:H965),$H$2:$H$1001,0),0)))</f>
        <v>0</v>
      </c>
      <c r="B965" s="3">
        <f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>0</v>
      </c>
      <c r="C965" s="3">
        <f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>0</v>
      </c>
      <c r="D965" s="3">
        <f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>0</v>
      </c>
      <c r="H965">
        <v>0</v>
      </c>
      <c r="I965">
        <v>0</v>
      </c>
      <c r="J965">
        <v>0</v>
      </c>
      <c r="K965">
        <f>IF(L965,TRUE,AND(O965:Q965))</f>
        <v>0</v>
      </c>
      <c r="L965">
        <f>COUNTBLANK(Metadata!B965:D965)=COLUMNS(Metadata!B965:D965)</f>
        <v>0</v>
      </c>
      <c r="M965">
        <v>0</v>
      </c>
      <c r="O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>
        <f>AND(IF(Metadata!C965="",FALSE,TRUE),exact(Metadata!C965,"rat metagenome"))</f>
        <v>0</v>
      </c>
      <c r="Q965">
        <f>AND(IF(Metadata!D965="",FALSE,TRUE),exact(Metadata!D965,"1427740"))</f>
        <v>0</v>
      </c>
    </row>
    <row r="966" spans="1:17">
      <c r="A966" s="4">
        <f>IF(B966=" "," ",HYPERLINK(CONCATENATE("#metadata!",ADDRESS(INDEX($J$2:$J$1001,MATCH(ROWS($H$2:H966),$H$2:$H$1001,0),0),1)),INDEX($M$2:$M$1001,MATCH(ROWS($H$2:H966),$H$2:$H$1001,0),0)))</f>
        <v>0</v>
      </c>
      <c r="B966" s="3">
        <f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>0</v>
      </c>
      <c r="C966" s="3">
        <f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>0</v>
      </c>
      <c r="D966" s="3">
        <f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>0</v>
      </c>
      <c r="H966">
        <v>0</v>
      </c>
      <c r="I966">
        <v>0</v>
      </c>
      <c r="J966">
        <v>0</v>
      </c>
      <c r="K966">
        <f>IF(L966,TRUE,AND(O966:Q966))</f>
        <v>0</v>
      </c>
      <c r="L966">
        <f>COUNTBLANK(Metadata!B966:D966)=COLUMNS(Metadata!B966:D966)</f>
        <v>0</v>
      </c>
      <c r="M966">
        <v>0</v>
      </c>
      <c r="O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>
        <f>AND(IF(Metadata!C966="",FALSE,TRUE),exact(Metadata!C966,"rat metagenome"))</f>
        <v>0</v>
      </c>
      <c r="Q966">
        <f>AND(IF(Metadata!D966="",FALSE,TRUE),exact(Metadata!D966,"1427740"))</f>
        <v>0</v>
      </c>
    </row>
    <row r="967" spans="1:17">
      <c r="A967" s="4">
        <f>IF(B967=" "," ",HYPERLINK(CONCATENATE("#metadata!",ADDRESS(INDEX($J$2:$J$1001,MATCH(ROWS($H$2:H967),$H$2:$H$1001,0),0),1)),INDEX($M$2:$M$1001,MATCH(ROWS($H$2:H967),$H$2:$H$1001,0),0)))</f>
        <v>0</v>
      </c>
      <c r="B967" s="3">
        <f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>0</v>
      </c>
      <c r="C967" s="3">
        <f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>0</v>
      </c>
      <c r="D967" s="3">
        <f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>0</v>
      </c>
      <c r="H967">
        <v>0</v>
      </c>
      <c r="I967">
        <v>0</v>
      </c>
      <c r="J967">
        <v>0</v>
      </c>
      <c r="K967">
        <f>IF(L967,TRUE,AND(O967:Q967))</f>
        <v>0</v>
      </c>
      <c r="L967">
        <f>COUNTBLANK(Metadata!B967:D967)=COLUMNS(Metadata!B967:D967)</f>
        <v>0</v>
      </c>
      <c r="M967">
        <v>0</v>
      </c>
      <c r="O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>
        <f>AND(IF(Metadata!C967="",FALSE,TRUE),exact(Metadata!C967,"rat metagenome"))</f>
        <v>0</v>
      </c>
      <c r="Q967">
        <f>AND(IF(Metadata!D967="",FALSE,TRUE),exact(Metadata!D967,"1427740"))</f>
        <v>0</v>
      </c>
    </row>
    <row r="968" spans="1:17">
      <c r="A968" s="4">
        <f>IF(B968=" "," ",HYPERLINK(CONCATENATE("#metadata!",ADDRESS(INDEX($J$2:$J$1001,MATCH(ROWS($H$2:H968),$H$2:$H$1001,0),0),1)),INDEX($M$2:$M$1001,MATCH(ROWS($H$2:H968),$H$2:$H$1001,0),0)))</f>
        <v>0</v>
      </c>
      <c r="B968" s="3">
        <f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>0</v>
      </c>
      <c r="C968" s="3">
        <f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>0</v>
      </c>
      <c r="D968" s="3">
        <f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>0</v>
      </c>
      <c r="H968">
        <v>0</v>
      </c>
      <c r="I968">
        <v>0</v>
      </c>
      <c r="J968">
        <v>0</v>
      </c>
      <c r="K968">
        <f>IF(L968,TRUE,AND(O968:Q968))</f>
        <v>0</v>
      </c>
      <c r="L968">
        <f>COUNTBLANK(Metadata!B968:D968)=COLUMNS(Metadata!B968:D968)</f>
        <v>0</v>
      </c>
      <c r="M968">
        <v>0</v>
      </c>
      <c r="O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>
        <f>AND(IF(Metadata!C968="",FALSE,TRUE),exact(Metadata!C968,"rat metagenome"))</f>
        <v>0</v>
      </c>
      <c r="Q968">
        <f>AND(IF(Metadata!D968="",FALSE,TRUE),exact(Metadata!D968,"1427740"))</f>
        <v>0</v>
      </c>
    </row>
    <row r="969" spans="1:17">
      <c r="A969" s="4">
        <f>IF(B969=" "," ",HYPERLINK(CONCATENATE("#metadata!",ADDRESS(INDEX($J$2:$J$1001,MATCH(ROWS($H$2:H969),$H$2:$H$1001,0),0),1)),INDEX($M$2:$M$1001,MATCH(ROWS($H$2:H969),$H$2:$H$1001,0),0)))</f>
        <v>0</v>
      </c>
      <c r="B969" s="3">
        <f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>0</v>
      </c>
      <c r="C969" s="3">
        <f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>0</v>
      </c>
      <c r="D969" s="3">
        <f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>0</v>
      </c>
      <c r="H969">
        <v>0</v>
      </c>
      <c r="I969">
        <v>0</v>
      </c>
      <c r="J969">
        <v>0</v>
      </c>
      <c r="K969">
        <f>IF(L969,TRUE,AND(O969:Q969))</f>
        <v>0</v>
      </c>
      <c r="L969">
        <f>COUNTBLANK(Metadata!B969:D969)=COLUMNS(Metadata!B969:D969)</f>
        <v>0</v>
      </c>
      <c r="M969">
        <v>0</v>
      </c>
      <c r="O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>
        <f>AND(IF(Metadata!C969="",FALSE,TRUE),exact(Metadata!C969,"rat metagenome"))</f>
        <v>0</v>
      </c>
      <c r="Q969">
        <f>AND(IF(Metadata!D969="",FALSE,TRUE),exact(Metadata!D969,"1427740"))</f>
        <v>0</v>
      </c>
    </row>
    <row r="970" spans="1:17">
      <c r="A970" s="4">
        <f>IF(B970=" "," ",HYPERLINK(CONCATENATE("#metadata!",ADDRESS(INDEX($J$2:$J$1001,MATCH(ROWS($H$2:H970),$H$2:$H$1001,0),0),1)),INDEX($M$2:$M$1001,MATCH(ROWS($H$2:H970),$H$2:$H$1001,0),0)))</f>
        <v>0</v>
      </c>
      <c r="B970" s="3">
        <f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>0</v>
      </c>
      <c r="C970" s="3">
        <f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>0</v>
      </c>
      <c r="D970" s="3">
        <f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>0</v>
      </c>
      <c r="H970">
        <v>0</v>
      </c>
      <c r="I970">
        <v>0</v>
      </c>
      <c r="J970">
        <v>0</v>
      </c>
      <c r="K970">
        <f>IF(L970,TRUE,AND(O970:Q970))</f>
        <v>0</v>
      </c>
      <c r="L970">
        <f>COUNTBLANK(Metadata!B970:D970)=COLUMNS(Metadata!B970:D970)</f>
        <v>0</v>
      </c>
      <c r="M970">
        <v>0</v>
      </c>
      <c r="O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>
        <f>AND(IF(Metadata!C970="",FALSE,TRUE),exact(Metadata!C970,"rat metagenome"))</f>
        <v>0</v>
      </c>
      <c r="Q970">
        <f>AND(IF(Metadata!D970="",FALSE,TRUE),exact(Metadata!D970,"1427740"))</f>
        <v>0</v>
      </c>
    </row>
    <row r="971" spans="1:17">
      <c r="A971" s="4">
        <f>IF(B971=" "," ",HYPERLINK(CONCATENATE("#metadata!",ADDRESS(INDEX($J$2:$J$1001,MATCH(ROWS($H$2:H971),$H$2:$H$1001,0),0),1)),INDEX($M$2:$M$1001,MATCH(ROWS($H$2:H971),$H$2:$H$1001,0),0)))</f>
        <v>0</v>
      </c>
      <c r="B971" s="3">
        <f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>0</v>
      </c>
      <c r="C971" s="3">
        <f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>0</v>
      </c>
      <c r="D971" s="3">
        <f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>0</v>
      </c>
      <c r="H971">
        <v>0</v>
      </c>
      <c r="I971">
        <v>0</v>
      </c>
      <c r="J971">
        <v>0</v>
      </c>
      <c r="K971">
        <f>IF(L971,TRUE,AND(O971:Q971))</f>
        <v>0</v>
      </c>
      <c r="L971">
        <f>COUNTBLANK(Metadata!B971:D971)=COLUMNS(Metadata!B971:D971)</f>
        <v>0</v>
      </c>
      <c r="M971">
        <v>0</v>
      </c>
      <c r="O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>
        <f>AND(IF(Metadata!C971="",FALSE,TRUE),exact(Metadata!C971,"rat metagenome"))</f>
        <v>0</v>
      </c>
      <c r="Q971">
        <f>AND(IF(Metadata!D971="",FALSE,TRUE),exact(Metadata!D971,"1427740"))</f>
        <v>0</v>
      </c>
    </row>
    <row r="972" spans="1:17">
      <c r="A972" s="4">
        <f>IF(B972=" "," ",HYPERLINK(CONCATENATE("#metadata!",ADDRESS(INDEX($J$2:$J$1001,MATCH(ROWS($H$2:H972),$H$2:$H$1001,0),0),1)),INDEX($M$2:$M$1001,MATCH(ROWS($H$2:H972),$H$2:$H$1001,0),0)))</f>
        <v>0</v>
      </c>
      <c r="B972" s="3">
        <f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>0</v>
      </c>
      <c r="C972" s="3">
        <f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>0</v>
      </c>
      <c r="D972" s="3">
        <f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>0</v>
      </c>
      <c r="H972">
        <v>0</v>
      </c>
      <c r="I972">
        <v>0</v>
      </c>
      <c r="J972">
        <v>0</v>
      </c>
      <c r="K972">
        <f>IF(L972,TRUE,AND(O972:Q972))</f>
        <v>0</v>
      </c>
      <c r="L972">
        <f>COUNTBLANK(Metadata!B972:D972)=COLUMNS(Metadata!B972:D972)</f>
        <v>0</v>
      </c>
      <c r="M972">
        <v>0</v>
      </c>
      <c r="O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>
        <f>AND(IF(Metadata!C972="",FALSE,TRUE),exact(Metadata!C972,"rat metagenome"))</f>
        <v>0</v>
      </c>
      <c r="Q972">
        <f>AND(IF(Metadata!D972="",FALSE,TRUE),exact(Metadata!D972,"1427740"))</f>
        <v>0</v>
      </c>
    </row>
    <row r="973" spans="1:17">
      <c r="A973" s="4">
        <f>IF(B973=" "," ",HYPERLINK(CONCATENATE("#metadata!",ADDRESS(INDEX($J$2:$J$1001,MATCH(ROWS($H$2:H973),$H$2:$H$1001,0),0),1)),INDEX($M$2:$M$1001,MATCH(ROWS($H$2:H973),$H$2:$H$1001,0),0)))</f>
        <v>0</v>
      </c>
      <c r="B973" s="3">
        <f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>0</v>
      </c>
      <c r="C973" s="3">
        <f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>0</v>
      </c>
      <c r="D973" s="3">
        <f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>0</v>
      </c>
      <c r="H973">
        <v>0</v>
      </c>
      <c r="I973">
        <v>0</v>
      </c>
      <c r="J973">
        <v>0</v>
      </c>
      <c r="K973">
        <f>IF(L973,TRUE,AND(O973:Q973))</f>
        <v>0</v>
      </c>
      <c r="L973">
        <f>COUNTBLANK(Metadata!B973:D973)=COLUMNS(Metadata!B973:D973)</f>
        <v>0</v>
      </c>
      <c r="M973">
        <v>0</v>
      </c>
      <c r="O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>
        <f>AND(IF(Metadata!C973="",FALSE,TRUE),exact(Metadata!C973,"rat metagenome"))</f>
        <v>0</v>
      </c>
      <c r="Q973">
        <f>AND(IF(Metadata!D973="",FALSE,TRUE),exact(Metadata!D973,"1427740"))</f>
        <v>0</v>
      </c>
    </row>
    <row r="974" spans="1:17">
      <c r="A974" s="4">
        <f>IF(B974=" "," ",HYPERLINK(CONCATENATE("#metadata!",ADDRESS(INDEX($J$2:$J$1001,MATCH(ROWS($H$2:H974),$H$2:$H$1001,0),0),1)),INDEX($M$2:$M$1001,MATCH(ROWS($H$2:H974),$H$2:$H$1001,0),0)))</f>
        <v>0</v>
      </c>
      <c r="B974" s="3">
        <f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>0</v>
      </c>
      <c r="C974" s="3">
        <f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>0</v>
      </c>
      <c r="D974" s="3">
        <f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>0</v>
      </c>
      <c r="H974">
        <v>0</v>
      </c>
      <c r="I974">
        <v>0</v>
      </c>
      <c r="J974">
        <v>0</v>
      </c>
      <c r="K974">
        <f>IF(L974,TRUE,AND(O974:Q974))</f>
        <v>0</v>
      </c>
      <c r="L974">
        <f>COUNTBLANK(Metadata!B974:D974)=COLUMNS(Metadata!B974:D974)</f>
        <v>0</v>
      </c>
      <c r="M974">
        <v>0</v>
      </c>
      <c r="O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>
        <f>AND(IF(Metadata!C974="",FALSE,TRUE),exact(Metadata!C974,"rat metagenome"))</f>
        <v>0</v>
      </c>
      <c r="Q974">
        <f>AND(IF(Metadata!D974="",FALSE,TRUE),exact(Metadata!D974,"1427740"))</f>
        <v>0</v>
      </c>
    </row>
    <row r="975" spans="1:17">
      <c r="A975" s="4">
        <f>IF(B975=" "," ",HYPERLINK(CONCATENATE("#metadata!",ADDRESS(INDEX($J$2:$J$1001,MATCH(ROWS($H$2:H975),$H$2:$H$1001,0),0),1)),INDEX($M$2:$M$1001,MATCH(ROWS($H$2:H975),$H$2:$H$1001,0),0)))</f>
        <v>0</v>
      </c>
      <c r="B975" s="3">
        <f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>0</v>
      </c>
      <c r="C975" s="3">
        <f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>0</v>
      </c>
      <c r="D975" s="3">
        <f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>0</v>
      </c>
      <c r="H975">
        <v>0</v>
      </c>
      <c r="I975">
        <v>0</v>
      </c>
      <c r="J975">
        <v>0</v>
      </c>
      <c r="K975">
        <f>IF(L975,TRUE,AND(O975:Q975))</f>
        <v>0</v>
      </c>
      <c r="L975">
        <f>COUNTBLANK(Metadata!B975:D975)=COLUMNS(Metadata!B975:D975)</f>
        <v>0</v>
      </c>
      <c r="M975">
        <v>0</v>
      </c>
      <c r="O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>
        <f>AND(IF(Metadata!C975="",FALSE,TRUE),exact(Metadata!C975,"rat metagenome"))</f>
        <v>0</v>
      </c>
      <c r="Q975">
        <f>AND(IF(Metadata!D975="",FALSE,TRUE),exact(Metadata!D975,"1427740"))</f>
        <v>0</v>
      </c>
    </row>
    <row r="976" spans="1:17">
      <c r="A976" s="4">
        <f>IF(B976=" "," ",HYPERLINK(CONCATENATE("#metadata!",ADDRESS(INDEX($J$2:$J$1001,MATCH(ROWS($H$2:H976),$H$2:$H$1001,0),0),1)),INDEX($M$2:$M$1001,MATCH(ROWS($H$2:H976),$H$2:$H$1001,0),0)))</f>
        <v>0</v>
      </c>
      <c r="B976" s="3">
        <f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>0</v>
      </c>
      <c r="C976" s="3">
        <f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>0</v>
      </c>
      <c r="D976" s="3">
        <f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>0</v>
      </c>
      <c r="H976">
        <v>0</v>
      </c>
      <c r="I976">
        <v>0</v>
      </c>
      <c r="J976">
        <v>0</v>
      </c>
      <c r="K976">
        <f>IF(L976,TRUE,AND(O976:Q976))</f>
        <v>0</v>
      </c>
      <c r="L976">
        <f>COUNTBLANK(Metadata!B976:D976)=COLUMNS(Metadata!B976:D976)</f>
        <v>0</v>
      </c>
      <c r="M976">
        <v>0</v>
      </c>
      <c r="O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>
        <f>AND(IF(Metadata!C976="",FALSE,TRUE),exact(Metadata!C976,"rat metagenome"))</f>
        <v>0</v>
      </c>
      <c r="Q976">
        <f>AND(IF(Metadata!D976="",FALSE,TRUE),exact(Metadata!D976,"1427740"))</f>
        <v>0</v>
      </c>
    </row>
    <row r="977" spans="1:17">
      <c r="A977" s="4">
        <f>IF(B977=" "," ",HYPERLINK(CONCATENATE("#metadata!",ADDRESS(INDEX($J$2:$J$1001,MATCH(ROWS($H$2:H977),$H$2:$H$1001,0),0),1)),INDEX($M$2:$M$1001,MATCH(ROWS($H$2:H977),$H$2:$H$1001,0),0)))</f>
        <v>0</v>
      </c>
      <c r="B977" s="3">
        <f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>0</v>
      </c>
      <c r="C977" s="3">
        <f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>0</v>
      </c>
      <c r="D977" s="3">
        <f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>0</v>
      </c>
      <c r="H977">
        <v>0</v>
      </c>
      <c r="I977">
        <v>0</v>
      </c>
      <c r="J977">
        <v>0</v>
      </c>
      <c r="K977">
        <f>IF(L977,TRUE,AND(O977:Q977))</f>
        <v>0</v>
      </c>
      <c r="L977">
        <f>COUNTBLANK(Metadata!B977:D977)=COLUMNS(Metadata!B977:D977)</f>
        <v>0</v>
      </c>
      <c r="M977">
        <v>0</v>
      </c>
      <c r="O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>
        <f>AND(IF(Metadata!C977="",FALSE,TRUE),exact(Metadata!C977,"rat metagenome"))</f>
        <v>0</v>
      </c>
      <c r="Q977">
        <f>AND(IF(Metadata!D977="",FALSE,TRUE),exact(Metadata!D977,"1427740"))</f>
        <v>0</v>
      </c>
    </row>
    <row r="978" spans="1:17">
      <c r="A978" s="4">
        <f>IF(B978=" "," ",HYPERLINK(CONCATENATE("#metadata!",ADDRESS(INDEX($J$2:$J$1001,MATCH(ROWS($H$2:H978),$H$2:$H$1001,0),0),1)),INDEX($M$2:$M$1001,MATCH(ROWS($H$2:H978),$H$2:$H$1001,0),0)))</f>
        <v>0</v>
      </c>
      <c r="B978" s="3">
        <f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>0</v>
      </c>
      <c r="C978" s="3">
        <f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>0</v>
      </c>
      <c r="D978" s="3">
        <f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>0</v>
      </c>
      <c r="H978">
        <v>0</v>
      </c>
      <c r="I978">
        <v>0</v>
      </c>
      <c r="J978">
        <v>0</v>
      </c>
      <c r="K978">
        <f>IF(L978,TRUE,AND(O978:Q978))</f>
        <v>0</v>
      </c>
      <c r="L978">
        <f>COUNTBLANK(Metadata!B978:D978)=COLUMNS(Metadata!B978:D978)</f>
        <v>0</v>
      </c>
      <c r="M978">
        <v>0</v>
      </c>
      <c r="O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>
        <f>AND(IF(Metadata!C978="",FALSE,TRUE),exact(Metadata!C978,"rat metagenome"))</f>
        <v>0</v>
      </c>
      <c r="Q978">
        <f>AND(IF(Metadata!D978="",FALSE,TRUE),exact(Metadata!D978,"1427740"))</f>
        <v>0</v>
      </c>
    </row>
    <row r="979" spans="1:17">
      <c r="A979" s="4">
        <f>IF(B979=" "," ",HYPERLINK(CONCATENATE("#metadata!",ADDRESS(INDEX($J$2:$J$1001,MATCH(ROWS($H$2:H979),$H$2:$H$1001,0),0),1)),INDEX($M$2:$M$1001,MATCH(ROWS($H$2:H979),$H$2:$H$1001,0),0)))</f>
        <v>0</v>
      </c>
      <c r="B979" s="3">
        <f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>0</v>
      </c>
      <c r="C979" s="3">
        <f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>0</v>
      </c>
      <c r="D979" s="3">
        <f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>0</v>
      </c>
      <c r="H979">
        <v>0</v>
      </c>
      <c r="I979">
        <v>0</v>
      </c>
      <c r="J979">
        <v>0</v>
      </c>
      <c r="K979">
        <f>IF(L979,TRUE,AND(O979:Q979))</f>
        <v>0</v>
      </c>
      <c r="L979">
        <f>COUNTBLANK(Metadata!B979:D979)=COLUMNS(Metadata!B979:D979)</f>
        <v>0</v>
      </c>
      <c r="M979">
        <v>0</v>
      </c>
      <c r="O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>
        <f>AND(IF(Metadata!C979="",FALSE,TRUE),exact(Metadata!C979,"rat metagenome"))</f>
        <v>0</v>
      </c>
      <c r="Q979">
        <f>AND(IF(Metadata!D979="",FALSE,TRUE),exact(Metadata!D979,"1427740"))</f>
        <v>0</v>
      </c>
    </row>
    <row r="980" spans="1:17">
      <c r="A980" s="4">
        <f>IF(B980=" "," ",HYPERLINK(CONCATENATE("#metadata!",ADDRESS(INDEX($J$2:$J$1001,MATCH(ROWS($H$2:H980),$H$2:$H$1001,0),0),1)),INDEX($M$2:$M$1001,MATCH(ROWS($H$2:H980),$H$2:$H$1001,0),0)))</f>
        <v>0</v>
      </c>
      <c r="B980" s="3">
        <f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>0</v>
      </c>
      <c r="C980" s="3">
        <f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>0</v>
      </c>
      <c r="D980" s="3">
        <f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>0</v>
      </c>
      <c r="H980">
        <v>0</v>
      </c>
      <c r="I980">
        <v>0</v>
      </c>
      <c r="J980">
        <v>0</v>
      </c>
      <c r="K980">
        <f>IF(L980,TRUE,AND(O980:Q980))</f>
        <v>0</v>
      </c>
      <c r="L980">
        <f>COUNTBLANK(Metadata!B980:D980)=COLUMNS(Metadata!B980:D980)</f>
        <v>0</v>
      </c>
      <c r="M980">
        <v>0</v>
      </c>
      <c r="O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>
        <f>AND(IF(Metadata!C980="",FALSE,TRUE),exact(Metadata!C980,"rat metagenome"))</f>
        <v>0</v>
      </c>
      <c r="Q980">
        <f>AND(IF(Metadata!D980="",FALSE,TRUE),exact(Metadata!D980,"1427740"))</f>
        <v>0</v>
      </c>
    </row>
    <row r="981" spans="1:17">
      <c r="A981" s="4">
        <f>IF(B981=" "," ",HYPERLINK(CONCATENATE("#metadata!",ADDRESS(INDEX($J$2:$J$1001,MATCH(ROWS($H$2:H981),$H$2:$H$1001,0),0),1)),INDEX($M$2:$M$1001,MATCH(ROWS($H$2:H981),$H$2:$H$1001,0),0)))</f>
        <v>0</v>
      </c>
      <c r="B981" s="3">
        <f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>0</v>
      </c>
      <c r="C981" s="3">
        <f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>0</v>
      </c>
      <c r="D981" s="3">
        <f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>0</v>
      </c>
      <c r="H981">
        <v>0</v>
      </c>
      <c r="I981">
        <v>0</v>
      </c>
      <c r="J981">
        <v>0</v>
      </c>
      <c r="K981">
        <f>IF(L981,TRUE,AND(O981:Q981))</f>
        <v>0</v>
      </c>
      <c r="L981">
        <f>COUNTBLANK(Metadata!B981:D981)=COLUMNS(Metadata!B981:D981)</f>
        <v>0</v>
      </c>
      <c r="M981">
        <v>0</v>
      </c>
      <c r="O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>
        <f>AND(IF(Metadata!C981="",FALSE,TRUE),exact(Metadata!C981,"rat metagenome"))</f>
        <v>0</v>
      </c>
      <c r="Q981">
        <f>AND(IF(Metadata!D981="",FALSE,TRUE),exact(Metadata!D981,"1427740"))</f>
        <v>0</v>
      </c>
    </row>
    <row r="982" spans="1:17">
      <c r="A982" s="4">
        <f>IF(B982=" "," ",HYPERLINK(CONCATENATE("#metadata!",ADDRESS(INDEX($J$2:$J$1001,MATCH(ROWS($H$2:H982),$H$2:$H$1001,0),0),1)),INDEX($M$2:$M$1001,MATCH(ROWS($H$2:H982),$H$2:$H$1001,0),0)))</f>
        <v>0</v>
      </c>
      <c r="B982" s="3">
        <f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>0</v>
      </c>
      <c r="C982" s="3">
        <f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>0</v>
      </c>
      <c r="D982" s="3">
        <f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>0</v>
      </c>
      <c r="H982">
        <v>0</v>
      </c>
      <c r="I982">
        <v>0</v>
      </c>
      <c r="J982">
        <v>0</v>
      </c>
      <c r="K982">
        <f>IF(L982,TRUE,AND(O982:Q982))</f>
        <v>0</v>
      </c>
      <c r="L982">
        <f>COUNTBLANK(Metadata!B982:D982)=COLUMNS(Metadata!B982:D982)</f>
        <v>0</v>
      </c>
      <c r="M982">
        <v>0</v>
      </c>
      <c r="O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>
        <f>AND(IF(Metadata!C982="",FALSE,TRUE),exact(Metadata!C982,"rat metagenome"))</f>
        <v>0</v>
      </c>
      <c r="Q982">
        <f>AND(IF(Metadata!D982="",FALSE,TRUE),exact(Metadata!D982,"1427740"))</f>
        <v>0</v>
      </c>
    </row>
    <row r="983" spans="1:17">
      <c r="A983" s="4">
        <f>IF(B983=" "," ",HYPERLINK(CONCATENATE("#metadata!",ADDRESS(INDEX($J$2:$J$1001,MATCH(ROWS($H$2:H983),$H$2:$H$1001,0),0),1)),INDEX($M$2:$M$1001,MATCH(ROWS($H$2:H983),$H$2:$H$1001,0),0)))</f>
        <v>0</v>
      </c>
      <c r="B983" s="3">
        <f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>0</v>
      </c>
      <c r="C983" s="3">
        <f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>0</v>
      </c>
      <c r="D983" s="3">
        <f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>0</v>
      </c>
      <c r="H983">
        <v>0</v>
      </c>
      <c r="I983">
        <v>0</v>
      </c>
      <c r="J983">
        <v>0</v>
      </c>
      <c r="K983">
        <f>IF(L983,TRUE,AND(O983:Q983))</f>
        <v>0</v>
      </c>
      <c r="L983">
        <f>COUNTBLANK(Metadata!B983:D983)=COLUMNS(Metadata!B983:D983)</f>
        <v>0</v>
      </c>
      <c r="M983">
        <v>0</v>
      </c>
      <c r="O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>
        <f>AND(IF(Metadata!C983="",FALSE,TRUE),exact(Metadata!C983,"rat metagenome"))</f>
        <v>0</v>
      </c>
      <c r="Q983">
        <f>AND(IF(Metadata!D983="",FALSE,TRUE),exact(Metadata!D983,"1427740"))</f>
        <v>0</v>
      </c>
    </row>
    <row r="984" spans="1:17">
      <c r="A984" s="4">
        <f>IF(B984=" "," ",HYPERLINK(CONCATENATE("#metadata!",ADDRESS(INDEX($J$2:$J$1001,MATCH(ROWS($H$2:H984),$H$2:$H$1001,0),0),1)),INDEX($M$2:$M$1001,MATCH(ROWS($H$2:H984),$H$2:$H$1001,0),0)))</f>
        <v>0</v>
      </c>
      <c r="B984" s="3">
        <f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>0</v>
      </c>
      <c r="C984" s="3">
        <f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>0</v>
      </c>
      <c r="D984" s="3">
        <f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>0</v>
      </c>
      <c r="H984">
        <v>0</v>
      </c>
      <c r="I984">
        <v>0</v>
      </c>
      <c r="J984">
        <v>0</v>
      </c>
      <c r="K984">
        <f>IF(L984,TRUE,AND(O984:Q984))</f>
        <v>0</v>
      </c>
      <c r="L984">
        <f>COUNTBLANK(Metadata!B984:D984)=COLUMNS(Metadata!B984:D984)</f>
        <v>0</v>
      </c>
      <c r="M984">
        <v>0</v>
      </c>
      <c r="O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>
        <f>AND(IF(Metadata!C984="",FALSE,TRUE),exact(Metadata!C984,"rat metagenome"))</f>
        <v>0</v>
      </c>
      <c r="Q984">
        <f>AND(IF(Metadata!D984="",FALSE,TRUE),exact(Metadata!D984,"1427740"))</f>
        <v>0</v>
      </c>
    </row>
    <row r="985" spans="1:17">
      <c r="A985" s="4">
        <f>IF(B985=" "," ",HYPERLINK(CONCATENATE("#metadata!",ADDRESS(INDEX($J$2:$J$1001,MATCH(ROWS($H$2:H985),$H$2:$H$1001,0),0),1)),INDEX($M$2:$M$1001,MATCH(ROWS($H$2:H985),$H$2:$H$1001,0),0)))</f>
        <v>0</v>
      </c>
      <c r="B985" s="3">
        <f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>0</v>
      </c>
      <c r="C985" s="3">
        <f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>0</v>
      </c>
      <c r="D985" s="3">
        <f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>0</v>
      </c>
      <c r="H985">
        <v>0</v>
      </c>
      <c r="I985">
        <v>0</v>
      </c>
      <c r="J985">
        <v>0</v>
      </c>
      <c r="K985">
        <f>IF(L985,TRUE,AND(O985:Q985))</f>
        <v>0</v>
      </c>
      <c r="L985">
        <f>COUNTBLANK(Metadata!B985:D985)=COLUMNS(Metadata!B985:D985)</f>
        <v>0</v>
      </c>
      <c r="M985">
        <v>0</v>
      </c>
      <c r="O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>
        <f>AND(IF(Metadata!C985="",FALSE,TRUE),exact(Metadata!C985,"rat metagenome"))</f>
        <v>0</v>
      </c>
      <c r="Q985">
        <f>AND(IF(Metadata!D985="",FALSE,TRUE),exact(Metadata!D985,"1427740"))</f>
        <v>0</v>
      </c>
    </row>
    <row r="986" spans="1:17">
      <c r="A986" s="4">
        <f>IF(B986=" "," ",HYPERLINK(CONCATENATE("#metadata!",ADDRESS(INDEX($J$2:$J$1001,MATCH(ROWS($H$2:H986),$H$2:$H$1001,0),0),1)),INDEX($M$2:$M$1001,MATCH(ROWS($H$2:H986),$H$2:$H$1001,0),0)))</f>
        <v>0</v>
      </c>
      <c r="B986" s="3">
        <f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>0</v>
      </c>
      <c r="C986" s="3">
        <f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>0</v>
      </c>
      <c r="D986" s="3">
        <f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>0</v>
      </c>
      <c r="H986">
        <v>0</v>
      </c>
      <c r="I986">
        <v>0</v>
      </c>
      <c r="J986">
        <v>0</v>
      </c>
      <c r="K986">
        <f>IF(L986,TRUE,AND(O986:Q986))</f>
        <v>0</v>
      </c>
      <c r="L986">
        <f>COUNTBLANK(Metadata!B986:D986)=COLUMNS(Metadata!B986:D986)</f>
        <v>0</v>
      </c>
      <c r="M986">
        <v>0</v>
      </c>
      <c r="O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>
        <f>AND(IF(Metadata!C986="",FALSE,TRUE),exact(Metadata!C986,"rat metagenome"))</f>
        <v>0</v>
      </c>
      <c r="Q986">
        <f>AND(IF(Metadata!D986="",FALSE,TRUE),exact(Metadata!D986,"1427740"))</f>
        <v>0</v>
      </c>
    </row>
    <row r="987" spans="1:17">
      <c r="A987" s="4">
        <f>IF(B987=" "," ",HYPERLINK(CONCATENATE("#metadata!",ADDRESS(INDEX($J$2:$J$1001,MATCH(ROWS($H$2:H987),$H$2:$H$1001,0),0),1)),INDEX($M$2:$M$1001,MATCH(ROWS($H$2:H987),$H$2:$H$1001,0),0)))</f>
        <v>0</v>
      </c>
      <c r="B987" s="3">
        <f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>0</v>
      </c>
      <c r="C987" s="3">
        <f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>0</v>
      </c>
      <c r="D987" s="3">
        <f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>0</v>
      </c>
      <c r="H987">
        <v>0</v>
      </c>
      <c r="I987">
        <v>0</v>
      </c>
      <c r="J987">
        <v>0</v>
      </c>
      <c r="K987">
        <f>IF(L987,TRUE,AND(O987:Q987))</f>
        <v>0</v>
      </c>
      <c r="L987">
        <f>COUNTBLANK(Metadata!B987:D987)=COLUMNS(Metadata!B987:D987)</f>
        <v>0</v>
      </c>
      <c r="M987">
        <v>0</v>
      </c>
      <c r="O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>
        <f>AND(IF(Metadata!C987="",FALSE,TRUE),exact(Metadata!C987,"rat metagenome"))</f>
        <v>0</v>
      </c>
      <c r="Q987">
        <f>AND(IF(Metadata!D987="",FALSE,TRUE),exact(Metadata!D987,"1427740"))</f>
        <v>0</v>
      </c>
    </row>
    <row r="988" spans="1:17">
      <c r="A988" s="4">
        <f>IF(B988=" "," ",HYPERLINK(CONCATENATE("#metadata!",ADDRESS(INDEX($J$2:$J$1001,MATCH(ROWS($H$2:H988),$H$2:$H$1001,0),0),1)),INDEX($M$2:$M$1001,MATCH(ROWS($H$2:H988),$H$2:$H$1001,0),0)))</f>
        <v>0</v>
      </c>
      <c r="B988" s="3">
        <f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>0</v>
      </c>
      <c r="C988" s="3">
        <f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>0</v>
      </c>
      <c r="D988" s="3">
        <f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>0</v>
      </c>
      <c r="H988">
        <v>0</v>
      </c>
      <c r="I988">
        <v>0</v>
      </c>
      <c r="J988">
        <v>0</v>
      </c>
      <c r="K988">
        <f>IF(L988,TRUE,AND(O988:Q988))</f>
        <v>0</v>
      </c>
      <c r="L988">
        <f>COUNTBLANK(Metadata!B988:D988)=COLUMNS(Metadata!B988:D988)</f>
        <v>0</v>
      </c>
      <c r="M988">
        <v>0</v>
      </c>
      <c r="O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>
        <f>AND(IF(Metadata!C988="",FALSE,TRUE),exact(Metadata!C988,"rat metagenome"))</f>
        <v>0</v>
      </c>
      <c r="Q988">
        <f>AND(IF(Metadata!D988="",FALSE,TRUE),exact(Metadata!D988,"1427740"))</f>
        <v>0</v>
      </c>
    </row>
    <row r="989" spans="1:17">
      <c r="A989" s="4">
        <f>IF(B989=" "," ",HYPERLINK(CONCATENATE("#metadata!",ADDRESS(INDEX($J$2:$J$1001,MATCH(ROWS($H$2:H989),$H$2:$H$1001,0),0),1)),INDEX($M$2:$M$1001,MATCH(ROWS($H$2:H989),$H$2:$H$1001,0),0)))</f>
        <v>0</v>
      </c>
      <c r="B989" s="3">
        <f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>0</v>
      </c>
      <c r="C989" s="3">
        <f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>0</v>
      </c>
      <c r="D989" s="3">
        <f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>0</v>
      </c>
      <c r="H989">
        <v>0</v>
      </c>
      <c r="I989">
        <v>0</v>
      </c>
      <c r="J989">
        <v>0</v>
      </c>
      <c r="K989">
        <f>IF(L989,TRUE,AND(O989:Q989))</f>
        <v>0</v>
      </c>
      <c r="L989">
        <f>COUNTBLANK(Metadata!B989:D989)=COLUMNS(Metadata!B989:D989)</f>
        <v>0</v>
      </c>
      <c r="M989">
        <v>0</v>
      </c>
      <c r="O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>
        <f>AND(IF(Metadata!C989="",FALSE,TRUE),exact(Metadata!C989,"rat metagenome"))</f>
        <v>0</v>
      </c>
      <c r="Q989">
        <f>AND(IF(Metadata!D989="",FALSE,TRUE),exact(Metadata!D989,"1427740"))</f>
        <v>0</v>
      </c>
    </row>
    <row r="990" spans="1:17">
      <c r="A990" s="4">
        <f>IF(B990=" "," ",HYPERLINK(CONCATENATE("#metadata!",ADDRESS(INDEX($J$2:$J$1001,MATCH(ROWS($H$2:H990),$H$2:$H$1001,0),0),1)),INDEX($M$2:$M$1001,MATCH(ROWS($H$2:H990),$H$2:$H$1001,0),0)))</f>
        <v>0</v>
      </c>
      <c r="B990" s="3">
        <f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>0</v>
      </c>
      <c r="C990" s="3">
        <f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>0</v>
      </c>
      <c r="D990" s="3">
        <f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>0</v>
      </c>
      <c r="H990">
        <v>0</v>
      </c>
      <c r="I990">
        <v>0</v>
      </c>
      <c r="J990">
        <v>0</v>
      </c>
      <c r="K990">
        <f>IF(L990,TRUE,AND(O990:Q990))</f>
        <v>0</v>
      </c>
      <c r="L990">
        <f>COUNTBLANK(Metadata!B990:D990)=COLUMNS(Metadata!B990:D990)</f>
        <v>0</v>
      </c>
      <c r="M990">
        <v>0</v>
      </c>
      <c r="O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>
        <f>AND(IF(Metadata!C990="",FALSE,TRUE),exact(Metadata!C990,"rat metagenome"))</f>
        <v>0</v>
      </c>
      <c r="Q990">
        <f>AND(IF(Metadata!D990="",FALSE,TRUE),exact(Metadata!D990,"1427740"))</f>
        <v>0</v>
      </c>
    </row>
    <row r="991" spans="1:17">
      <c r="A991" s="4">
        <f>IF(B991=" "," ",HYPERLINK(CONCATENATE("#metadata!",ADDRESS(INDEX($J$2:$J$1001,MATCH(ROWS($H$2:H991),$H$2:$H$1001,0),0),1)),INDEX($M$2:$M$1001,MATCH(ROWS($H$2:H991),$H$2:$H$1001,0),0)))</f>
        <v>0</v>
      </c>
      <c r="B991" s="3">
        <f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>0</v>
      </c>
      <c r="C991" s="3">
        <f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>0</v>
      </c>
      <c r="D991" s="3">
        <f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>0</v>
      </c>
      <c r="H991">
        <v>0</v>
      </c>
      <c r="I991">
        <v>0</v>
      </c>
      <c r="J991">
        <v>0</v>
      </c>
      <c r="K991">
        <f>IF(L991,TRUE,AND(O991:Q991))</f>
        <v>0</v>
      </c>
      <c r="L991">
        <f>COUNTBLANK(Metadata!B991:D991)=COLUMNS(Metadata!B991:D991)</f>
        <v>0</v>
      </c>
      <c r="M991">
        <v>0</v>
      </c>
      <c r="O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>
        <f>AND(IF(Metadata!C991="",FALSE,TRUE),exact(Metadata!C991,"rat metagenome"))</f>
        <v>0</v>
      </c>
      <c r="Q991">
        <f>AND(IF(Metadata!D991="",FALSE,TRUE),exact(Metadata!D991,"1427740"))</f>
        <v>0</v>
      </c>
    </row>
    <row r="992" spans="1:17">
      <c r="A992" s="4">
        <f>IF(B992=" "," ",HYPERLINK(CONCATENATE("#metadata!",ADDRESS(INDEX($J$2:$J$1001,MATCH(ROWS($H$2:H992),$H$2:$H$1001,0),0),1)),INDEX($M$2:$M$1001,MATCH(ROWS($H$2:H992),$H$2:$H$1001,0),0)))</f>
        <v>0</v>
      </c>
      <c r="B992" s="3">
        <f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>0</v>
      </c>
      <c r="C992" s="3">
        <f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>0</v>
      </c>
      <c r="D992" s="3">
        <f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>0</v>
      </c>
      <c r="H992">
        <v>0</v>
      </c>
      <c r="I992">
        <v>0</v>
      </c>
      <c r="J992">
        <v>0</v>
      </c>
      <c r="K992">
        <f>IF(L992,TRUE,AND(O992:Q992))</f>
        <v>0</v>
      </c>
      <c r="L992">
        <f>COUNTBLANK(Metadata!B992:D992)=COLUMNS(Metadata!B992:D992)</f>
        <v>0</v>
      </c>
      <c r="M992">
        <v>0</v>
      </c>
      <c r="O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>
        <f>AND(IF(Metadata!C992="",FALSE,TRUE),exact(Metadata!C992,"rat metagenome"))</f>
        <v>0</v>
      </c>
      <c r="Q992">
        <f>AND(IF(Metadata!D992="",FALSE,TRUE),exact(Metadata!D992,"1427740"))</f>
        <v>0</v>
      </c>
    </row>
    <row r="993" spans="1:17">
      <c r="A993" s="4">
        <f>IF(B993=" "," ",HYPERLINK(CONCATENATE("#metadata!",ADDRESS(INDEX($J$2:$J$1001,MATCH(ROWS($H$2:H993),$H$2:$H$1001,0),0),1)),INDEX($M$2:$M$1001,MATCH(ROWS($H$2:H993),$H$2:$H$1001,0),0)))</f>
        <v>0</v>
      </c>
      <c r="B993" s="3">
        <f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>0</v>
      </c>
      <c r="C993" s="3">
        <f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>0</v>
      </c>
      <c r="D993" s="3">
        <f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>0</v>
      </c>
      <c r="H993">
        <v>0</v>
      </c>
      <c r="I993">
        <v>0</v>
      </c>
      <c r="J993">
        <v>0</v>
      </c>
      <c r="K993">
        <f>IF(L993,TRUE,AND(O993:Q993))</f>
        <v>0</v>
      </c>
      <c r="L993">
        <f>COUNTBLANK(Metadata!B993:D993)=COLUMNS(Metadata!B993:D993)</f>
        <v>0</v>
      </c>
      <c r="M993">
        <v>0</v>
      </c>
      <c r="O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>
        <f>AND(IF(Metadata!C993="",FALSE,TRUE),exact(Metadata!C993,"rat metagenome"))</f>
        <v>0</v>
      </c>
      <c r="Q993">
        <f>AND(IF(Metadata!D993="",FALSE,TRUE),exact(Metadata!D993,"1427740"))</f>
        <v>0</v>
      </c>
    </row>
    <row r="994" spans="1:17">
      <c r="A994" s="4">
        <f>IF(B994=" "," ",HYPERLINK(CONCATENATE("#metadata!",ADDRESS(INDEX($J$2:$J$1001,MATCH(ROWS($H$2:H994),$H$2:$H$1001,0),0),1)),INDEX($M$2:$M$1001,MATCH(ROWS($H$2:H994),$H$2:$H$1001,0),0)))</f>
        <v>0</v>
      </c>
      <c r="B994" s="3">
        <f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>0</v>
      </c>
      <c r="C994" s="3">
        <f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>0</v>
      </c>
      <c r="D994" s="3">
        <f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>0</v>
      </c>
      <c r="H994">
        <v>0</v>
      </c>
      <c r="I994">
        <v>0</v>
      </c>
      <c r="J994">
        <v>0</v>
      </c>
      <c r="K994">
        <f>IF(L994,TRUE,AND(O994:Q994))</f>
        <v>0</v>
      </c>
      <c r="L994">
        <f>COUNTBLANK(Metadata!B994:D994)=COLUMNS(Metadata!B994:D994)</f>
        <v>0</v>
      </c>
      <c r="M994">
        <v>0</v>
      </c>
      <c r="O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>
        <f>AND(IF(Metadata!C994="",FALSE,TRUE),exact(Metadata!C994,"rat metagenome"))</f>
        <v>0</v>
      </c>
      <c r="Q994">
        <f>AND(IF(Metadata!D994="",FALSE,TRUE),exact(Metadata!D994,"1427740"))</f>
        <v>0</v>
      </c>
    </row>
    <row r="995" spans="1:17">
      <c r="A995" s="4">
        <f>IF(B995=" "," ",HYPERLINK(CONCATENATE("#metadata!",ADDRESS(INDEX($J$2:$J$1001,MATCH(ROWS($H$2:H995),$H$2:$H$1001,0),0),1)),INDEX($M$2:$M$1001,MATCH(ROWS($H$2:H995),$H$2:$H$1001,0),0)))</f>
        <v>0</v>
      </c>
      <c r="B995" s="3">
        <f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>0</v>
      </c>
      <c r="C995" s="3">
        <f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>0</v>
      </c>
      <c r="D995" s="3">
        <f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>0</v>
      </c>
      <c r="H995">
        <v>0</v>
      </c>
      <c r="I995">
        <v>0</v>
      </c>
      <c r="J995">
        <v>0</v>
      </c>
      <c r="K995">
        <f>IF(L995,TRUE,AND(O995:Q995))</f>
        <v>0</v>
      </c>
      <c r="L995">
        <f>COUNTBLANK(Metadata!B995:D995)=COLUMNS(Metadata!B995:D995)</f>
        <v>0</v>
      </c>
      <c r="M995">
        <v>0</v>
      </c>
      <c r="O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>
        <f>AND(IF(Metadata!C995="",FALSE,TRUE),exact(Metadata!C995,"rat metagenome"))</f>
        <v>0</v>
      </c>
      <c r="Q995">
        <f>AND(IF(Metadata!D995="",FALSE,TRUE),exact(Metadata!D995,"1427740"))</f>
        <v>0</v>
      </c>
    </row>
    <row r="996" spans="1:17">
      <c r="A996" s="4">
        <f>IF(B996=" "," ",HYPERLINK(CONCATENATE("#metadata!",ADDRESS(INDEX($J$2:$J$1001,MATCH(ROWS($H$2:H996),$H$2:$H$1001,0),0),1)),INDEX($M$2:$M$1001,MATCH(ROWS($H$2:H996),$H$2:$H$1001,0),0)))</f>
        <v>0</v>
      </c>
      <c r="B996" s="3">
        <f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>0</v>
      </c>
      <c r="C996" s="3">
        <f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>0</v>
      </c>
      <c r="D996" s="3">
        <f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>0</v>
      </c>
      <c r="H996">
        <v>0</v>
      </c>
      <c r="I996">
        <v>0</v>
      </c>
      <c r="J996">
        <v>0</v>
      </c>
      <c r="K996">
        <f>IF(L996,TRUE,AND(O996:Q996))</f>
        <v>0</v>
      </c>
      <c r="L996">
        <f>COUNTBLANK(Metadata!B996:D996)=COLUMNS(Metadata!B996:D996)</f>
        <v>0</v>
      </c>
      <c r="M996">
        <v>0</v>
      </c>
      <c r="O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>
        <f>AND(IF(Metadata!C996="",FALSE,TRUE),exact(Metadata!C996,"rat metagenome"))</f>
        <v>0</v>
      </c>
      <c r="Q996">
        <f>AND(IF(Metadata!D996="",FALSE,TRUE),exact(Metadata!D996,"1427740"))</f>
        <v>0</v>
      </c>
    </row>
    <row r="997" spans="1:17">
      <c r="A997" s="4">
        <f>IF(B997=" "," ",HYPERLINK(CONCATENATE("#metadata!",ADDRESS(INDEX($J$2:$J$1001,MATCH(ROWS($H$2:H997),$H$2:$H$1001,0),0),1)),INDEX($M$2:$M$1001,MATCH(ROWS($H$2:H997),$H$2:$H$1001,0),0)))</f>
        <v>0</v>
      </c>
      <c r="B997" s="3">
        <f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>0</v>
      </c>
      <c r="C997" s="3">
        <f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>0</v>
      </c>
      <c r="D997" s="3">
        <f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>0</v>
      </c>
      <c r="H997">
        <v>0</v>
      </c>
      <c r="I997">
        <v>0</v>
      </c>
      <c r="J997">
        <v>0</v>
      </c>
      <c r="K997">
        <f>IF(L997,TRUE,AND(O997:Q997))</f>
        <v>0</v>
      </c>
      <c r="L997">
        <f>COUNTBLANK(Metadata!B997:D997)=COLUMNS(Metadata!B997:D997)</f>
        <v>0</v>
      </c>
      <c r="M997">
        <v>0</v>
      </c>
      <c r="O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>
        <f>AND(IF(Metadata!C997="",FALSE,TRUE),exact(Metadata!C997,"rat metagenome"))</f>
        <v>0</v>
      </c>
      <c r="Q997">
        <f>AND(IF(Metadata!D997="",FALSE,TRUE),exact(Metadata!D997,"1427740"))</f>
        <v>0</v>
      </c>
    </row>
    <row r="998" spans="1:17">
      <c r="A998" s="4">
        <f>IF(B998=" "," ",HYPERLINK(CONCATENATE("#metadata!",ADDRESS(INDEX($J$2:$J$1001,MATCH(ROWS($H$2:H998),$H$2:$H$1001,0),0),1)),INDEX($M$2:$M$1001,MATCH(ROWS($H$2:H998),$H$2:$H$1001,0),0)))</f>
        <v>0</v>
      </c>
      <c r="B998" s="3">
        <f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>0</v>
      </c>
      <c r="C998" s="3">
        <f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>0</v>
      </c>
      <c r="D998" s="3">
        <f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>0</v>
      </c>
      <c r="H998">
        <v>0</v>
      </c>
      <c r="I998">
        <v>0</v>
      </c>
      <c r="J998">
        <v>0</v>
      </c>
      <c r="K998">
        <f>IF(L998,TRUE,AND(O998:Q998))</f>
        <v>0</v>
      </c>
      <c r="L998">
        <f>COUNTBLANK(Metadata!B998:D998)=COLUMNS(Metadata!B998:D998)</f>
        <v>0</v>
      </c>
      <c r="M998">
        <v>0</v>
      </c>
      <c r="O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>
        <f>AND(IF(Metadata!C998="",FALSE,TRUE),exact(Metadata!C998,"rat metagenome"))</f>
        <v>0</v>
      </c>
      <c r="Q998">
        <f>AND(IF(Metadata!D998="",FALSE,TRUE),exact(Metadata!D998,"1427740"))</f>
        <v>0</v>
      </c>
    </row>
    <row r="999" spans="1:17">
      <c r="A999" s="4">
        <f>IF(B999=" "," ",HYPERLINK(CONCATENATE("#metadata!",ADDRESS(INDEX($J$2:$J$1001,MATCH(ROWS($H$2:H999),$H$2:$H$1001,0),0),1)),INDEX($M$2:$M$1001,MATCH(ROWS($H$2:H999),$H$2:$H$1001,0),0)))</f>
        <v>0</v>
      </c>
      <c r="B999" s="3">
        <f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>0</v>
      </c>
      <c r="C999" s="3">
        <f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>0</v>
      </c>
      <c r="D999" s="3">
        <f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>0</v>
      </c>
      <c r="H999">
        <v>0</v>
      </c>
      <c r="I999">
        <v>0</v>
      </c>
      <c r="J999">
        <v>0</v>
      </c>
      <c r="K999">
        <f>IF(L999,TRUE,AND(O999:Q999))</f>
        <v>0</v>
      </c>
      <c r="L999">
        <f>COUNTBLANK(Metadata!B999:D999)=COLUMNS(Metadata!B999:D999)</f>
        <v>0</v>
      </c>
      <c r="M999">
        <v>0</v>
      </c>
      <c r="O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>
        <f>AND(IF(Metadata!C999="",FALSE,TRUE),exact(Metadata!C999,"rat metagenome"))</f>
        <v>0</v>
      </c>
      <c r="Q999">
        <f>AND(IF(Metadata!D999="",FALSE,TRUE),exact(Metadata!D999,"1427740"))</f>
        <v>0</v>
      </c>
    </row>
    <row r="1000" spans="1:17">
      <c r="A1000" s="4">
        <f>IF(B1000=" "," ",HYPERLINK(CONCATENATE("#metadata!",ADDRESS(INDEX($J$2:$J$1001,MATCH(ROWS($H$2:H1000),$H$2:$H$1001,0),0),1)),INDEX($M$2:$M$1001,MATCH(ROWS($H$2:H1000),$H$2:$H$1001,0),0)))</f>
        <v>0</v>
      </c>
      <c r="B1000" s="3">
        <f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>0</v>
      </c>
      <c r="C1000" s="3">
        <f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>0</v>
      </c>
      <c r="D1000" s="3">
        <f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>0</v>
      </c>
      <c r="H1000">
        <v>0</v>
      </c>
      <c r="I1000">
        <v>0</v>
      </c>
      <c r="J1000">
        <v>0</v>
      </c>
      <c r="K1000">
        <f>IF(L1000,TRUE,AND(O1000:Q1000))</f>
        <v>0</v>
      </c>
      <c r="L1000">
        <f>COUNTBLANK(Metadata!B1000:D1000)=COLUMNS(Metadata!B1000:D1000)</f>
        <v>0</v>
      </c>
      <c r="M1000">
        <v>0</v>
      </c>
      <c r="O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>
        <f>AND(IF(Metadata!C1000="",FALSE,TRUE),exact(Metadata!C1000,"rat metagenome"))</f>
        <v>0</v>
      </c>
      <c r="Q1000">
        <f>AND(IF(Metadata!D1000="",FALSE,TRUE),exact(Metadata!D1000,"1427740"))</f>
        <v>0</v>
      </c>
    </row>
    <row r="1001" spans="1:17">
      <c r="A1001" s="4">
        <f>IF(B1001=" "," ",HYPERLINK(CONCATENATE("#metadata!",ADDRESS(INDEX($J$2:$J$1001,MATCH(ROWS($H$2:H1001),$H$2:$H$1001,0),0),1)),INDEX($M$2:$M$1001,MATCH(ROWS($H$2:H1001),$H$2:$H$1001,0),0)))</f>
        <v>0</v>
      </c>
      <c r="B1001" s="3">
        <f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>0</v>
      </c>
      <c r="C1001" s="3">
        <f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>0</v>
      </c>
      <c r="D1001" s="3">
        <f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>0</v>
      </c>
      <c r="H1001">
        <v>0</v>
      </c>
      <c r="I1001">
        <v>0</v>
      </c>
      <c r="J1001">
        <v>0</v>
      </c>
      <c r="K1001">
        <f>IF(L1001,TRUE,AND(O1001:Q1001))</f>
        <v>0</v>
      </c>
      <c r="L1001">
        <f>COUNTBLANK(Metadata!B1001:D1001)=COLUMNS(Metadata!B1001:D1001)</f>
        <v>0</v>
      </c>
      <c r="M1001">
        <v>0</v>
      </c>
      <c r="O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>
        <f>AND(IF(Metadata!C1001="",FALSE,TRUE),exact(Metadata!C1001,"rat metagenome"))</f>
        <v>0</v>
      </c>
      <c r="Q1001">
        <f>AND(IF(Metadata!D1001="",FALSE,TRUE),exact(Metadata!D1001,"1427740"))</f>
        <v>0</v>
      </c>
    </row>
    <row r="1003" spans="1:17">
      <c r="N1003" s="2" t="s">
        <v>10</v>
      </c>
      <c r="O1003">
        <f t="array" ref="O1003">AND(IF($L2:$L1001,TRUE,O2:O1001))</f>
        <v>0</v>
      </c>
      <c r="P1003">
        <f t="array" ref="P1003">AND(IF($L2:$L1001,TRUE,P2:P1001))</f>
        <v>0</v>
      </c>
      <c r="Q1003">
        <f t="array" ref="Q1003">AND(IF($L2:$L1001,TRUE,Q2:Q1001))</f>
        <v>0</v>
      </c>
    </row>
    <row r="1004" spans="1:17">
      <c r="N1004" s="2" t="s">
        <v>11</v>
      </c>
      <c r="O1004">
        <f t="array" ref="O1004:Q1004">COLUMN(Metadata!B1004:D1004)</f>
        <v>0</v>
      </c>
      <c r="P1004">
        <v>0</v>
      </c>
      <c r="Q1004">
        <v>0</v>
      </c>
    </row>
    <row r="1005" spans="1:17">
      <c r="N1005" s="2" t="s">
        <v>12</v>
      </c>
      <c r="O1005">
        <f t="array" ref="O1005:Q1005">INT(O1003:Q1003)*100000+$O$1004:$Q$1004</f>
        <v>0</v>
      </c>
      <c r="P1005">
        <v>0</v>
      </c>
      <c r="Q1005">
        <v>0</v>
      </c>
    </row>
    <row r="1006" spans="1:17">
      <c r="N1006" s="2" t="s">
        <v>13</v>
      </c>
      <c r="O1006">
        <f t="array" ref="O1006:Q1006">COUNTIF($O1005:$Q1005,"&lt;="&amp;O$1005:Q1005)</f>
        <v>0</v>
      </c>
      <c r="P1006">
        <v>0</v>
      </c>
      <c r="Q1006">
        <v>0</v>
      </c>
    </row>
  </sheetData>
  <sheetProtection password="EE32" sheet="1" objects="1" scenarios="1"/>
  <conditionalFormatting sqref="B2:D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14</v>
      </c>
      <c r="B1" s="2" t="s">
        <v>15</v>
      </c>
    </row>
    <row r="2" spans="1:2">
      <c r="A2" s="2" t="s">
        <v>1</v>
      </c>
      <c r="B2" t="s">
        <v>16</v>
      </c>
    </row>
    <row r="3" spans="1:2">
      <c r="A3" s="2" t="s">
        <v>3</v>
      </c>
      <c r="B3" t="s">
        <v>17</v>
      </c>
    </row>
    <row r="4" spans="1:2">
      <c r="A4" s="2" t="s">
        <v>4</v>
      </c>
      <c r="B4" t="s">
        <v>18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19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21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2018-07-07T00:40:59Z</dcterms:created>
  <dcterms:modified xsi:type="dcterms:W3CDTF">2018-07-07T00:40:59Z</dcterms:modified>
</cp:coreProperties>
</file>